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24226"/>
  <mc:AlternateContent xmlns:mc="http://schemas.openxmlformats.org/markup-compatibility/2006">
    <mc:Choice Requires="x15">
      <x15ac:absPath xmlns:x15ac="http://schemas.microsoft.com/office/spreadsheetml/2010/11/ac" url="C:\Users\Douglas Feijó\Google Drive (douglas.feijo@gmail.com)\MINISTERIO PÚBLICO - MT\002_Orçamentos\046_Orçamento_Cáceres\003_Reforma sede antiga\"/>
    </mc:Choice>
  </mc:AlternateContent>
  <xr:revisionPtr revIDLastSave="0" documentId="13_ncr:1_{46BEFB93-98ED-45A5-9ABE-F1B70C81F0A2}" xr6:coauthVersionLast="45" xr6:coauthVersionMax="45" xr10:uidLastSave="{00000000-0000-0000-0000-000000000000}"/>
  <bookViews>
    <workbookView xWindow="28680" yWindow="-195" windowWidth="29040" windowHeight="15990" tabRatio="802" xr2:uid="{00000000-000D-0000-FFFF-FFFF00000000}"/>
  </bookViews>
  <sheets>
    <sheet name="CAPA" sheetId="4" r:id="rId1"/>
    <sheet name="PLANILHA RESUMO" sheetId="2" r:id="rId2"/>
    <sheet name="PLANILHA SINTÉTICA" sheetId="1" r:id="rId3"/>
    <sheet name="CRONOGRAMA FÍSICO-FINANCEIRO" sheetId="3" r:id="rId4"/>
    <sheet name="COMPOSIÇÃO DE PREÇO UNITÁRIO" sheetId="9" r:id="rId5"/>
    <sheet name="BDI - Aliquota ISSQN - 5,0%" sheetId="7" r:id="rId6"/>
    <sheet name="BDI DIF - Aliquota ISSQN - 5,0%" sheetId="14" r:id="rId7"/>
    <sheet name="COMPOSIÇÃO MOB-DESMOB" sheetId="15" r:id="rId8"/>
    <sheet name="SINAPI_COMPOSIÇÕES 062020" sheetId="12" state="hidden" r:id="rId9"/>
    <sheet name="SINAPI_INSUMOS 062020" sheetId="13" state="hidden" r:id="rId10"/>
    <sheet name="ENCARGOS SOCIAIS" sheetId="11" r:id="rId11"/>
  </sheets>
  <externalReferences>
    <externalReference r:id="rId12"/>
  </externalReferences>
  <definedNames>
    <definedName name="Serviços">[1]Solum!$A$3:$AD$2430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54" i="1" l="1"/>
  <c r="I554" i="1" s="1"/>
  <c r="E554" i="1"/>
  <c r="G554" i="1"/>
  <c r="D554" i="1"/>
  <c r="G18" i="1"/>
  <c r="E18" i="1"/>
  <c r="D18" i="1"/>
  <c r="AI28" i="3"/>
  <c r="AI51" i="3"/>
  <c r="AI50" i="3"/>
  <c r="AI49" i="3"/>
  <c r="AI48" i="3"/>
  <c r="AI47" i="3"/>
  <c r="AI46" i="3"/>
  <c r="AI45" i="3"/>
  <c r="AI44" i="3"/>
  <c r="AI43" i="3"/>
  <c r="AI42" i="3"/>
  <c r="AI41" i="3"/>
  <c r="AI40" i="3"/>
  <c r="AI39" i="3"/>
  <c r="AI37" i="3"/>
  <c r="AI36" i="3"/>
  <c r="AI35" i="3"/>
  <c r="AI34" i="3"/>
  <c r="AI33" i="3"/>
  <c r="AI32" i="3"/>
  <c r="AI31" i="3"/>
  <c r="AI30" i="3"/>
  <c r="AI29" i="3"/>
  <c r="AI27" i="3"/>
  <c r="AI26" i="3"/>
  <c r="AI25" i="3"/>
  <c r="AI24" i="3"/>
  <c r="AI23" i="3"/>
  <c r="AI22" i="3"/>
  <c r="AI21" i="3"/>
  <c r="AI20" i="3"/>
  <c r="AI19" i="3"/>
  <c r="AI18" i="3"/>
  <c r="AI17" i="3"/>
  <c r="AI16" i="3"/>
  <c r="AI15" i="3"/>
  <c r="AI14" i="3"/>
  <c r="AI13" i="3"/>
  <c r="AI11" i="3"/>
  <c r="AI10" i="3"/>
  <c r="A40" i="3"/>
  <c r="A41" i="3"/>
  <c r="A42" i="3"/>
  <c r="A43" i="3"/>
  <c r="A44" i="3"/>
  <c r="A46" i="3"/>
  <c r="A47" i="3"/>
  <c r="A48" i="3"/>
  <c r="A49" i="3"/>
  <c r="A50" i="3"/>
  <c r="A51" i="3"/>
  <c r="B49" i="2"/>
  <c r="B47" i="3" s="1"/>
  <c r="B50" i="2"/>
  <c r="B48" i="3" s="1"/>
  <c r="B51" i="2"/>
  <c r="B49" i="3" s="1"/>
  <c r="B52" i="2"/>
  <c r="B50" i="3" s="1"/>
  <c r="B53" i="2"/>
  <c r="B51" i="3" s="1"/>
  <c r="B42" i="2"/>
  <c r="B40" i="3" s="1"/>
  <c r="B43" i="2"/>
  <c r="B41" i="3" s="1"/>
  <c r="B44" i="2"/>
  <c r="B42" i="3" s="1"/>
  <c r="B45" i="2"/>
  <c r="B43" i="3" s="1"/>
  <c r="B46" i="2"/>
  <c r="B44" i="3" s="1"/>
  <c r="B47" i="2"/>
  <c r="B45" i="3" s="1"/>
  <c r="B48" i="2"/>
  <c r="B46" i="3" s="1"/>
  <c r="D674" i="1"/>
  <c r="D670" i="1"/>
  <c r="D661" i="1"/>
  <c r="D655" i="1"/>
  <c r="D614" i="1"/>
  <c r="D601" i="1"/>
  <c r="D593" i="1"/>
  <c r="D586" i="1"/>
  <c r="D578" i="1"/>
  <c r="D573" i="1"/>
  <c r="D566" i="1"/>
  <c r="D555" i="1"/>
  <c r="D549" i="1"/>
  <c r="D534" i="1"/>
  <c r="D519" i="1"/>
  <c r="D494" i="1"/>
  <c r="D483" i="1"/>
  <c r="D478" i="1"/>
  <c r="D471" i="1"/>
  <c r="D467" i="1"/>
  <c r="D444" i="1"/>
  <c r="D415" i="1"/>
  <c r="D405" i="1"/>
  <c r="D393" i="1"/>
  <c r="D368" i="1"/>
  <c r="D278" i="1"/>
  <c r="D253" i="1"/>
  <c r="D237" i="1"/>
  <c r="D126" i="1"/>
  <c r="D116" i="1"/>
  <c r="D98" i="1"/>
  <c r="D91" i="1"/>
  <c r="D80" i="1"/>
  <c r="D69" i="1"/>
  <c r="D53" i="1"/>
  <c r="D19" i="1"/>
  <c r="D589" i="1"/>
  <c r="D581" i="1"/>
  <c r="D537" i="1"/>
  <c r="D10" i="1"/>
  <c r="H3271" i="9"/>
  <c r="F3270" i="9"/>
  <c r="G3270" i="9"/>
  <c r="D3270" i="9"/>
  <c r="E3270" i="9"/>
  <c r="A3271" i="9"/>
  <c r="G3269" i="9"/>
  <c r="H3269" i="9" s="1"/>
  <c r="G3268" i="9"/>
  <c r="E3269" i="9"/>
  <c r="D3269" i="9"/>
  <c r="E3268" i="9"/>
  <c r="D3268" i="9"/>
  <c r="F3268" i="9"/>
  <c r="F570" i="1"/>
  <c r="A3260" i="9"/>
  <c r="G3259" i="9"/>
  <c r="H3259" i="9" s="1"/>
  <c r="G3258" i="9"/>
  <c r="H3258" i="9" s="1"/>
  <c r="G3257" i="9"/>
  <c r="H3257" i="9" s="1"/>
  <c r="G3256" i="9"/>
  <c r="H3256" i="9" s="1"/>
  <c r="G3255" i="9"/>
  <c r="H3255" i="9" s="1"/>
  <c r="G3254" i="9"/>
  <c r="H3254" i="9" s="1"/>
  <c r="G3253" i="9"/>
  <c r="H3253" i="9" s="1"/>
  <c r="G3252" i="9"/>
  <c r="G3251" i="9"/>
  <c r="E3259" i="9"/>
  <c r="D3259" i="9"/>
  <c r="E3258" i="9"/>
  <c r="D3258" i="9"/>
  <c r="E3257" i="9"/>
  <c r="D3257" i="9"/>
  <c r="E3256" i="9"/>
  <c r="D3256" i="9"/>
  <c r="E3255" i="9"/>
  <c r="D3255" i="9"/>
  <c r="E3254" i="9"/>
  <c r="D3254" i="9"/>
  <c r="E3253" i="9"/>
  <c r="D3253" i="9"/>
  <c r="E3252" i="9"/>
  <c r="D3252" i="9"/>
  <c r="E3251" i="9"/>
  <c r="D3251" i="9"/>
  <c r="F3252" i="9"/>
  <c r="F3251" i="9"/>
  <c r="A3243" i="9"/>
  <c r="G3242" i="9"/>
  <c r="H3242" i="9" s="1"/>
  <c r="G3241" i="9"/>
  <c r="H3241" i="9" s="1"/>
  <c r="E3242" i="9"/>
  <c r="D3242" i="9"/>
  <c r="E3241" i="9"/>
  <c r="D3241" i="9"/>
  <c r="E3232" i="9"/>
  <c r="D3232" i="9"/>
  <c r="H3270" i="9" l="1"/>
  <c r="H3268" i="9"/>
  <c r="H3252" i="9"/>
  <c r="H3251" i="9"/>
  <c r="H3260" i="9" s="1"/>
  <c r="H3243" i="9"/>
  <c r="D605" i="1"/>
  <c r="E605" i="1"/>
  <c r="G605" i="1"/>
  <c r="D606" i="1"/>
  <c r="E606" i="1"/>
  <c r="G606" i="1"/>
  <c r="D607" i="1"/>
  <c r="E607" i="1"/>
  <c r="G607" i="1"/>
  <c r="D608" i="1"/>
  <c r="E608" i="1"/>
  <c r="G608" i="1"/>
  <c r="D609" i="1"/>
  <c r="E609" i="1"/>
  <c r="G609" i="1"/>
  <c r="D610" i="1"/>
  <c r="E610" i="1"/>
  <c r="G610" i="1"/>
  <c r="D611" i="1"/>
  <c r="E611" i="1"/>
  <c r="G611" i="1"/>
  <c r="A3233" i="9"/>
  <c r="G3232" i="9"/>
  <c r="H3232" i="9" s="1"/>
  <c r="G3231" i="9"/>
  <c r="H3231" i="9" s="1"/>
  <c r="H3233" i="9" s="1"/>
  <c r="E3231" i="9"/>
  <c r="D3231" i="9"/>
  <c r="A3216" i="9"/>
  <c r="H3224" i="9"/>
  <c r="G3215" i="9" s="1"/>
  <c r="H3215" i="9" s="1"/>
  <c r="H3216" i="9" s="1"/>
  <c r="E3215" i="9"/>
  <c r="D3215" i="9"/>
  <c r="A3207" i="9"/>
  <c r="G3206" i="9"/>
  <c r="H3206" i="9" s="1"/>
  <c r="G3205" i="9"/>
  <c r="H3205" i="9" s="1"/>
  <c r="G3204" i="9"/>
  <c r="H3204" i="9" s="1"/>
  <c r="G3203" i="9"/>
  <c r="H3203" i="9" s="1"/>
  <c r="G3202" i="9"/>
  <c r="H3202" i="9" s="1"/>
  <c r="G3201" i="9"/>
  <c r="H3201" i="9" s="1"/>
  <c r="E3206" i="9"/>
  <c r="D3206" i="9"/>
  <c r="E3205" i="9"/>
  <c r="D3205" i="9"/>
  <c r="E3204" i="9"/>
  <c r="D3204" i="9"/>
  <c r="E3203" i="9"/>
  <c r="D3203" i="9"/>
  <c r="E3202" i="9"/>
  <c r="D3202" i="9"/>
  <c r="E3201" i="9"/>
  <c r="D3201" i="9"/>
  <c r="A3193" i="9"/>
  <c r="G3192" i="9"/>
  <c r="H3192" i="9" s="1"/>
  <c r="H3193" i="9" s="1"/>
  <c r="E3192" i="9"/>
  <c r="D3192" i="9"/>
  <c r="A3184" i="9"/>
  <c r="G3183" i="9"/>
  <c r="H3183" i="9" s="1"/>
  <c r="G3182" i="9"/>
  <c r="H3182" i="9" s="1"/>
  <c r="G3181" i="9"/>
  <c r="H3181" i="9" s="1"/>
  <c r="G3180" i="9"/>
  <c r="H3180" i="9" s="1"/>
  <c r="G3179" i="9"/>
  <c r="H3179" i="9" s="1"/>
  <c r="G3178" i="9"/>
  <c r="H3178" i="9" s="1"/>
  <c r="G3177" i="9"/>
  <c r="H3177" i="9" s="1"/>
  <c r="G3176" i="9"/>
  <c r="H3176" i="9" s="1"/>
  <c r="G3175" i="9"/>
  <c r="H3175" i="9" s="1"/>
  <c r="G3174" i="9"/>
  <c r="H3174" i="9" s="1"/>
  <c r="G3173" i="9"/>
  <c r="H3173" i="9" s="1"/>
  <c r="G3172" i="9"/>
  <c r="H3172" i="9" s="1"/>
  <c r="G3171" i="9"/>
  <c r="H3171" i="9" s="1"/>
  <c r="G3170" i="9"/>
  <c r="H3170" i="9" s="1"/>
  <c r="G3169" i="9"/>
  <c r="H3169" i="9" s="1"/>
  <c r="G3168" i="9"/>
  <c r="H3168" i="9" s="1"/>
  <c r="G3167" i="9"/>
  <c r="H3167" i="9" s="1"/>
  <c r="G3166" i="9"/>
  <c r="H3166" i="9" s="1"/>
  <c r="G3165" i="9"/>
  <c r="H3165" i="9" s="1"/>
  <c r="E3183" i="9"/>
  <c r="D3183" i="9"/>
  <c r="E3182" i="9"/>
  <c r="D3182" i="9"/>
  <c r="E3181" i="9"/>
  <c r="D3181" i="9"/>
  <c r="E3180" i="9"/>
  <c r="D3180" i="9"/>
  <c r="E3179" i="9"/>
  <c r="D3179" i="9"/>
  <c r="E3178" i="9"/>
  <c r="D3178" i="9"/>
  <c r="E3177" i="9"/>
  <c r="D3177" i="9"/>
  <c r="E3176" i="9"/>
  <c r="D3176" i="9"/>
  <c r="E3175" i="9"/>
  <c r="D3175" i="9"/>
  <c r="E3174" i="9"/>
  <c r="D3174" i="9"/>
  <c r="E3173" i="9"/>
  <c r="D3173" i="9"/>
  <c r="E3172" i="9"/>
  <c r="D3172" i="9"/>
  <c r="E3171" i="9"/>
  <c r="D3171" i="9"/>
  <c r="E3170" i="9"/>
  <c r="D3170" i="9"/>
  <c r="E3169" i="9"/>
  <c r="D3169" i="9"/>
  <c r="E3168" i="9"/>
  <c r="D3168" i="9"/>
  <c r="E3167" i="9"/>
  <c r="D3167" i="9"/>
  <c r="E3166" i="9"/>
  <c r="D3166" i="9"/>
  <c r="E3165" i="9"/>
  <c r="D3165" i="9"/>
  <c r="F12" i="1"/>
  <c r="A3157" i="9"/>
  <c r="G3156" i="9"/>
  <c r="H3156" i="9" s="1"/>
  <c r="G3155" i="9"/>
  <c r="H3155" i="9" s="1"/>
  <c r="G3154" i="9"/>
  <c r="H3154" i="9" s="1"/>
  <c r="G3153" i="9"/>
  <c r="H3153" i="9" s="1"/>
  <c r="G3152" i="9"/>
  <c r="H3152" i="9" s="1"/>
  <c r="G3151" i="9"/>
  <c r="H3151" i="9" s="1"/>
  <c r="G3150" i="9"/>
  <c r="H3150" i="9" s="1"/>
  <c r="E3156" i="9"/>
  <c r="D3156" i="9"/>
  <c r="E3155" i="9"/>
  <c r="D3155" i="9"/>
  <c r="E3154" i="9"/>
  <c r="D3154" i="9"/>
  <c r="E3153" i="9"/>
  <c r="D3153" i="9"/>
  <c r="E3152" i="9"/>
  <c r="D3152" i="9"/>
  <c r="E3151" i="9"/>
  <c r="D3151" i="9"/>
  <c r="E3150" i="9"/>
  <c r="D3150" i="9"/>
  <c r="A3142" i="9"/>
  <c r="G3141" i="9"/>
  <c r="H3141" i="9" s="1"/>
  <c r="G3140" i="9"/>
  <c r="H3140" i="9" s="1"/>
  <c r="G3139" i="9"/>
  <c r="H3139" i="9" s="1"/>
  <c r="G3138" i="9"/>
  <c r="H3138" i="9" s="1"/>
  <c r="E3141" i="9"/>
  <c r="D3141" i="9"/>
  <c r="E3140" i="9"/>
  <c r="D3140" i="9"/>
  <c r="E3139" i="9"/>
  <c r="D3139" i="9"/>
  <c r="E3138" i="9"/>
  <c r="D3138" i="9"/>
  <c r="F186" i="1"/>
  <c r="F188" i="1" s="1"/>
  <c r="D186" i="1"/>
  <c r="E186" i="1"/>
  <c r="G186" i="1"/>
  <c r="D188" i="1"/>
  <c r="E188" i="1"/>
  <c r="G188" i="1"/>
  <c r="G185" i="1"/>
  <c r="D185" i="1"/>
  <c r="E185" i="1"/>
  <c r="A3130" i="9"/>
  <c r="G3129" i="9"/>
  <c r="H3129" i="9" s="1"/>
  <c r="G3128" i="9"/>
  <c r="H3128" i="9" s="1"/>
  <c r="G3127" i="9"/>
  <c r="H3127" i="9" s="1"/>
  <c r="E3129" i="9"/>
  <c r="D3129" i="9"/>
  <c r="E3128" i="9"/>
  <c r="D3128" i="9"/>
  <c r="E3127" i="9"/>
  <c r="D3127" i="9"/>
  <c r="F273" i="1"/>
  <c r="F275" i="1" s="1"/>
  <c r="G273" i="1"/>
  <c r="D273" i="1"/>
  <c r="E273" i="1"/>
  <c r="A3119" i="9"/>
  <c r="G3118" i="9"/>
  <c r="H3118" i="9" s="1"/>
  <c r="G3117" i="9"/>
  <c r="H3117" i="9" s="1"/>
  <c r="G3116" i="9"/>
  <c r="H3116" i="9" s="1"/>
  <c r="E3118" i="9"/>
  <c r="D3118" i="9"/>
  <c r="E3117" i="9"/>
  <c r="D3117" i="9"/>
  <c r="E3116" i="9"/>
  <c r="D3116" i="9"/>
  <c r="A3108" i="9"/>
  <c r="G3107" i="9"/>
  <c r="H3107" i="9" s="1"/>
  <c r="G3106" i="9"/>
  <c r="H3106" i="9" s="1"/>
  <c r="G3105" i="9"/>
  <c r="H3105" i="9" s="1"/>
  <c r="E3107" i="9"/>
  <c r="D3107" i="9"/>
  <c r="E3106" i="9"/>
  <c r="D3106" i="9"/>
  <c r="E3105" i="9"/>
  <c r="D3105" i="9"/>
  <c r="H3130" i="9" l="1"/>
  <c r="H3207" i="9"/>
  <c r="H3184" i="9"/>
  <c r="H3157" i="9"/>
  <c r="H3142" i="9"/>
  <c r="H3119" i="9"/>
  <c r="H3108" i="9"/>
  <c r="F255" i="1"/>
  <c r="D258" i="1"/>
  <c r="E258" i="1"/>
  <c r="G258" i="1"/>
  <c r="D260" i="1"/>
  <c r="E260" i="1"/>
  <c r="G260" i="1"/>
  <c r="D261" i="1"/>
  <c r="E261" i="1"/>
  <c r="G261" i="1"/>
  <c r="D262" i="1"/>
  <c r="E262" i="1"/>
  <c r="G262" i="1"/>
  <c r="D263" i="1"/>
  <c r="E263" i="1"/>
  <c r="G263" i="1"/>
  <c r="D264" i="1"/>
  <c r="E264" i="1"/>
  <c r="G264" i="1"/>
  <c r="D265" i="1"/>
  <c r="E265" i="1"/>
  <c r="G265" i="1"/>
  <c r="D266" i="1"/>
  <c r="E266" i="1"/>
  <c r="G266" i="1"/>
  <c r="D267" i="1"/>
  <c r="E267" i="1"/>
  <c r="G267" i="1"/>
  <c r="D268" i="1"/>
  <c r="E268" i="1"/>
  <c r="G268" i="1"/>
  <c r="D269" i="1"/>
  <c r="E269" i="1"/>
  <c r="G269" i="1"/>
  <c r="D270" i="1"/>
  <c r="E270" i="1"/>
  <c r="G270" i="1"/>
  <c r="D275" i="1"/>
  <c r="E275" i="1"/>
  <c r="G275" i="1"/>
  <c r="D276" i="1"/>
  <c r="E276" i="1"/>
  <c r="G276" i="1"/>
  <c r="G257" i="1" l="1"/>
  <c r="E257" i="1"/>
  <c r="D257" i="1"/>
  <c r="G256" i="1"/>
  <c r="E256" i="1"/>
  <c r="D256" i="1"/>
  <c r="G255" i="1"/>
  <c r="E255" i="1"/>
  <c r="D255" i="1"/>
  <c r="F547" i="1"/>
  <c r="F546" i="1"/>
  <c r="F544" i="1"/>
  <c r="F543" i="1"/>
  <c r="A3097" i="9"/>
  <c r="G3096" i="9"/>
  <c r="H3096" i="9" s="1"/>
  <c r="G3095" i="9"/>
  <c r="H3095" i="9" s="1"/>
  <c r="E3096" i="9"/>
  <c r="D3096" i="9"/>
  <c r="E3095" i="9"/>
  <c r="D3095" i="9"/>
  <c r="A3087" i="9"/>
  <c r="G3086" i="9"/>
  <c r="H3086" i="9" s="1"/>
  <c r="G3085" i="9"/>
  <c r="H3085" i="9" s="1"/>
  <c r="G3084" i="9"/>
  <c r="H3084" i="9" s="1"/>
  <c r="G3083" i="9"/>
  <c r="H3083" i="9" s="1"/>
  <c r="G3082" i="9"/>
  <c r="H3082" i="9" s="1"/>
  <c r="E3086" i="9"/>
  <c r="D3086" i="9"/>
  <c r="E3085" i="9"/>
  <c r="D3085" i="9"/>
  <c r="E3084" i="9"/>
  <c r="D3084" i="9"/>
  <c r="E3083" i="9"/>
  <c r="D3083" i="9"/>
  <c r="E3082" i="9"/>
  <c r="D3082" i="9"/>
  <c r="G3065" i="9"/>
  <c r="H3065" i="9" s="1"/>
  <c r="G3064" i="9"/>
  <c r="H3064" i="9" s="1"/>
  <c r="G3063" i="9"/>
  <c r="H3063" i="9" s="1"/>
  <c r="G3062" i="9"/>
  <c r="H3062" i="9" s="1"/>
  <c r="G3061" i="9"/>
  <c r="H3061" i="9" s="1"/>
  <c r="G3060" i="9"/>
  <c r="H3060" i="9" s="1"/>
  <c r="G3059" i="9"/>
  <c r="H3059" i="9" s="1"/>
  <c r="G3058" i="9"/>
  <c r="H3058" i="9" s="1"/>
  <c r="E3065" i="9"/>
  <c r="D3065" i="9"/>
  <c r="E3064" i="9"/>
  <c r="D3064" i="9"/>
  <c r="E3063" i="9"/>
  <c r="D3063" i="9"/>
  <c r="E3062" i="9"/>
  <c r="D3062" i="9"/>
  <c r="E3061" i="9"/>
  <c r="D3061" i="9"/>
  <c r="E3060" i="9"/>
  <c r="D3060" i="9"/>
  <c r="E3059" i="9"/>
  <c r="D3059" i="9"/>
  <c r="E3058" i="9"/>
  <c r="D3058" i="9"/>
  <c r="A3067" i="9"/>
  <c r="H3072" i="9"/>
  <c r="H3075" i="9" s="1"/>
  <c r="G3066" i="9" s="1"/>
  <c r="H3066" i="9" s="1"/>
  <c r="E3066" i="9"/>
  <c r="D3066" i="9"/>
  <c r="A3050" i="9"/>
  <c r="G3049" i="9"/>
  <c r="H3049" i="9" s="1"/>
  <c r="H3050" i="9" s="1"/>
  <c r="E3049" i="9"/>
  <c r="D3049" i="9"/>
  <c r="A3034" i="9"/>
  <c r="G3032" i="9"/>
  <c r="H3032" i="9" s="1"/>
  <c r="G3031" i="9"/>
  <c r="H3031" i="9" s="1"/>
  <c r="E3032" i="9"/>
  <c r="D3032" i="9"/>
  <c r="E3031" i="9"/>
  <c r="D3031" i="9"/>
  <c r="H3041" i="9"/>
  <c r="H3040" i="9"/>
  <c r="H3039" i="9"/>
  <c r="E3033" i="9"/>
  <c r="D3033" i="9"/>
  <c r="A3023" i="9"/>
  <c r="G3022" i="9"/>
  <c r="H3022" i="9" s="1"/>
  <c r="G3021" i="9"/>
  <c r="H3021" i="9" s="1"/>
  <c r="G3020" i="9"/>
  <c r="H3020" i="9" s="1"/>
  <c r="G3019" i="9"/>
  <c r="H3019" i="9" s="1"/>
  <c r="E3022" i="9"/>
  <c r="D3022" i="9"/>
  <c r="E3021" i="9"/>
  <c r="D3021" i="9"/>
  <c r="E3020" i="9"/>
  <c r="D3020" i="9"/>
  <c r="E3019" i="9"/>
  <c r="D3019" i="9"/>
  <c r="F121" i="1"/>
  <c r="F122" i="1"/>
  <c r="F571" i="1"/>
  <c r="G571" i="1"/>
  <c r="D571" i="1"/>
  <c r="E571" i="1"/>
  <c r="G122" i="1"/>
  <c r="D122" i="1"/>
  <c r="E122" i="1"/>
  <c r="H3042" i="9" l="1"/>
  <c r="G3033" i="9" s="1"/>
  <c r="H3033" i="9" s="1"/>
  <c r="H3034" i="9" s="1"/>
  <c r="H3097" i="9"/>
  <c r="H3023" i="9"/>
  <c r="H3087" i="9"/>
  <c r="H3067" i="9"/>
  <c r="G2981" i="9"/>
  <c r="H2981" i="9" s="1"/>
  <c r="G2980" i="9"/>
  <c r="H2980" i="9" s="1"/>
  <c r="E2981" i="9"/>
  <c r="D2981" i="9"/>
  <c r="E2980" i="9"/>
  <c r="D2980" i="9"/>
  <c r="H3012" i="9"/>
  <c r="G2993" i="9" s="1"/>
  <c r="H2993" i="9" s="1"/>
  <c r="H3008" i="9"/>
  <c r="H3004" i="9"/>
  <c r="H3000" i="9"/>
  <c r="G2990" i="9" s="1"/>
  <c r="H2990" i="9" s="1"/>
  <c r="A2994" i="9"/>
  <c r="E2993" i="9"/>
  <c r="D2993" i="9"/>
  <c r="G2992" i="9"/>
  <c r="H2992" i="9" s="1"/>
  <c r="E2992" i="9"/>
  <c r="D2992" i="9"/>
  <c r="G2991" i="9"/>
  <c r="H2991" i="9" s="1"/>
  <c r="E2991" i="9"/>
  <c r="D2991" i="9"/>
  <c r="E2990" i="9"/>
  <c r="D2990" i="9"/>
  <c r="A2982" i="9"/>
  <c r="F226" i="1"/>
  <c r="F228" i="1"/>
  <c r="F222" i="1"/>
  <c r="H2972" i="9"/>
  <c r="H2971" i="9"/>
  <c r="H2970" i="9"/>
  <c r="A2965" i="9"/>
  <c r="E2964" i="9"/>
  <c r="D2964" i="9"/>
  <c r="G2955" i="9"/>
  <c r="H2955" i="9" s="1"/>
  <c r="G2954" i="9"/>
  <c r="H2954" i="9" s="1"/>
  <c r="E2955" i="9"/>
  <c r="D2955" i="9"/>
  <c r="E2954" i="9"/>
  <c r="D2954" i="9"/>
  <c r="A2956" i="9"/>
  <c r="H2947" i="9"/>
  <c r="G2938" i="9" s="1"/>
  <c r="H2938" i="9" s="1"/>
  <c r="H2939" i="9" s="1"/>
  <c r="A2939" i="9"/>
  <c r="E2938" i="9"/>
  <c r="D2938" i="9"/>
  <c r="G2929" i="9"/>
  <c r="H2929" i="9" s="1"/>
  <c r="H2930" i="9" s="1"/>
  <c r="E2929" i="9"/>
  <c r="D2929" i="9"/>
  <c r="A2930" i="9"/>
  <c r="H2922" i="9"/>
  <c r="G2913" i="9" s="1"/>
  <c r="H2913" i="9" s="1"/>
  <c r="H2914" i="9" s="1"/>
  <c r="A2914" i="9"/>
  <c r="E2913" i="9"/>
  <c r="D2913" i="9"/>
  <c r="H2906" i="9"/>
  <c r="G2897" i="9" s="1"/>
  <c r="H2897" i="9" s="1"/>
  <c r="H2898" i="9" s="1"/>
  <c r="A2898" i="9"/>
  <c r="E2897" i="9"/>
  <c r="D2897" i="9"/>
  <c r="G2888" i="9"/>
  <c r="H2888" i="9" s="1"/>
  <c r="H2889" i="9" s="1"/>
  <c r="G2879" i="9"/>
  <c r="H2879" i="9" s="1"/>
  <c r="H2880" i="9" s="1"/>
  <c r="E2888" i="9"/>
  <c r="D2888" i="9"/>
  <c r="E2879" i="9"/>
  <c r="D2879" i="9"/>
  <c r="A2889" i="9"/>
  <c r="A2880" i="9"/>
  <c r="H2872" i="9"/>
  <c r="G2863" i="9" s="1"/>
  <c r="H2863" i="9" s="1"/>
  <c r="H2864" i="9" s="1"/>
  <c r="A2864" i="9"/>
  <c r="E2863" i="9"/>
  <c r="D2863" i="9"/>
  <c r="H2856" i="9"/>
  <c r="G2847" i="9" s="1"/>
  <c r="H2847" i="9" s="1"/>
  <c r="H2848" i="9" s="1"/>
  <c r="A2848" i="9"/>
  <c r="E2847" i="9"/>
  <c r="D2847" i="9"/>
  <c r="G2838" i="9"/>
  <c r="H2838" i="9" s="1"/>
  <c r="H2839" i="9" s="1"/>
  <c r="E2838" i="9"/>
  <c r="D2838" i="9"/>
  <c r="G2829" i="9"/>
  <c r="H2829" i="9" s="1"/>
  <c r="H2830" i="9" s="1"/>
  <c r="E2829" i="9"/>
  <c r="D2829" i="9"/>
  <c r="A2839" i="9"/>
  <c r="A2830" i="9"/>
  <c r="H2822" i="9"/>
  <c r="G2813" i="9" s="1"/>
  <c r="H2813" i="9" s="1"/>
  <c r="H2814" i="9" s="1"/>
  <c r="H2821" i="9"/>
  <c r="A2814" i="9"/>
  <c r="D2813" i="9"/>
  <c r="G2804" i="9"/>
  <c r="H2804" i="9" s="1"/>
  <c r="G2803" i="9"/>
  <c r="H2803" i="9" s="1"/>
  <c r="E2804" i="9"/>
  <c r="D2804" i="9"/>
  <c r="E2803" i="9"/>
  <c r="D2803" i="9"/>
  <c r="A2805" i="9"/>
  <c r="G2794" i="9"/>
  <c r="H2794" i="9" s="1"/>
  <c r="G2793" i="9"/>
  <c r="H2793" i="9" s="1"/>
  <c r="G2792" i="9"/>
  <c r="H2792" i="9" s="1"/>
  <c r="E2794" i="9"/>
  <c r="D2794" i="9"/>
  <c r="E2793" i="9"/>
  <c r="D2793" i="9"/>
  <c r="E2792" i="9"/>
  <c r="D2792" i="9"/>
  <c r="A2795" i="9"/>
  <c r="A2784" i="9"/>
  <c r="H2783" i="9"/>
  <c r="H2784" i="9" s="1"/>
  <c r="G2767" i="9"/>
  <c r="H2767" i="9" s="1"/>
  <c r="E2767" i="9"/>
  <c r="D2767" i="9"/>
  <c r="H2775" i="9"/>
  <c r="H2774" i="9"/>
  <c r="H2773" i="9"/>
  <c r="A2768" i="9"/>
  <c r="E2766" i="9"/>
  <c r="D2766" i="9"/>
  <c r="G2757" i="9"/>
  <c r="H2757" i="9" s="1"/>
  <c r="G2756" i="9"/>
  <c r="H2756" i="9" s="1"/>
  <c r="E2757" i="9"/>
  <c r="D2757" i="9"/>
  <c r="E2756" i="9"/>
  <c r="D2756" i="9"/>
  <c r="A2758" i="9"/>
  <c r="G2739" i="9"/>
  <c r="H2739" i="9" s="1"/>
  <c r="E2739" i="9"/>
  <c r="D2739" i="9"/>
  <c r="H2748" i="9"/>
  <c r="H2747" i="9"/>
  <c r="H2746" i="9"/>
  <c r="A2741" i="9"/>
  <c r="E2740" i="9"/>
  <c r="D2740" i="9"/>
  <c r="A2731" i="9"/>
  <c r="H2730" i="9"/>
  <c r="H2731" i="9" s="1"/>
  <c r="G2713" i="9"/>
  <c r="H2713" i="9" s="1"/>
  <c r="G2712" i="9"/>
  <c r="H2712" i="9" s="1"/>
  <c r="E2713" i="9"/>
  <c r="D2713" i="9"/>
  <c r="E2712" i="9"/>
  <c r="D2712" i="9"/>
  <c r="H2723" i="9"/>
  <c r="G2714" i="9" s="1"/>
  <c r="H2714" i="9" s="1"/>
  <c r="H2722" i="9"/>
  <c r="A2715" i="9"/>
  <c r="E2714" i="9"/>
  <c r="D2714" i="9"/>
  <c r="A2704" i="9"/>
  <c r="H2703" i="9"/>
  <c r="H2704" i="9" s="1"/>
  <c r="G2694" i="9"/>
  <c r="H2694" i="9" s="1"/>
  <c r="G2693" i="9"/>
  <c r="H2693" i="9" s="1"/>
  <c r="E2694" i="9"/>
  <c r="D2694" i="9"/>
  <c r="E2693" i="9"/>
  <c r="D2693" i="9"/>
  <c r="A2695" i="9"/>
  <c r="G2684" i="9"/>
  <c r="H2684" i="9" s="1"/>
  <c r="G2683" i="9"/>
  <c r="H2683" i="9" s="1"/>
  <c r="G2674" i="9"/>
  <c r="H2674" i="9" s="1"/>
  <c r="G2673" i="9"/>
  <c r="H2673" i="9" s="1"/>
  <c r="E2684" i="9"/>
  <c r="D2684" i="9"/>
  <c r="E2683" i="9"/>
  <c r="D2683" i="9"/>
  <c r="E2674" i="9"/>
  <c r="D2674" i="9"/>
  <c r="E2673" i="9"/>
  <c r="D2673" i="9"/>
  <c r="A2685" i="9"/>
  <c r="A2675" i="9"/>
  <c r="G2656" i="9"/>
  <c r="H2656" i="9" s="1"/>
  <c r="E2656" i="9"/>
  <c r="D2656" i="9"/>
  <c r="H2665" i="9"/>
  <c r="H2666" i="9" s="1"/>
  <c r="G2657" i="9" s="1"/>
  <c r="H2657" i="9" s="1"/>
  <c r="A2658" i="9"/>
  <c r="E2657" i="9"/>
  <c r="D2657" i="9"/>
  <c r="H2646" i="9"/>
  <c r="H2649" i="9" s="1"/>
  <c r="G2640" i="9" s="1"/>
  <c r="H2640" i="9" s="1"/>
  <c r="H2641" i="9" s="1"/>
  <c r="A2641" i="9"/>
  <c r="E2640" i="9"/>
  <c r="D2640" i="9"/>
  <c r="G2631" i="9"/>
  <c r="H2631" i="9" s="1"/>
  <c r="G2630" i="9"/>
  <c r="H2630" i="9" s="1"/>
  <c r="E2631" i="9"/>
  <c r="D2631" i="9"/>
  <c r="E2630" i="9"/>
  <c r="D2630" i="9"/>
  <c r="A2632" i="9"/>
  <c r="G2622" i="9"/>
  <c r="H2622" i="9" s="1"/>
  <c r="H2623" i="9" s="1"/>
  <c r="E2622" i="9"/>
  <c r="D2622" i="9"/>
  <c r="A2623" i="9"/>
  <c r="G2613" i="9"/>
  <c r="H2613" i="9" s="1"/>
  <c r="G2612" i="9"/>
  <c r="H2612" i="9" s="1"/>
  <c r="E2613" i="9"/>
  <c r="D2613" i="9"/>
  <c r="E2612" i="9"/>
  <c r="D2612" i="9"/>
  <c r="A2614" i="9"/>
  <c r="H2603" i="9"/>
  <c r="H2602" i="9"/>
  <c r="A2597" i="9"/>
  <c r="E2596" i="9"/>
  <c r="D2596" i="9"/>
  <c r="G2587" i="9"/>
  <c r="H2587" i="9" s="1"/>
  <c r="H2588" i="9" s="1"/>
  <c r="E2587" i="9"/>
  <c r="D2587" i="9"/>
  <c r="A2588" i="9"/>
  <c r="H2580" i="9"/>
  <c r="G2571" i="9" s="1"/>
  <c r="H2571" i="9" s="1"/>
  <c r="H2572" i="9" s="1"/>
  <c r="A2572" i="9"/>
  <c r="E2571" i="9"/>
  <c r="D2571" i="9"/>
  <c r="G2562" i="9"/>
  <c r="H2562" i="9" s="1"/>
  <c r="G2561" i="9"/>
  <c r="H2561" i="9" s="1"/>
  <c r="E2562" i="9"/>
  <c r="D2562" i="9"/>
  <c r="E2561" i="9"/>
  <c r="D2561" i="9"/>
  <c r="A2563" i="9"/>
  <c r="H2554" i="9"/>
  <c r="G2545" i="9" s="1"/>
  <c r="H2545" i="9" s="1"/>
  <c r="H2546" i="9" s="1"/>
  <c r="A2546" i="9"/>
  <c r="E2545" i="9"/>
  <c r="D2545" i="9"/>
  <c r="G2536" i="9"/>
  <c r="H2536" i="9" s="1"/>
  <c r="G2535" i="9"/>
  <c r="H2535" i="9" s="1"/>
  <c r="E2536" i="9"/>
  <c r="D2536" i="9"/>
  <c r="E2535" i="9"/>
  <c r="D2535" i="9"/>
  <c r="A2537" i="9"/>
  <c r="H2528" i="9"/>
  <c r="G2519" i="9" s="1"/>
  <c r="H2519" i="9" s="1"/>
  <c r="H2520" i="9" s="1"/>
  <c r="A2520" i="9"/>
  <c r="E2519" i="9"/>
  <c r="D2519" i="9"/>
  <c r="G2510" i="9"/>
  <c r="H2510" i="9" s="1"/>
  <c r="G2509" i="9"/>
  <c r="H2509" i="9" s="1"/>
  <c r="E2510" i="9"/>
  <c r="D2510" i="9"/>
  <c r="E2509" i="9"/>
  <c r="D2509" i="9"/>
  <c r="A2511" i="9"/>
  <c r="D219" i="1"/>
  <c r="E219" i="1"/>
  <c r="G219" i="1"/>
  <c r="H2715" i="9" l="1"/>
  <c r="H2605" i="9"/>
  <c r="G2596" i="9" s="1"/>
  <c r="H2596" i="9" s="1"/>
  <c r="H2597" i="9" s="1"/>
  <c r="H2982" i="9"/>
  <c r="H2956" i="9"/>
  <c r="H2614" i="9"/>
  <c r="H2537" i="9"/>
  <c r="H2758" i="9"/>
  <c r="H2632" i="9"/>
  <c r="H2695" i="9"/>
  <c r="H2685" i="9"/>
  <c r="H2973" i="9"/>
  <c r="G2964" i="9" s="1"/>
  <c r="H2964" i="9" s="1"/>
  <c r="H2965" i="9" s="1"/>
  <c r="H2563" i="9"/>
  <c r="H2675" i="9"/>
  <c r="H2749" i="9"/>
  <c r="G2740" i="9" s="1"/>
  <c r="H2740" i="9" s="1"/>
  <c r="H2741" i="9" s="1"/>
  <c r="H2776" i="9"/>
  <c r="G2766" i="9" s="1"/>
  <c r="H2766" i="9" s="1"/>
  <c r="H2768" i="9" s="1"/>
  <c r="H2805" i="9"/>
  <c r="H2994" i="9"/>
  <c r="H2795" i="9"/>
  <c r="H2658" i="9"/>
  <c r="H2511" i="9"/>
  <c r="A2494" i="9" l="1"/>
  <c r="G2492" i="9"/>
  <c r="H2492" i="9" s="1"/>
  <c r="G2491" i="9"/>
  <c r="H2491" i="9" s="1"/>
  <c r="G2490" i="9"/>
  <c r="H2490" i="9" s="1"/>
  <c r="E2492" i="9"/>
  <c r="D2492" i="9"/>
  <c r="E2491" i="9"/>
  <c r="D2491" i="9"/>
  <c r="E2490" i="9"/>
  <c r="D2490" i="9"/>
  <c r="H2502" i="9"/>
  <c r="G2493" i="9" s="1"/>
  <c r="H2493" i="9" s="1"/>
  <c r="E2493" i="9"/>
  <c r="D2493" i="9"/>
  <c r="A2477" i="9"/>
  <c r="G2475" i="9"/>
  <c r="H2475" i="9" s="1"/>
  <c r="G2474" i="9"/>
  <c r="H2474" i="9" s="1"/>
  <c r="G2473" i="9"/>
  <c r="H2473" i="9" s="1"/>
  <c r="G2472" i="9"/>
  <c r="H2472" i="9" s="1"/>
  <c r="G2471" i="9"/>
  <c r="H2471" i="9" s="1"/>
  <c r="E2475" i="9"/>
  <c r="D2475" i="9"/>
  <c r="E2474" i="9"/>
  <c r="D2474" i="9"/>
  <c r="E2473" i="9"/>
  <c r="D2473" i="9"/>
  <c r="E2472" i="9"/>
  <c r="D2472" i="9"/>
  <c r="E2471" i="9"/>
  <c r="D2471" i="9"/>
  <c r="H2483" i="9"/>
  <c r="G2476" i="9" s="1"/>
  <c r="H2476" i="9" s="1"/>
  <c r="E2476" i="9"/>
  <c r="D2476" i="9"/>
  <c r="A2457" i="9"/>
  <c r="G2455" i="9"/>
  <c r="H2455" i="9" s="1"/>
  <c r="G2454" i="9"/>
  <c r="H2454" i="9" s="1"/>
  <c r="G2453" i="9"/>
  <c r="H2453" i="9" s="1"/>
  <c r="G2452" i="9"/>
  <c r="H2452" i="9" s="1"/>
  <c r="G2451" i="9"/>
  <c r="H2451" i="9" s="1"/>
  <c r="E2455" i="9"/>
  <c r="D2455" i="9"/>
  <c r="E2454" i="9"/>
  <c r="D2454" i="9"/>
  <c r="E2453" i="9"/>
  <c r="D2453" i="9"/>
  <c r="E2452" i="9"/>
  <c r="D2452" i="9"/>
  <c r="E2451" i="9"/>
  <c r="D2451" i="9"/>
  <c r="H2464" i="9"/>
  <c r="G2456" i="9" s="1"/>
  <c r="H2456" i="9" s="1"/>
  <c r="E2456" i="9"/>
  <c r="D2456" i="9"/>
  <c r="A2438" i="9"/>
  <c r="G2436" i="9"/>
  <c r="H2436" i="9" s="1"/>
  <c r="G2435" i="9"/>
  <c r="H2435" i="9" s="1"/>
  <c r="G2434" i="9"/>
  <c r="H2434" i="9" s="1"/>
  <c r="G2433" i="9"/>
  <c r="H2433" i="9" s="1"/>
  <c r="G2432" i="9"/>
  <c r="H2432" i="9" s="1"/>
  <c r="E2436" i="9"/>
  <c r="D2436" i="9"/>
  <c r="E2435" i="9"/>
  <c r="D2435" i="9"/>
  <c r="E2434" i="9"/>
  <c r="D2434" i="9"/>
  <c r="E2433" i="9"/>
  <c r="D2433" i="9"/>
  <c r="E2432" i="9"/>
  <c r="D2432" i="9"/>
  <c r="H2444" i="9"/>
  <c r="G2437" i="9" s="1"/>
  <c r="H2437" i="9" s="1"/>
  <c r="E2437" i="9"/>
  <c r="D2437" i="9"/>
  <c r="H2494" i="9" l="1"/>
  <c r="H2477" i="9"/>
  <c r="H2457" i="9"/>
  <c r="H2438" i="9"/>
  <c r="F475" i="1" l="1"/>
  <c r="A2424" i="9"/>
  <c r="G2423" i="9"/>
  <c r="H2423" i="9" s="1"/>
  <c r="G2422" i="9"/>
  <c r="H2422" i="9" s="1"/>
  <c r="G2421" i="9"/>
  <c r="H2421" i="9" s="1"/>
  <c r="G2420" i="9"/>
  <c r="H2420" i="9" s="1"/>
  <c r="G2419" i="9"/>
  <c r="H2419" i="9" s="1"/>
  <c r="E2423" i="9"/>
  <c r="D2423" i="9"/>
  <c r="E2422" i="9"/>
  <c r="D2422" i="9"/>
  <c r="E2421" i="9"/>
  <c r="D2421" i="9"/>
  <c r="E2420" i="9"/>
  <c r="D2420" i="9"/>
  <c r="E2419" i="9"/>
  <c r="D2419" i="9"/>
  <c r="A2411" i="9"/>
  <c r="G2410" i="9"/>
  <c r="H2410" i="9" s="1"/>
  <c r="G2409" i="9"/>
  <c r="H2409" i="9" s="1"/>
  <c r="G2408" i="9"/>
  <c r="H2408" i="9" s="1"/>
  <c r="G2407" i="9"/>
  <c r="H2407" i="9" s="1"/>
  <c r="E2410" i="9"/>
  <c r="D2410" i="9"/>
  <c r="E2409" i="9"/>
  <c r="D2409" i="9"/>
  <c r="E2408" i="9"/>
  <c r="D2408" i="9"/>
  <c r="E2407" i="9"/>
  <c r="D2407" i="9"/>
  <c r="G2398" i="9"/>
  <c r="H2398" i="9" s="1"/>
  <c r="G2397" i="9"/>
  <c r="H2397" i="9" s="1"/>
  <c r="G2396" i="9"/>
  <c r="H2396" i="9" s="1"/>
  <c r="G2395" i="9"/>
  <c r="H2395" i="9" s="1"/>
  <c r="G2386" i="9"/>
  <c r="H2386" i="9" s="1"/>
  <c r="G2385" i="9"/>
  <c r="H2385" i="9" s="1"/>
  <c r="G2384" i="9"/>
  <c r="H2384" i="9" s="1"/>
  <c r="G2383" i="9"/>
  <c r="H2383" i="9" s="1"/>
  <c r="E2398" i="9"/>
  <c r="D2398" i="9"/>
  <c r="E2397" i="9"/>
  <c r="D2397" i="9"/>
  <c r="E2396" i="9"/>
  <c r="D2396" i="9"/>
  <c r="E2395" i="9"/>
  <c r="D2395" i="9"/>
  <c r="E2386" i="9"/>
  <c r="D2386" i="9"/>
  <c r="E2385" i="9"/>
  <c r="D2385" i="9"/>
  <c r="E2384" i="9"/>
  <c r="D2384" i="9"/>
  <c r="E2383" i="9"/>
  <c r="D2383" i="9"/>
  <c r="A2399" i="9"/>
  <c r="A2387" i="9"/>
  <c r="G2366" i="9"/>
  <c r="H2366" i="9" s="1"/>
  <c r="G2365" i="9"/>
  <c r="H2365" i="9" s="1"/>
  <c r="G2364" i="9"/>
  <c r="H2364" i="9" s="1"/>
  <c r="G2347" i="9"/>
  <c r="H2347" i="9" s="1"/>
  <c r="G2346" i="9"/>
  <c r="H2346" i="9" s="1"/>
  <c r="G2345" i="9"/>
  <c r="H2345" i="9" s="1"/>
  <c r="E2366" i="9"/>
  <c r="D2366" i="9"/>
  <c r="E2365" i="9"/>
  <c r="D2365" i="9"/>
  <c r="E2364" i="9"/>
  <c r="D2364" i="9"/>
  <c r="E2347" i="9"/>
  <c r="D2347" i="9"/>
  <c r="E2346" i="9"/>
  <c r="D2346" i="9"/>
  <c r="E2345" i="9"/>
  <c r="D2345" i="9"/>
  <c r="H2375" i="9"/>
  <c r="H2374" i="9"/>
  <c r="H2373" i="9"/>
  <c r="A2368" i="9"/>
  <c r="E2367" i="9"/>
  <c r="D2367" i="9"/>
  <c r="H2356" i="9"/>
  <c r="H2355" i="9"/>
  <c r="H2354" i="9"/>
  <c r="A2349" i="9"/>
  <c r="E2348" i="9"/>
  <c r="D2348" i="9"/>
  <c r="A2330" i="9"/>
  <c r="G2328" i="9"/>
  <c r="H2328" i="9" s="1"/>
  <c r="G2327" i="9"/>
  <c r="H2327" i="9" s="1"/>
  <c r="G2326" i="9"/>
  <c r="H2326" i="9" s="1"/>
  <c r="E2328" i="9"/>
  <c r="D2328" i="9"/>
  <c r="E2327" i="9"/>
  <c r="D2327" i="9"/>
  <c r="E2326" i="9"/>
  <c r="D2326" i="9"/>
  <c r="H2337" i="9"/>
  <c r="H2336" i="9"/>
  <c r="H2335" i="9"/>
  <c r="D2329" i="9"/>
  <c r="G108" i="1"/>
  <c r="D108" i="1"/>
  <c r="E108" i="1"/>
  <c r="F536" i="1"/>
  <c r="A2311" i="9"/>
  <c r="H2317" i="9"/>
  <c r="H2316" i="9"/>
  <c r="E2310" i="9"/>
  <c r="D2310" i="9"/>
  <c r="F424" i="1"/>
  <c r="A2302" i="9"/>
  <c r="G2301" i="9"/>
  <c r="G2300" i="9"/>
  <c r="H2300" i="9" s="1"/>
  <c r="G2299" i="9"/>
  <c r="H2299" i="9" s="1"/>
  <c r="G2298" i="9"/>
  <c r="H2298" i="9" s="1"/>
  <c r="E2301" i="9"/>
  <c r="D2301" i="9"/>
  <c r="E2300" i="9"/>
  <c r="D2300" i="9"/>
  <c r="E2299" i="9"/>
  <c r="D2299" i="9"/>
  <c r="E2298" i="9"/>
  <c r="D2298" i="9"/>
  <c r="F2301" i="9"/>
  <c r="F477" i="1"/>
  <c r="A2290" i="9"/>
  <c r="G2289" i="9"/>
  <c r="H2289" i="9" s="1"/>
  <c r="G2288" i="9"/>
  <c r="H2288" i="9" s="1"/>
  <c r="G2287" i="9"/>
  <c r="H2287" i="9" s="1"/>
  <c r="E2289" i="9"/>
  <c r="D2289" i="9"/>
  <c r="E2288" i="9"/>
  <c r="D2288" i="9"/>
  <c r="E2287" i="9"/>
  <c r="D2287" i="9"/>
  <c r="F423" i="1"/>
  <c r="G2278" i="9"/>
  <c r="H2278" i="9" s="1"/>
  <c r="G2277" i="9"/>
  <c r="H2277" i="9" s="1"/>
  <c r="G2276" i="9"/>
  <c r="H2276" i="9" s="1"/>
  <c r="G2275" i="9"/>
  <c r="H2275" i="9" s="1"/>
  <c r="E2278" i="9"/>
  <c r="D2278" i="9"/>
  <c r="E2277" i="9"/>
  <c r="D2277" i="9"/>
  <c r="E2276" i="9"/>
  <c r="D2276" i="9"/>
  <c r="E2275" i="9"/>
  <c r="D2275" i="9"/>
  <c r="A2279" i="9"/>
  <c r="A2260" i="9"/>
  <c r="G2258" i="9"/>
  <c r="H2258" i="9" s="1"/>
  <c r="G2257" i="9"/>
  <c r="H2257" i="9" s="1"/>
  <c r="G2256" i="9"/>
  <c r="H2256" i="9" s="1"/>
  <c r="G2255" i="9"/>
  <c r="H2255" i="9" s="1"/>
  <c r="E2258" i="9"/>
  <c r="D2258" i="9"/>
  <c r="E2257" i="9"/>
  <c r="D2257" i="9"/>
  <c r="E2256" i="9"/>
  <c r="D2256" i="9"/>
  <c r="E2255" i="9"/>
  <c r="D2255" i="9"/>
  <c r="H2268" i="9"/>
  <c r="G2259" i="9" s="1"/>
  <c r="H2259" i="9" s="1"/>
  <c r="E2259" i="9"/>
  <c r="D2259" i="9"/>
  <c r="A2247" i="9"/>
  <c r="G2246" i="9"/>
  <c r="H2246" i="9" s="1"/>
  <c r="G2245" i="9"/>
  <c r="E2246" i="9"/>
  <c r="D2246" i="9"/>
  <c r="E2245" i="9"/>
  <c r="D2245" i="9"/>
  <c r="F2245" i="9"/>
  <c r="A2237" i="9"/>
  <c r="G2236" i="9"/>
  <c r="H2236" i="9" s="1"/>
  <c r="G2235" i="9"/>
  <c r="H2235" i="9" s="1"/>
  <c r="G2234" i="9"/>
  <c r="H2234" i="9" s="1"/>
  <c r="G2233" i="9"/>
  <c r="H2233" i="9" s="1"/>
  <c r="G2232" i="9"/>
  <c r="H2232" i="9" s="1"/>
  <c r="G2231" i="9"/>
  <c r="H2231" i="9" s="1"/>
  <c r="G2230" i="9"/>
  <c r="H2230" i="9" s="1"/>
  <c r="G2229" i="9"/>
  <c r="H2229" i="9" s="1"/>
  <c r="G2228" i="9"/>
  <c r="H2228" i="9" s="1"/>
  <c r="G2227" i="9"/>
  <c r="H2227" i="9" s="1"/>
  <c r="E2236" i="9"/>
  <c r="D2236" i="9"/>
  <c r="E2235" i="9"/>
  <c r="D2235" i="9"/>
  <c r="E2234" i="9"/>
  <c r="D2234" i="9"/>
  <c r="E2233" i="9"/>
  <c r="D2233" i="9"/>
  <c r="E2232" i="9"/>
  <c r="D2232" i="9"/>
  <c r="E2231" i="9"/>
  <c r="D2231" i="9"/>
  <c r="E2230" i="9"/>
  <c r="D2230" i="9"/>
  <c r="E2229" i="9"/>
  <c r="D2229" i="9"/>
  <c r="E2228" i="9"/>
  <c r="D2228" i="9"/>
  <c r="E2227" i="9"/>
  <c r="D2227" i="9"/>
  <c r="H2319" i="9" l="1"/>
  <c r="G2310" i="9" s="1"/>
  <c r="H2310" i="9" s="1"/>
  <c r="H2311" i="9" s="1"/>
  <c r="H2357" i="9"/>
  <c r="G2348" i="9" s="1"/>
  <c r="H2348" i="9" s="1"/>
  <c r="H2387" i="9"/>
  <c r="H2290" i="9"/>
  <c r="H2376" i="9"/>
  <c r="G2367" i="9" s="1"/>
  <c r="H2367" i="9" s="1"/>
  <c r="H2368" i="9" s="1"/>
  <c r="H2301" i="9"/>
  <c r="H2302" i="9" s="1"/>
  <c r="H2279" i="9"/>
  <c r="H2338" i="9"/>
  <c r="G2329" i="9" s="1"/>
  <c r="H2329" i="9" s="1"/>
  <c r="H2330" i="9" s="1"/>
  <c r="H2411" i="9"/>
  <c r="H2424" i="9"/>
  <c r="H2399" i="9"/>
  <c r="H2349" i="9"/>
  <c r="H2260" i="9"/>
  <c r="H2245" i="9"/>
  <c r="H2247" i="9" s="1"/>
  <c r="H2237" i="9"/>
  <c r="F439" i="1"/>
  <c r="A2219" i="9"/>
  <c r="A2205" i="9"/>
  <c r="G2218" i="9"/>
  <c r="H2218" i="9" s="1"/>
  <c r="G2217" i="9"/>
  <c r="H2217" i="9" s="1"/>
  <c r="G2216" i="9"/>
  <c r="H2216" i="9" s="1"/>
  <c r="G2215" i="9"/>
  <c r="H2215" i="9" s="1"/>
  <c r="G2214" i="9"/>
  <c r="H2214" i="9" s="1"/>
  <c r="G2213" i="9"/>
  <c r="H2213" i="9" s="1"/>
  <c r="G2204" i="9"/>
  <c r="H2204" i="9" s="1"/>
  <c r="G2203" i="9"/>
  <c r="H2203" i="9" s="1"/>
  <c r="G2202" i="9"/>
  <c r="H2202" i="9" s="1"/>
  <c r="G2201" i="9"/>
  <c r="H2201" i="9" s="1"/>
  <c r="G2200" i="9"/>
  <c r="H2200" i="9" s="1"/>
  <c r="G2199" i="9"/>
  <c r="H2199" i="9" s="1"/>
  <c r="E2218" i="9"/>
  <c r="D2218" i="9"/>
  <c r="E2217" i="9"/>
  <c r="D2217" i="9"/>
  <c r="E2216" i="9"/>
  <c r="D2216" i="9"/>
  <c r="E2215" i="9"/>
  <c r="D2215" i="9"/>
  <c r="E2214" i="9"/>
  <c r="D2214" i="9"/>
  <c r="E2213" i="9"/>
  <c r="D2213" i="9"/>
  <c r="E2204" i="9"/>
  <c r="D2204" i="9"/>
  <c r="E2203" i="9"/>
  <c r="D2203" i="9"/>
  <c r="E2202" i="9"/>
  <c r="D2202" i="9"/>
  <c r="E2201" i="9"/>
  <c r="D2201" i="9"/>
  <c r="E2200" i="9"/>
  <c r="D2200" i="9"/>
  <c r="E2199" i="9"/>
  <c r="D2199" i="9"/>
  <c r="F437" i="1"/>
  <c r="A2191" i="9"/>
  <c r="G2190" i="9"/>
  <c r="H2190" i="9" s="1"/>
  <c r="G2189" i="9"/>
  <c r="H2189" i="9" s="1"/>
  <c r="G2188" i="9"/>
  <c r="H2188" i="9" s="1"/>
  <c r="G2187" i="9"/>
  <c r="H2187" i="9" s="1"/>
  <c r="G2186" i="9"/>
  <c r="H2186" i="9" s="1"/>
  <c r="E2190" i="9"/>
  <c r="D2190" i="9"/>
  <c r="E2189" i="9"/>
  <c r="D2189" i="9"/>
  <c r="E2188" i="9"/>
  <c r="D2188" i="9"/>
  <c r="E2187" i="9"/>
  <c r="D2187" i="9"/>
  <c r="E2186" i="9"/>
  <c r="D2186" i="9"/>
  <c r="A2178" i="9"/>
  <c r="G2177" i="9"/>
  <c r="H2177" i="9" s="1"/>
  <c r="G2176" i="9"/>
  <c r="H2176" i="9" s="1"/>
  <c r="G2175" i="9"/>
  <c r="H2175" i="9" s="1"/>
  <c r="G2174" i="9"/>
  <c r="H2174" i="9" s="1"/>
  <c r="G2173" i="9"/>
  <c r="H2173" i="9" s="1"/>
  <c r="G2172" i="9"/>
  <c r="H2172" i="9" s="1"/>
  <c r="G2171" i="9"/>
  <c r="H2171" i="9" s="1"/>
  <c r="G2170" i="9"/>
  <c r="H2170" i="9" s="1"/>
  <c r="G2169" i="9"/>
  <c r="H2169" i="9" s="1"/>
  <c r="G2168" i="9"/>
  <c r="H2168" i="9" s="1"/>
  <c r="G2167" i="9"/>
  <c r="H2167" i="9" s="1"/>
  <c r="G2166" i="9"/>
  <c r="H2166" i="9" s="1"/>
  <c r="E2177" i="9"/>
  <c r="D2177" i="9"/>
  <c r="E2176" i="9"/>
  <c r="D2176" i="9"/>
  <c r="E2175" i="9"/>
  <c r="D2175" i="9"/>
  <c r="E2174" i="9"/>
  <c r="D2174" i="9"/>
  <c r="E2173" i="9"/>
  <c r="D2173" i="9"/>
  <c r="E2172" i="9"/>
  <c r="D2172" i="9"/>
  <c r="E2171" i="9"/>
  <c r="D2171" i="9"/>
  <c r="E2170" i="9"/>
  <c r="D2170" i="9"/>
  <c r="E2169" i="9"/>
  <c r="D2169" i="9"/>
  <c r="E2168" i="9"/>
  <c r="D2168" i="9"/>
  <c r="E2167" i="9"/>
  <c r="D2167" i="9"/>
  <c r="E2166" i="9"/>
  <c r="D2166" i="9"/>
  <c r="A2158" i="9"/>
  <c r="A2140" i="9"/>
  <c r="G2157" i="9"/>
  <c r="H2157" i="9" s="1"/>
  <c r="G2156" i="9"/>
  <c r="H2156" i="9" s="1"/>
  <c r="G2155" i="9"/>
  <c r="H2155" i="9" s="1"/>
  <c r="G2154" i="9"/>
  <c r="H2154" i="9" s="1"/>
  <c r="G2153" i="9"/>
  <c r="H2153" i="9" s="1"/>
  <c r="G2152" i="9"/>
  <c r="H2152" i="9" s="1"/>
  <c r="G2151" i="9"/>
  <c r="G2150" i="9"/>
  <c r="H2150" i="9" s="1"/>
  <c r="G2149" i="9"/>
  <c r="H2149" i="9" s="1"/>
  <c r="G2148" i="9"/>
  <c r="H2148" i="9" s="1"/>
  <c r="G2139" i="9"/>
  <c r="H2139" i="9" s="1"/>
  <c r="G2138" i="9"/>
  <c r="H2138" i="9" s="1"/>
  <c r="G2137" i="9"/>
  <c r="H2137" i="9" s="1"/>
  <c r="G2136" i="9"/>
  <c r="H2136" i="9" s="1"/>
  <c r="G2135" i="9"/>
  <c r="H2135" i="9" s="1"/>
  <c r="G2134" i="9"/>
  <c r="H2134" i="9" s="1"/>
  <c r="G2133" i="9"/>
  <c r="G2132" i="9"/>
  <c r="H2132" i="9" s="1"/>
  <c r="G2131" i="9"/>
  <c r="H2131" i="9" s="1"/>
  <c r="G2130" i="9"/>
  <c r="H2130" i="9" s="1"/>
  <c r="E2157" i="9"/>
  <c r="D2157" i="9"/>
  <c r="E2156" i="9"/>
  <c r="D2156" i="9"/>
  <c r="E2155" i="9"/>
  <c r="D2155" i="9"/>
  <c r="E2154" i="9"/>
  <c r="D2154" i="9"/>
  <c r="E2153" i="9"/>
  <c r="D2153" i="9"/>
  <c r="E2152" i="9"/>
  <c r="D2152" i="9"/>
  <c r="E2151" i="9"/>
  <c r="D2151" i="9"/>
  <c r="E2150" i="9"/>
  <c r="D2150" i="9"/>
  <c r="E2149" i="9"/>
  <c r="D2149" i="9"/>
  <c r="E2148" i="9"/>
  <c r="D2148" i="9"/>
  <c r="E2139" i="9"/>
  <c r="D2139" i="9"/>
  <c r="E2138" i="9"/>
  <c r="D2138" i="9"/>
  <c r="E2137" i="9"/>
  <c r="D2137" i="9"/>
  <c r="E2136" i="9"/>
  <c r="D2136" i="9"/>
  <c r="E2135" i="9"/>
  <c r="D2135" i="9"/>
  <c r="E2134" i="9"/>
  <c r="D2134" i="9"/>
  <c r="E2133" i="9"/>
  <c r="D2133" i="9"/>
  <c r="E2132" i="9"/>
  <c r="D2132" i="9"/>
  <c r="E2131" i="9"/>
  <c r="D2131" i="9"/>
  <c r="E2130" i="9"/>
  <c r="D2130" i="9"/>
  <c r="F2151" i="9"/>
  <c r="F2133" i="9"/>
  <c r="A2117" i="9"/>
  <c r="A2099" i="9"/>
  <c r="A2080" i="9"/>
  <c r="G2115" i="9"/>
  <c r="H2115" i="9" s="1"/>
  <c r="G2114" i="9"/>
  <c r="H2114" i="9" s="1"/>
  <c r="G2113" i="9"/>
  <c r="H2113" i="9" s="1"/>
  <c r="G2112" i="9"/>
  <c r="H2112" i="9" s="1"/>
  <c r="G2097" i="9"/>
  <c r="H2097" i="9" s="1"/>
  <c r="G2096" i="9"/>
  <c r="H2096" i="9" s="1"/>
  <c r="G2095" i="9"/>
  <c r="H2095" i="9" s="1"/>
  <c r="G2094" i="9"/>
  <c r="H2094" i="9" s="1"/>
  <c r="G2093" i="9"/>
  <c r="H2093" i="9" s="1"/>
  <c r="G2078" i="9"/>
  <c r="H2078" i="9" s="1"/>
  <c r="G2077" i="9"/>
  <c r="H2077" i="9" s="1"/>
  <c r="G2076" i="9"/>
  <c r="H2076" i="9" s="1"/>
  <c r="G2075" i="9"/>
  <c r="H2075" i="9" s="1"/>
  <c r="G2074" i="9"/>
  <c r="H2074" i="9" s="1"/>
  <c r="E2115" i="9"/>
  <c r="D2115" i="9"/>
  <c r="E2114" i="9"/>
  <c r="D2114" i="9"/>
  <c r="E2113" i="9"/>
  <c r="D2113" i="9"/>
  <c r="E2112" i="9"/>
  <c r="D2112" i="9"/>
  <c r="E2097" i="9"/>
  <c r="D2097" i="9"/>
  <c r="E2096" i="9"/>
  <c r="D2096" i="9"/>
  <c r="E2095" i="9"/>
  <c r="D2095" i="9"/>
  <c r="E2094" i="9"/>
  <c r="D2094" i="9"/>
  <c r="E2093" i="9"/>
  <c r="D2093" i="9"/>
  <c r="E2078" i="9"/>
  <c r="D2078" i="9"/>
  <c r="E2077" i="9"/>
  <c r="D2077" i="9"/>
  <c r="E2076" i="9"/>
  <c r="D2076" i="9"/>
  <c r="E2075" i="9"/>
  <c r="D2075" i="9"/>
  <c r="E2074" i="9"/>
  <c r="D2074" i="9"/>
  <c r="H2123" i="9"/>
  <c r="G2116" i="9" s="1"/>
  <c r="H2116" i="9" s="1"/>
  <c r="E2116" i="9"/>
  <c r="D2116" i="9"/>
  <c r="H2105" i="9"/>
  <c r="G2098" i="9" s="1"/>
  <c r="H2098" i="9" s="1"/>
  <c r="E2098" i="9"/>
  <c r="D2098" i="9"/>
  <c r="H2086" i="9"/>
  <c r="G2079" i="9" s="1"/>
  <c r="H2079" i="9" s="1"/>
  <c r="E2079" i="9"/>
  <c r="D2079" i="9"/>
  <c r="F50" i="1"/>
  <c r="A2066" i="9"/>
  <c r="G2065" i="9"/>
  <c r="H2065" i="9" s="1"/>
  <c r="G2064" i="9"/>
  <c r="H2064" i="9" s="1"/>
  <c r="E2065" i="9"/>
  <c r="D2065" i="9"/>
  <c r="E2064" i="9"/>
  <c r="D2064" i="9"/>
  <c r="A2056" i="9"/>
  <c r="G2055" i="9"/>
  <c r="H2055" i="9" s="1"/>
  <c r="G2054" i="9"/>
  <c r="H2054" i="9" s="1"/>
  <c r="E2055" i="9"/>
  <c r="D2055" i="9"/>
  <c r="E2054" i="9"/>
  <c r="D2054" i="9"/>
  <c r="G2037" i="9"/>
  <c r="H2037" i="9" s="1"/>
  <c r="G2036" i="9"/>
  <c r="H2036" i="9" s="1"/>
  <c r="G2027" i="9"/>
  <c r="H2027" i="9" s="1"/>
  <c r="H2028" i="9" s="1"/>
  <c r="G2018" i="9"/>
  <c r="H2018" i="9" s="1"/>
  <c r="H2019" i="9" s="1"/>
  <c r="G2009" i="9"/>
  <c r="H2009" i="9" s="1"/>
  <c r="H2010" i="9" s="1"/>
  <c r="G2000" i="9"/>
  <c r="H2000" i="9" s="1"/>
  <c r="H2001" i="9" s="1"/>
  <c r="G1991" i="9"/>
  <c r="H1991" i="9" s="1"/>
  <c r="H1992" i="9" s="1"/>
  <c r="E2037" i="9"/>
  <c r="D2037" i="9"/>
  <c r="E2036" i="9"/>
  <c r="D2036" i="9"/>
  <c r="E2027" i="9"/>
  <c r="D2027" i="9"/>
  <c r="E2018" i="9"/>
  <c r="D2018" i="9"/>
  <c r="E2009" i="9"/>
  <c r="D2009" i="9"/>
  <c r="E2000" i="9"/>
  <c r="D2000" i="9"/>
  <c r="E1991" i="9"/>
  <c r="D1991" i="9"/>
  <c r="H2046" i="9"/>
  <c r="H2045" i="9"/>
  <c r="H2044" i="9"/>
  <c r="A2039" i="9"/>
  <c r="E2038" i="9"/>
  <c r="D2038" i="9"/>
  <c r="A2028" i="9"/>
  <c r="A2019" i="9"/>
  <c r="A2010" i="9"/>
  <c r="A2001" i="9"/>
  <c r="A1992" i="9"/>
  <c r="F456" i="1"/>
  <c r="G1974" i="9"/>
  <c r="H1974" i="9" s="1"/>
  <c r="G1973" i="9"/>
  <c r="H1973" i="9" s="1"/>
  <c r="G1956" i="9"/>
  <c r="H1956" i="9" s="1"/>
  <c r="G1955" i="9"/>
  <c r="H1955" i="9" s="1"/>
  <c r="G1938" i="9"/>
  <c r="H1938" i="9" s="1"/>
  <c r="G1937" i="9"/>
  <c r="H1937" i="9" s="1"/>
  <c r="G1920" i="9"/>
  <c r="H1920" i="9" s="1"/>
  <c r="G1919" i="9"/>
  <c r="H1919" i="9" s="1"/>
  <c r="G1902" i="9"/>
  <c r="H1902" i="9" s="1"/>
  <c r="G1901" i="9"/>
  <c r="H1901" i="9" s="1"/>
  <c r="G1884" i="9"/>
  <c r="H1884" i="9" s="1"/>
  <c r="G1883" i="9"/>
  <c r="H1883" i="9" s="1"/>
  <c r="E1974" i="9"/>
  <c r="D1974" i="9"/>
  <c r="E1973" i="9"/>
  <c r="D1973" i="9"/>
  <c r="E1956" i="9"/>
  <c r="D1956" i="9"/>
  <c r="E1955" i="9"/>
  <c r="D1955" i="9"/>
  <c r="E1938" i="9"/>
  <c r="D1938" i="9"/>
  <c r="E1937" i="9"/>
  <c r="D1937" i="9"/>
  <c r="E1920" i="9"/>
  <c r="D1920" i="9"/>
  <c r="E1919" i="9"/>
  <c r="D1919" i="9"/>
  <c r="E1902" i="9"/>
  <c r="D1902" i="9"/>
  <c r="E1901" i="9"/>
  <c r="D1901" i="9"/>
  <c r="E1884" i="9"/>
  <c r="D1884" i="9"/>
  <c r="E1883" i="9"/>
  <c r="D1883" i="9"/>
  <c r="H1982" i="9"/>
  <c r="H1981" i="9"/>
  <c r="A1976" i="9"/>
  <c r="E1975" i="9"/>
  <c r="D1975" i="9"/>
  <c r="H1964" i="9"/>
  <c r="H1963" i="9"/>
  <c r="A1958" i="9"/>
  <c r="E1957" i="9"/>
  <c r="D1957" i="9"/>
  <c r="H1946" i="9"/>
  <c r="H1945" i="9"/>
  <c r="A1940" i="9"/>
  <c r="E1939" i="9"/>
  <c r="D1939" i="9"/>
  <c r="H1928" i="9"/>
  <c r="H1927" i="9"/>
  <c r="H1930" i="9" s="1"/>
  <c r="G1921" i="9" s="1"/>
  <c r="H1921" i="9" s="1"/>
  <c r="A1922" i="9"/>
  <c r="E1921" i="9"/>
  <c r="D1921" i="9"/>
  <c r="H1910" i="9"/>
  <c r="H1909" i="9"/>
  <c r="A1904" i="9"/>
  <c r="E1903" i="9"/>
  <c r="D1903" i="9"/>
  <c r="H1892" i="9"/>
  <c r="H1891" i="9"/>
  <c r="A1886" i="9"/>
  <c r="E1885" i="9"/>
  <c r="D1885" i="9"/>
  <c r="H2133" i="9" l="1"/>
  <c r="H1948" i="9"/>
  <c r="G1939" i="9" s="1"/>
  <c r="H1939" i="9" s="1"/>
  <c r="H1940" i="9" s="1"/>
  <c r="H2151" i="9"/>
  <c r="H2158" i="9" s="1"/>
  <c r="H2219" i="9"/>
  <c r="H2205" i="9"/>
  <c r="H2191" i="9"/>
  <c r="H2178" i="9"/>
  <c r="H2140" i="9"/>
  <c r="H1894" i="9"/>
  <c r="G1885" i="9" s="1"/>
  <c r="H1885" i="9" s="1"/>
  <c r="H1886" i="9" s="1"/>
  <c r="H1912" i="9"/>
  <c r="G1903" i="9" s="1"/>
  <c r="H1903" i="9" s="1"/>
  <c r="H1904" i="9" s="1"/>
  <c r="H1966" i="9"/>
  <c r="G1957" i="9" s="1"/>
  <c r="H1957" i="9" s="1"/>
  <c r="H2047" i="9"/>
  <c r="G2038" i="9" s="1"/>
  <c r="H2038" i="9" s="1"/>
  <c r="H2039" i="9" s="1"/>
  <c r="H2117" i="9"/>
  <c r="H1984" i="9"/>
  <c r="G1975" i="9" s="1"/>
  <c r="H1975" i="9" s="1"/>
  <c r="H1976" i="9" s="1"/>
  <c r="H2056" i="9"/>
  <c r="H2099" i="9"/>
  <c r="H2080" i="9"/>
  <c r="H2066" i="9"/>
  <c r="H1958" i="9"/>
  <c r="H1922" i="9"/>
  <c r="A1875" i="9" l="1"/>
  <c r="G1874" i="9"/>
  <c r="H1874" i="9" s="1"/>
  <c r="G1873" i="9"/>
  <c r="H1873" i="9" s="1"/>
  <c r="G1872" i="9"/>
  <c r="H1872" i="9" s="1"/>
  <c r="G1871" i="9"/>
  <c r="H1871" i="9" s="1"/>
  <c r="E1874" i="9"/>
  <c r="D1874" i="9"/>
  <c r="E1873" i="9"/>
  <c r="D1873" i="9"/>
  <c r="E1872" i="9"/>
  <c r="D1872" i="9"/>
  <c r="E1871" i="9"/>
  <c r="D1871" i="9"/>
  <c r="F449" i="1"/>
  <c r="A1863" i="9"/>
  <c r="G1862" i="9"/>
  <c r="H1862" i="9" s="1"/>
  <c r="G1861" i="9"/>
  <c r="H1861" i="9" s="1"/>
  <c r="G1860" i="9"/>
  <c r="H1860" i="9" s="1"/>
  <c r="G1859" i="9"/>
  <c r="H1859" i="9" s="1"/>
  <c r="E1862" i="9"/>
  <c r="D1862" i="9"/>
  <c r="E1861" i="9"/>
  <c r="D1861" i="9"/>
  <c r="E1860" i="9"/>
  <c r="D1860" i="9"/>
  <c r="E1859" i="9"/>
  <c r="D1859" i="9"/>
  <c r="D447" i="1"/>
  <c r="E447" i="1"/>
  <c r="G447" i="1"/>
  <c r="D448" i="1"/>
  <c r="E448" i="1"/>
  <c r="G448" i="1"/>
  <c r="D450" i="1"/>
  <c r="E450" i="1"/>
  <c r="G450" i="1"/>
  <c r="D451" i="1"/>
  <c r="E451" i="1"/>
  <c r="G451" i="1"/>
  <c r="D452" i="1"/>
  <c r="E452" i="1"/>
  <c r="G452" i="1"/>
  <c r="D453" i="1"/>
  <c r="E453" i="1"/>
  <c r="G453" i="1"/>
  <c r="A1844" i="9"/>
  <c r="G1842" i="9"/>
  <c r="H1842" i="9" s="1"/>
  <c r="G1841" i="9"/>
  <c r="H1841" i="9" s="1"/>
  <c r="G1840" i="9"/>
  <c r="H1840" i="9" s="1"/>
  <c r="G1839" i="9"/>
  <c r="H1839" i="9" s="1"/>
  <c r="E1842" i="9"/>
  <c r="D1842" i="9"/>
  <c r="E1841" i="9"/>
  <c r="D1841" i="9"/>
  <c r="E1840" i="9"/>
  <c r="D1840" i="9"/>
  <c r="E1839" i="9"/>
  <c r="D1839" i="9"/>
  <c r="H1851" i="9"/>
  <c r="H1850" i="9"/>
  <c r="H1849" i="9"/>
  <c r="E1843" i="9"/>
  <c r="D1843" i="9"/>
  <c r="F635" i="1"/>
  <c r="F634" i="1"/>
  <c r="F633" i="1"/>
  <c r="F631" i="1"/>
  <c r="H1875" i="9" l="1"/>
  <c r="H1852" i="9"/>
  <c r="G1843" i="9" s="1"/>
  <c r="H1843" i="9" s="1"/>
  <c r="H1844" i="9" s="1"/>
  <c r="H1863" i="9"/>
  <c r="F620" i="1"/>
  <c r="D619" i="1"/>
  <c r="E619" i="1"/>
  <c r="G619" i="1"/>
  <c r="D620" i="1"/>
  <c r="E620" i="1"/>
  <c r="G620" i="1"/>
  <c r="D621" i="1"/>
  <c r="E621" i="1"/>
  <c r="G621" i="1"/>
  <c r="D623" i="1"/>
  <c r="E623" i="1"/>
  <c r="G623" i="1"/>
  <c r="D624" i="1"/>
  <c r="E624" i="1"/>
  <c r="G624" i="1"/>
  <c r="D625" i="1"/>
  <c r="E625" i="1"/>
  <c r="G625" i="1"/>
  <c r="D626" i="1"/>
  <c r="E626" i="1"/>
  <c r="G626" i="1"/>
  <c r="D627" i="1"/>
  <c r="E627" i="1"/>
  <c r="G627" i="1"/>
  <c r="D628" i="1"/>
  <c r="E628" i="1"/>
  <c r="G628" i="1"/>
  <c r="D629" i="1"/>
  <c r="E629" i="1"/>
  <c r="G629" i="1"/>
  <c r="D630" i="1"/>
  <c r="E630" i="1"/>
  <c r="G630" i="1"/>
  <c r="D631" i="1"/>
  <c r="E631" i="1"/>
  <c r="G631" i="1"/>
  <c r="D632" i="1"/>
  <c r="E632" i="1"/>
  <c r="G632" i="1"/>
  <c r="D633" i="1"/>
  <c r="E633" i="1"/>
  <c r="G633" i="1"/>
  <c r="D634" i="1"/>
  <c r="E634" i="1"/>
  <c r="G634" i="1"/>
  <c r="D635" i="1"/>
  <c r="E635" i="1"/>
  <c r="G635" i="1"/>
  <c r="D636" i="1"/>
  <c r="E636" i="1"/>
  <c r="G636" i="1"/>
  <c r="D637" i="1"/>
  <c r="E637" i="1"/>
  <c r="G637" i="1"/>
  <c r="D638" i="1"/>
  <c r="E638" i="1"/>
  <c r="G638" i="1"/>
  <c r="D639" i="1"/>
  <c r="E639" i="1"/>
  <c r="G639" i="1"/>
  <c r="D640" i="1"/>
  <c r="E640" i="1"/>
  <c r="G640" i="1"/>
  <c r="D641" i="1"/>
  <c r="E641" i="1"/>
  <c r="G641" i="1"/>
  <c r="D642" i="1"/>
  <c r="E642" i="1"/>
  <c r="G642" i="1"/>
  <c r="D643" i="1"/>
  <c r="E643" i="1"/>
  <c r="G643" i="1"/>
  <c r="D644" i="1"/>
  <c r="E644" i="1"/>
  <c r="G644" i="1"/>
  <c r="D645" i="1"/>
  <c r="E645" i="1"/>
  <c r="G645" i="1"/>
  <c r="D647" i="1"/>
  <c r="E647" i="1"/>
  <c r="G647" i="1"/>
  <c r="D648" i="1"/>
  <c r="E648" i="1"/>
  <c r="G648" i="1"/>
  <c r="D649" i="1"/>
  <c r="E649" i="1"/>
  <c r="G649" i="1"/>
  <c r="D652" i="1"/>
  <c r="E652" i="1"/>
  <c r="G652" i="1"/>
  <c r="D653" i="1"/>
  <c r="E653" i="1"/>
  <c r="G653" i="1"/>
  <c r="D654" i="1"/>
  <c r="E654" i="1"/>
  <c r="G654" i="1"/>
  <c r="F669" i="1"/>
  <c r="D669" i="1"/>
  <c r="E669" i="1"/>
  <c r="G669" i="1"/>
  <c r="D600" i="1"/>
  <c r="D599" i="1"/>
  <c r="A1831" i="9"/>
  <c r="G1830" i="9"/>
  <c r="H1830" i="9" s="1"/>
  <c r="G1829" i="9"/>
  <c r="H1829" i="9" s="1"/>
  <c r="G1828" i="9"/>
  <c r="H1828" i="9" s="1"/>
  <c r="G1827" i="9"/>
  <c r="H1827" i="9" s="1"/>
  <c r="E1830" i="9"/>
  <c r="D1830" i="9"/>
  <c r="E1829" i="9"/>
  <c r="D1829" i="9"/>
  <c r="E1828" i="9"/>
  <c r="D1828" i="9"/>
  <c r="E1827" i="9"/>
  <c r="D1827" i="9"/>
  <c r="A1819" i="9"/>
  <c r="G1818" i="9"/>
  <c r="G1817" i="9"/>
  <c r="G1816" i="9"/>
  <c r="G1815" i="9"/>
  <c r="G1814" i="9"/>
  <c r="E1818" i="9"/>
  <c r="D1818" i="9"/>
  <c r="E1817" i="9"/>
  <c r="D1817" i="9"/>
  <c r="E1816" i="9"/>
  <c r="D1816" i="9"/>
  <c r="E1815" i="9"/>
  <c r="D1815" i="9"/>
  <c r="E1814" i="9"/>
  <c r="D1814" i="9"/>
  <c r="F1818" i="9"/>
  <c r="F1817" i="9" s="1"/>
  <c r="F583" i="1"/>
  <c r="A1806" i="9"/>
  <c r="G1805" i="9"/>
  <c r="H1805" i="9" s="1"/>
  <c r="G1804" i="9"/>
  <c r="H1804" i="9" s="1"/>
  <c r="G1803" i="9"/>
  <c r="H1803" i="9" s="1"/>
  <c r="G1802" i="9"/>
  <c r="H1802" i="9" s="1"/>
  <c r="G1801" i="9"/>
  <c r="H1801" i="9" s="1"/>
  <c r="G1784" i="9"/>
  <c r="H1784" i="9" s="1"/>
  <c r="G1783" i="9"/>
  <c r="H1783" i="9" s="1"/>
  <c r="G1782" i="9"/>
  <c r="H1782" i="9" s="1"/>
  <c r="G1781" i="9"/>
  <c r="H1781" i="9" s="1"/>
  <c r="E1805" i="9"/>
  <c r="D1805" i="9"/>
  <c r="E1804" i="9"/>
  <c r="D1804" i="9"/>
  <c r="E1803" i="9"/>
  <c r="D1803" i="9"/>
  <c r="E1802" i="9"/>
  <c r="D1802" i="9"/>
  <c r="E1801" i="9"/>
  <c r="D1801" i="9"/>
  <c r="E1784" i="9"/>
  <c r="D1784" i="9"/>
  <c r="E1783" i="9"/>
  <c r="D1783" i="9"/>
  <c r="E1782" i="9"/>
  <c r="D1782" i="9"/>
  <c r="E1781" i="9"/>
  <c r="D1781" i="9"/>
  <c r="F577" i="1"/>
  <c r="G577" i="1"/>
  <c r="D577" i="1"/>
  <c r="E577" i="1"/>
  <c r="F1814" i="9" l="1"/>
  <c r="F1815" i="9"/>
  <c r="H1815" i="9" s="1"/>
  <c r="F1816" i="9"/>
  <c r="H1816" i="9" s="1"/>
  <c r="H1817" i="9"/>
  <c r="H1814" i="9"/>
  <c r="H1818" i="9"/>
  <c r="H1831" i="9"/>
  <c r="H1806" i="9"/>
  <c r="D576" i="1"/>
  <c r="E576" i="1"/>
  <c r="G576" i="1"/>
  <c r="A1786" i="9"/>
  <c r="H1793" i="9"/>
  <c r="H1792" i="9"/>
  <c r="H1791" i="9"/>
  <c r="E1785" i="9"/>
  <c r="D1785" i="9"/>
  <c r="A1773" i="9"/>
  <c r="A1754" i="9"/>
  <c r="E1772" i="9"/>
  <c r="D1772" i="9"/>
  <c r="E1771" i="9"/>
  <c r="D1771" i="9"/>
  <c r="E1770" i="9"/>
  <c r="D1770" i="9"/>
  <c r="E1769" i="9"/>
  <c r="D1769" i="9"/>
  <c r="E1768" i="9"/>
  <c r="D1768" i="9"/>
  <c r="E1767" i="9"/>
  <c r="D1767" i="9"/>
  <c r="E1766" i="9"/>
  <c r="D1766" i="9"/>
  <c r="E1765" i="9"/>
  <c r="D1765" i="9"/>
  <c r="E1764" i="9"/>
  <c r="D1764" i="9"/>
  <c r="E1763" i="9"/>
  <c r="D1763" i="9"/>
  <c r="E1762" i="9"/>
  <c r="D1762" i="9"/>
  <c r="G1772" i="9"/>
  <c r="H1772" i="9" s="1"/>
  <c r="G1771" i="9"/>
  <c r="H1771" i="9" s="1"/>
  <c r="G1770" i="9"/>
  <c r="H1770" i="9" s="1"/>
  <c r="G1769" i="9"/>
  <c r="H1769" i="9" s="1"/>
  <c r="G1768" i="9"/>
  <c r="H1768" i="9" s="1"/>
  <c r="G1767" i="9"/>
  <c r="H1767" i="9" s="1"/>
  <c r="G1766" i="9"/>
  <c r="H1766" i="9" s="1"/>
  <c r="G1765" i="9"/>
  <c r="H1765" i="9" s="1"/>
  <c r="G1764" i="9"/>
  <c r="H1764" i="9" s="1"/>
  <c r="G1763" i="9"/>
  <c r="H1763" i="9" s="1"/>
  <c r="G1762" i="9"/>
  <c r="H1762" i="9" s="1"/>
  <c r="G1753" i="9"/>
  <c r="H1753" i="9" s="1"/>
  <c r="G1752" i="9"/>
  <c r="H1752" i="9" s="1"/>
  <c r="G1751" i="9"/>
  <c r="H1751" i="9" s="1"/>
  <c r="G1750" i="9"/>
  <c r="H1750" i="9" s="1"/>
  <c r="G1749" i="9"/>
  <c r="H1749" i="9" s="1"/>
  <c r="G1748" i="9"/>
  <c r="H1748" i="9" s="1"/>
  <c r="G1747" i="9"/>
  <c r="H1747" i="9" s="1"/>
  <c r="G1746" i="9"/>
  <c r="H1746" i="9" s="1"/>
  <c r="G1745" i="9"/>
  <c r="H1745" i="9" s="1"/>
  <c r="G1744" i="9"/>
  <c r="H1744" i="9" s="1"/>
  <c r="G1743" i="9"/>
  <c r="H1743" i="9" s="1"/>
  <c r="E1753" i="9"/>
  <c r="D1753" i="9"/>
  <c r="E1752" i="9"/>
  <c r="D1752" i="9"/>
  <c r="E1751" i="9"/>
  <c r="D1751" i="9"/>
  <c r="E1750" i="9"/>
  <c r="D1750" i="9"/>
  <c r="E1749" i="9"/>
  <c r="D1749" i="9"/>
  <c r="E1748" i="9"/>
  <c r="D1748" i="9"/>
  <c r="E1747" i="9"/>
  <c r="D1747" i="9"/>
  <c r="E1746" i="9"/>
  <c r="D1746" i="9"/>
  <c r="E1745" i="9"/>
  <c r="D1745" i="9"/>
  <c r="E1744" i="9"/>
  <c r="D1744" i="9"/>
  <c r="E1743" i="9"/>
  <c r="D1743" i="9"/>
  <c r="F565" i="1"/>
  <c r="F563" i="1"/>
  <c r="D561" i="1"/>
  <c r="E561" i="1"/>
  <c r="G561" i="1"/>
  <c r="D562" i="1"/>
  <c r="E562" i="1"/>
  <c r="G562" i="1"/>
  <c r="D563" i="1"/>
  <c r="E563" i="1"/>
  <c r="G563" i="1"/>
  <c r="D565" i="1"/>
  <c r="E565" i="1"/>
  <c r="G565" i="1"/>
  <c r="G666" i="1"/>
  <c r="E666" i="1"/>
  <c r="D666" i="1"/>
  <c r="G660" i="1"/>
  <c r="E660" i="1"/>
  <c r="D660" i="1"/>
  <c r="G618" i="1"/>
  <c r="E618" i="1"/>
  <c r="D618" i="1"/>
  <c r="G617" i="1"/>
  <c r="E617" i="1"/>
  <c r="D617" i="1"/>
  <c r="G616" i="1"/>
  <c r="E616" i="1"/>
  <c r="D616" i="1"/>
  <c r="G604" i="1"/>
  <c r="E604" i="1"/>
  <c r="D604" i="1"/>
  <c r="G603" i="1"/>
  <c r="E603" i="1"/>
  <c r="D603" i="1"/>
  <c r="G600" i="1"/>
  <c r="E600" i="1"/>
  <c r="G599" i="1"/>
  <c r="E599" i="1"/>
  <c r="G598" i="1"/>
  <c r="E598" i="1"/>
  <c r="D598" i="1"/>
  <c r="G597" i="1"/>
  <c r="E597" i="1"/>
  <c r="D597" i="1"/>
  <c r="G596" i="1"/>
  <c r="E596" i="1"/>
  <c r="D596" i="1"/>
  <c r="G595" i="1"/>
  <c r="E595" i="1"/>
  <c r="D595" i="1"/>
  <c r="G592" i="1"/>
  <c r="E592" i="1"/>
  <c r="D592" i="1"/>
  <c r="G591" i="1"/>
  <c r="E591" i="1"/>
  <c r="D591" i="1"/>
  <c r="G575" i="1"/>
  <c r="E575" i="1"/>
  <c r="D575" i="1"/>
  <c r="G572" i="1"/>
  <c r="E572" i="1"/>
  <c r="D572" i="1"/>
  <c r="H1819" i="9" l="1"/>
  <c r="H1773" i="9"/>
  <c r="H1794" i="9"/>
  <c r="G1785" i="9" s="1"/>
  <c r="H1785" i="9" s="1"/>
  <c r="H1786" i="9" s="1"/>
  <c r="H1754" i="9"/>
  <c r="A1729" i="9"/>
  <c r="G1727" i="9"/>
  <c r="H1727" i="9" s="1"/>
  <c r="G1726" i="9"/>
  <c r="H1726" i="9" s="1"/>
  <c r="E1727" i="9"/>
  <c r="D1727" i="9"/>
  <c r="E1726" i="9"/>
  <c r="D1726" i="9"/>
  <c r="G1728" i="9"/>
  <c r="H1728" i="9" s="1"/>
  <c r="D1728" i="9"/>
  <c r="F197" i="1"/>
  <c r="A1711" i="9"/>
  <c r="G1709" i="9"/>
  <c r="H1709" i="9" s="1"/>
  <c r="G1708" i="9"/>
  <c r="H1708" i="9" s="1"/>
  <c r="E1709" i="9"/>
  <c r="D1709" i="9"/>
  <c r="E1708" i="9"/>
  <c r="D1708" i="9"/>
  <c r="H1719" i="9"/>
  <c r="G1710" i="9" s="1"/>
  <c r="H1710" i="9" s="1"/>
  <c r="E1710" i="9"/>
  <c r="D1710" i="9"/>
  <c r="G1690" i="9"/>
  <c r="H1690" i="9" s="1"/>
  <c r="G1687" i="9"/>
  <c r="H1687" i="9" s="1"/>
  <c r="G1686" i="9"/>
  <c r="H1686" i="9" s="1"/>
  <c r="E1690" i="9"/>
  <c r="D1690" i="9"/>
  <c r="E1687" i="9"/>
  <c r="D1687" i="9"/>
  <c r="E1686" i="9"/>
  <c r="D1686" i="9"/>
  <c r="H1701" i="9"/>
  <c r="G1689" i="9" s="1"/>
  <c r="H1689" i="9" s="1"/>
  <c r="H1697" i="9"/>
  <c r="G1688" i="9" s="1"/>
  <c r="H1688" i="9" s="1"/>
  <c r="A1691" i="9"/>
  <c r="E1689" i="9"/>
  <c r="D1689" i="9"/>
  <c r="E1688" i="9"/>
  <c r="D1688" i="9"/>
  <c r="G1663" i="9"/>
  <c r="H1663" i="9" s="1"/>
  <c r="G1660" i="9"/>
  <c r="H1660" i="9" s="1"/>
  <c r="G1659" i="9"/>
  <c r="H1659" i="9" s="1"/>
  <c r="E1663" i="9"/>
  <c r="D1663" i="9"/>
  <c r="E1660" i="9"/>
  <c r="D1660" i="9"/>
  <c r="E1659" i="9"/>
  <c r="D1659" i="9"/>
  <c r="E1664" i="9"/>
  <c r="E1662" i="9"/>
  <c r="E1661" i="9"/>
  <c r="D1664" i="9"/>
  <c r="D1662" i="9"/>
  <c r="D1661" i="9"/>
  <c r="E1637" i="9"/>
  <c r="E1635" i="9"/>
  <c r="E1634" i="9"/>
  <c r="D1637" i="9"/>
  <c r="D1635" i="9"/>
  <c r="D1634" i="9"/>
  <c r="G1636" i="9"/>
  <c r="H1636" i="9" s="1"/>
  <c r="G1633" i="9"/>
  <c r="H1633" i="9" s="1"/>
  <c r="G1632" i="9"/>
  <c r="H1632" i="9" s="1"/>
  <c r="E1636" i="9"/>
  <c r="D1636" i="9"/>
  <c r="E1633" i="9"/>
  <c r="D1633" i="9"/>
  <c r="E1632" i="9"/>
  <c r="D1632" i="9"/>
  <c r="H1679" i="9"/>
  <c r="G1664" i="9" s="1"/>
  <c r="H1664" i="9" s="1"/>
  <c r="H1675" i="9"/>
  <c r="G1662" i="9" s="1"/>
  <c r="H1671" i="9"/>
  <c r="G1661" i="9" s="1"/>
  <c r="H1661" i="9" s="1"/>
  <c r="A1665" i="9"/>
  <c r="H1652" i="9"/>
  <c r="G1637" i="9" s="1"/>
  <c r="H1637" i="9" s="1"/>
  <c r="H1648" i="9"/>
  <c r="G1635" i="9" s="1"/>
  <c r="H1644" i="9"/>
  <c r="G1634" i="9" s="1"/>
  <c r="H1634" i="9" s="1"/>
  <c r="A1638" i="9"/>
  <c r="H1711" i="9" l="1"/>
  <c r="H1662" i="9"/>
  <c r="H1665" i="9" s="1"/>
  <c r="H1729" i="9"/>
  <c r="H1635" i="9"/>
  <c r="H1638" i="9" s="1"/>
  <c r="H1691" i="9"/>
  <c r="A1613" i="9" l="1"/>
  <c r="G1610" i="9"/>
  <c r="H1610" i="9" s="1"/>
  <c r="G1609" i="9"/>
  <c r="H1609" i="9" s="1"/>
  <c r="E1610" i="9"/>
  <c r="D1610" i="9"/>
  <c r="E1609" i="9"/>
  <c r="D1609" i="9"/>
  <c r="H1624" i="9"/>
  <c r="H1623" i="9"/>
  <c r="H1619" i="9"/>
  <c r="H1618" i="9"/>
  <c r="E1612" i="9"/>
  <c r="D1612" i="9"/>
  <c r="E1611" i="9"/>
  <c r="D1611" i="9"/>
  <c r="A1576" i="9"/>
  <c r="G1575" i="9"/>
  <c r="H1575" i="9" s="1"/>
  <c r="G1570" i="9"/>
  <c r="G1569" i="9"/>
  <c r="E1575" i="9"/>
  <c r="D1575" i="9"/>
  <c r="E1570" i="9"/>
  <c r="D1570" i="9"/>
  <c r="E1569" i="9"/>
  <c r="D1569" i="9"/>
  <c r="H1602" i="9"/>
  <c r="G1574" i="9" s="1"/>
  <c r="H1574" i="9" s="1"/>
  <c r="H1596" i="9"/>
  <c r="G1573" i="9" s="1"/>
  <c r="H1573" i="9" s="1"/>
  <c r="H1589" i="9"/>
  <c r="H1588" i="9"/>
  <c r="H1587" i="9"/>
  <c r="H1583" i="9"/>
  <c r="H1582" i="9"/>
  <c r="H1581" i="9"/>
  <c r="E1574" i="9"/>
  <c r="D1574" i="9"/>
  <c r="E1573" i="9"/>
  <c r="D1573" i="9"/>
  <c r="E1572" i="9"/>
  <c r="D1572" i="9"/>
  <c r="E1571" i="9"/>
  <c r="D1571" i="9"/>
  <c r="F1570" i="9"/>
  <c r="F1569" i="9"/>
  <c r="A1542" i="9"/>
  <c r="G1541" i="9"/>
  <c r="H1541" i="9" s="1"/>
  <c r="G1540" i="9"/>
  <c r="H1540" i="9" s="1"/>
  <c r="G1536" i="9"/>
  <c r="G1535" i="9"/>
  <c r="E1541" i="9"/>
  <c r="D1541" i="9"/>
  <c r="E1540" i="9"/>
  <c r="D1540" i="9"/>
  <c r="E1536" i="9"/>
  <c r="D1536" i="9"/>
  <c r="E1535" i="9"/>
  <c r="D1535" i="9"/>
  <c r="H1561" i="9"/>
  <c r="H1562" i="9" s="1"/>
  <c r="G1539" i="9" s="1"/>
  <c r="H1539" i="9" s="1"/>
  <c r="H1555" i="9"/>
  <c r="H1554" i="9"/>
  <c r="H1553" i="9"/>
  <c r="H1549" i="9"/>
  <c r="H1548" i="9"/>
  <c r="H1547" i="9"/>
  <c r="E1539" i="9"/>
  <c r="D1539" i="9"/>
  <c r="E1538" i="9"/>
  <c r="D1538" i="9"/>
  <c r="E1537" i="9"/>
  <c r="D1537" i="9"/>
  <c r="F1536" i="9"/>
  <c r="F1535" i="9"/>
  <c r="H1620" i="9" l="1"/>
  <c r="G1611" i="9" s="1"/>
  <c r="H1611" i="9" s="1"/>
  <c r="H1556" i="9"/>
  <c r="G1538" i="9" s="1"/>
  <c r="H1538" i="9" s="1"/>
  <c r="H1590" i="9"/>
  <c r="G1572" i="9" s="1"/>
  <c r="H1572" i="9" s="1"/>
  <c r="H1625" i="9"/>
  <c r="G1612" i="9" s="1"/>
  <c r="H1612" i="9" s="1"/>
  <c r="H1584" i="9"/>
  <c r="G1571" i="9" s="1"/>
  <c r="H1571" i="9" s="1"/>
  <c r="H1569" i="9"/>
  <c r="H1535" i="9"/>
  <c r="H1550" i="9"/>
  <c r="G1537" i="9" s="1"/>
  <c r="H1537" i="9" s="1"/>
  <c r="H1536" i="9"/>
  <c r="H1570" i="9"/>
  <c r="H1542" i="9" l="1"/>
  <c r="H1613" i="9"/>
  <c r="H1576" i="9"/>
  <c r="F146" i="1"/>
  <c r="A1502" i="9" l="1"/>
  <c r="G1501" i="9"/>
  <c r="H1501" i="9" s="1"/>
  <c r="G1496" i="9"/>
  <c r="G1495" i="9"/>
  <c r="E1501" i="9"/>
  <c r="D1501" i="9"/>
  <c r="E1496" i="9"/>
  <c r="D1496" i="9"/>
  <c r="E1495" i="9"/>
  <c r="D1495" i="9"/>
  <c r="G1479" i="9"/>
  <c r="H1479" i="9" s="1"/>
  <c r="G1478" i="9"/>
  <c r="H1478" i="9" s="1"/>
  <c r="G1477" i="9"/>
  <c r="H1477" i="9" s="1"/>
  <c r="E1479" i="9"/>
  <c r="D1479" i="9"/>
  <c r="E1478" i="9"/>
  <c r="D1478" i="9"/>
  <c r="E1477" i="9"/>
  <c r="D1477" i="9"/>
  <c r="H1528" i="9"/>
  <c r="G1500" i="9" s="1"/>
  <c r="H1500" i="9" s="1"/>
  <c r="H1522" i="9"/>
  <c r="G1499" i="9" s="1"/>
  <c r="H1499" i="9" s="1"/>
  <c r="H1515" i="9"/>
  <c r="H1514" i="9"/>
  <c r="H1509" i="9"/>
  <c r="H1508" i="9"/>
  <c r="E1500" i="9"/>
  <c r="D1500" i="9"/>
  <c r="E1499" i="9"/>
  <c r="D1499" i="9"/>
  <c r="E1498" i="9"/>
  <c r="D1498" i="9"/>
  <c r="E1497" i="9"/>
  <c r="D1497" i="9"/>
  <c r="F1496" i="9"/>
  <c r="F1495" i="9"/>
  <c r="H1495" i="9" l="1"/>
  <c r="H1496" i="9"/>
  <c r="H1516" i="9"/>
  <c r="G1498" i="9" s="1"/>
  <c r="H1498" i="9" s="1"/>
  <c r="H1510" i="9"/>
  <c r="G1497" i="9" s="1"/>
  <c r="H1497" i="9" s="1"/>
  <c r="A1481" i="9"/>
  <c r="H1487" i="9"/>
  <c r="H1486" i="9"/>
  <c r="H1488" i="9" s="1"/>
  <c r="G1480" i="9" s="1"/>
  <c r="H1480" i="9" s="1"/>
  <c r="E1480" i="9"/>
  <c r="D1480" i="9"/>
  <c r="A1462" i="9"/>
  <c r="G1460" i="9"/>
  <c r="H1460" i="9" s="1"/>
  <c r="G1459" i="9"/>
  <c r="H1459" i="9" s="1"/>
  <c r="E1460" i="9"/>
  <c r="D1460" i="9"/>
  <c r="E1459" i="9"/>
  <c r="D1459" i="9"/>
  <c r="H1469" i="9"/>
  <c r="H1468" i="9"/>
  <c r="H1467" i="9"/>
  <c r="E1461" i="9"/>
  <c r="D1461" i="9"/>
  <c r="E1442" i="9"/>
  <c r="D1442" i="9"/>
  <c r="E1441" i="9"/>
  <c r="D1441" i="9"/>
  <c r="G1442" i="9"/>
  <c r="H1442" i="9" s="1"/>
  <c r="G1441" i="9"/>
  <c r="H1441" i="9" s="1"/>
  <c r="G1424" i="9"/>
  <c r="H1424" i="9" s="1"/>
  <c r="G1423" i="9"/>
  <c r="H1423" i="9" s="1"/>
  <c r="E1424" i="9"/>
  <c r="D1424" i="9"/>
  <c r="E1423" i="9"/>
  <c r="D1423" i="9"/>
  <c r="A1444" i="9"/>
  <c r="H1451" i="9"/>
  <c r="H1450" i="9"/>
  <c r="H1449" i="9"/>
  <c r="E1443" i="9"/>
  <c r="D1443" i="9"/>
  <c r="A1426" i="9"/>
  <c r="H1434" i="9"/>
  <c r="G1425" i="9" s="1"/>
  <c r="H1425" i="9" s="1"/>
  <c r="E1425" i="9"/>
  <c r="D1425" i="9"/>
  <c r="F387" i="1"/>
  <c r="F386" i="1"/>
  <c r="A1415" i="9"/>
  <c r="G1414" i="9"/>
  <c r="H1414" i="9" s="1"/>
  <c r="G1413" i="9"/>
  <c r="H1413" i="9" s="1"/>
  <c r="E1414" i="9"/>
  <c r="D1414" i="9"/>
  <c r="E1413" i="9"/>
  <c r="D1413" i="9"/>
  <c r="A1405" i="9"/>
  <c r="G1404" i="9"/>
  <c r="H1404" i="9" s="1"/>
  <c r="G1403" i="9"/>
  <c r="H1403" i="9" s="1"/>
  <c r="E1404" i="9"/>
  <c r="D1404" i="9"/>
  <c r="E1403" i="9"/>
  <c r="D1403" i="9"/>
  <c r="A1395" i="9"/>
  <c r="G1394" i="9"/>
  <c r="H1394" i="9" s="1"/>
  <c r="G1393" i="9"/>
  <c r="H1393" i="9" s="1"/>
  <c r="G1392" i="9"/>
  <c r="H1392" i="9" s="1"/>
  <c r="G1391" i="9"/>
  <c r="H1391" i="9" s="1"/>
  <c r="E1394" i="9"/>
  <c r="D1394" i="9"/>
  <c r="E1393" i="9"/>
  <c r="D1393" i="9"/>
  <c r="E1392" i="9"/>
  <c r="D1392" i="9"/>
  <c r="E1391" i="9"/>
  <c r="D1391" i="9"/>
  <c r="A1383" i="9"/>
  <c r="G1382" i="9"/>
  <c r="H1382" i="9" s="1"/>
  <c r="G1381" i="9"/>
  <c r="H1381" i="9" s="1"/>
  <c r="G1380" i="9"/>
  <c r="H1380" i="9" s="1"/>
  <c r="E1382" i="9"/>
  <c r="D1382" i="9"/>
  <c r="E1381" i="9"/>
  <c r="D1381" i="9"/>
  <c r="E1380" i="9"/>
  <c r="D1380" i="9"/>
  <c r="H1405" i="9" l="1"/>
  <c r="H1470" i="9"/>
  <c r="G1461" i="9" s="1"/>
  <c r="H1461" i="9" s="1"/>
  <c r="H1462" i="9" s="1"/>
  <c r="H1502" i="9"/>
  <c r="H1452" i="9"/>
  <c r="G1443" i="9" s="1"/>
  <c r="H1443" i="9" s="1"/>
  <c r="H1444" i="9" s="1"/>
  <c r="H1383" i="9"/>
  <c r="H1395" i="9"/>
  <c r="H1415" i="9"/>
  <c r="H1481" i="9"/>
  <c r="H1426" i="9"/>
  <c r="A1365" i="9" l="1"/>
  <c r="G1363" i="9"/>
  <c r="H1363" i="9" s="1"/>
  <c r="G1362" i="9"/>
  <c r="H1362" i="9" s="1"/>
  <c r="E1363" i="9"/>
  <c r="D1363" i="9"/>
  <c r="E1362" i="9"/>
  <c r="D1362" i="9"/>
  <c r="H1372" i="9"/>
  <c r="H1370" i="9"/>
  <c r="E1364" i="9"/>
  <c r="D1364" i="9"/>
  <c r="A1347" i="9"/>
  <c r="G1345" i="9"/>
  <c r="H1345" i="9" s="1"/>
  <c r="G1344" i="9"/>
  <c r="H1344" i="9" s="1"/>
  <c r="G1343" i="9"/>
  <c r="H1343" i="9" s="1"/>
  <c r="E1345" i="9"/>
  <c r="D1345" i="9"/>
  <c r="E1344" i="9"/>
  <c r="D1344" i="9"/>
  <c r="E1343" i="9"/>
  <c r="D1343" i="9"/>
  <c r="H1355" i="9"/>
  <c r="G1346" i="9" s="1"/>
  <c r="H1346" i="9" s="1"/>
  <c r="E1346" i="9"/>
  <c r="D1346" i="9"/>
  <c r="H1373" i="9" l="1"/>
  <c r="G1364" i="9" s="1"/>
  <c r="H1364" i="9" s="1"/>
  <c r="H1365" i="9" s="1"/>
  <c r="H1347" i="9"/>
  <c r="A1335" i="9" l="1"/>
  <c r="G1334" i="9"/>
  <c r="H1334" i="9" s="1"/>
  <c r="G1333" i="9"/>
  <c r="H1333" i="9" s="1"/>
  <c r="G1332" i="9"/>
  <c r="H1332" i="9" s="1"/>
  <c r="G1331" i="9"/>
  <c r="H1331" i="9" s="1"/>
  <c r="G1330" i="9"/>
  <c r="H1330" i="9" s="1"/>
  <c r="E1334" i="9"/>
  <c r="D1334" i="9"/>
  <c r="E1333" i="9"/>
  <c r="D1333" i="9"/>
  <c r="E1332" i="9"/>
  <c r="D1332" i="9"/>
  <c r="E1331" i="9"/>
  <c r="D1331" i="9"/>
  <c r="E1330" i="9"/>
  <c r="D1330" i="9"/>
  <c r="A1322" i="9"/>
  <c r="G1321" i="9"/>
  <c r="H1321" i="9" s="1"/>
  <c r="G1320" i="9"/>
  <c r="H1320" i="9" s="1"/>
  <c r="G1319" i="9"/>
  <c r="H1319" i="9" s="1"/>
  <c r="G1318" i="9"/>
  <c r="H1318" i="9" s="1"/>
  <c r="G1317" i="9"/>
  <c r="H1317" i="9" s="1"/>
  <c r="G1316" i="9"/>
  <c r="H1316" i="9" s="1"/>
  <c r="E1321" i="9"/>
  <c r="D1321" i="9"/>
  <c r="E1320" i="9"/>
  <c r="D1320" i="9"/>
  <c r="E1319" i="9"/>
  <c r="D1319" i="9"/>
  <c r="E1318" i="9"/>
  <c r="D1318" i="9"/>
  <c r="E1317" i="9"/>
  <c r="D1317" i="9"/>
  <c r="E1316" i="9"/>
  <c r="D1316" i="9"/>
  <c r="D285" i="1"/>
  <c r="E285" i="1"/>
  <c r="G285" i="1"/>
  <c r="G284" i="1"/>
  <c r="D284" i="1"/>
  <c r="E284" i="1"/>
  <c r="F407" i="1"/>
  <c r="F411" i="1"/>
  <c r="F410" i="1"/>
  <c r="A1308" i="9"/>
  <c r="G1307" i="9"/>
  <c r="H1307" i="9" s="1"/>
  <c r="G1306" i="9"/>
  <c r="H1306" i="9" s="1"/>
  <c r="G1305" i="9"/>
  <c r="H1305" i="9" s="1"/>
  <c r="G1304" i="9"/>
  <c r="H1304" i="9" s="1"/>
  <c r="E1307" i="9"/>
  <c r="D1307" i="9"/>
  <c r="E1306" i="9"/>
  <c r="D1306" i="9"/>
  <c r="E1305" i="9"/>
  <c r="D1305" i="9"/>
  <c r="E1304" i="9"/>
  <c r="D1304" i="9"/>
  <c r="F343" i="1"/>
  <c r="F397" i="1"/>
  <c r="A1296" i="9"/>
  <c r="G1295" i="9"/>
  <c r="H1295" i="9" s="1"/>
  <c r="G1294" i="9"/>
  <c r="H1294" i="9" s="1"/>
  <c r="G1293" i="9"/>
  <c r="H1293" i="9" s="1"/>
  <c r="G1292" i="9"/>
  <c r="H1292" i="9" s="1"/>
  <c r="G1291" i="9"/>
  <c r="H1291" i="9" s="1"/>
  <c r="G1290" i="9"/>
  <c r="H1290" i="9" s="1"/>
  <c r="E1295" i="9"/>
  <c r="D1295" i="9"/>
  <c r="E1294" i="9"/>
  <c r="D1294" i="9"/>
  <c r="E1293" i="9"/>
  <c r="D1293" i="9"/>
  <c r="E1292" i="9"/>
  <c r="D1292" i="9"/>
  <c r="E1291" i="9"/>
  <c r="D1291" i="9"/>
  <c r="E1290" i="9"/>
  <c r="D1290" i="9"/>
  <c r="D396" i="1"/>
  <c r="E396" i="1"/>
  <c r="G396" i="1"/>
  <c r="D397" i="1"/>
  <c r="E397" i="1"/>
  <c r="G397" i="1"/>
  <c r="D398" i="1"/>
  <c r="E398" i="1"/>
  <c r="G398" i="1"/>
  <c r="D400" i="1"/>
  <c r="E400" i="1"/>
  <c r="G400" i="1"/>
  <c r="D401" i="1"/>
  <c r="E401" i="1"/>
  <c r="G401" i="1"/>
  <c r="D402" i="1"/>
  <c r="E402" i="1"/>
  <c r="G402" i="1"/>
  <c r="D403" i="1"/>
  <c r="E403" i="1"/>
  <c r="G403" i="1"/>
  <c r="G283" i="1"/>
  <c r="E283" i="1"/>
  <c r="D283" i="1"/>
  <c r="A1282" i="9"/>
  <c r="G1281" i="9"/>
  <c r="H1281" i="9" s="1"/>
  <c r="G1280" i="9"/>
  <c r="H1280" i="9" s="1"/>
  <c r="G1279" i="9"/>
  <c r="H1279" i="9" s="1"/>
  <c r="G1278" i="9"/>
  <c r="H1278" i="9" s="1"/>
  <c r="G1277" i="9"/>
  <c r="H1277" i="9" s="1"/>
  <c r="G1276" i="9"/>
  <c r="H1276" i="9" s="1"/>
  <c r="G1275" i="9"/>
  <c r="H1275" i="9" s="1"/>
  <c r="G1274" i="9"/>
  <c r="H1274" i="9" s="1"/>
  <c r="G1273" i="9"/>
  <c r="H1273" i="9" s="1"/>
  <c r="G1272" i="9"/>
  <c r="H1272" i="9" s="1"/>
  <c r="G1271" i="9"/>
  <c r="H1271" i="9" s="1"/>
  <c r="G1270" i="9"/>
  <c r="H1270" i="9" s="1"/>
  <c r="E1281" i="9"/>
  <c r="D1281" i="9"/>
  <c r="E1280" i="9"/>
  <c r="D1280" i="9"/>
  <c r="E1279" i="9"/>
  <c r="D1279" i="9"/>
  <c r="E1278" i="9"/>
  <c r="D1278" i="9"/>
  <c r="E1277" i="9"/>
  <c r="D1277" i="9"/>
  <c r="E1276" i="9"/>
  <c r="D1276" i="9"/>
  <c r="E1275" i="9"/>
  <c r="D1275" i="9"/>
  <c r="E1274" i="9"/>
  <c r="D1274" i="9"/>
  <c r="E1273" i="9"/>
  <c r="D1273" i="9"/>
  <c r="E1272" i="9"/>
  <c r="D1272" i="9"/>
  <c r="E1271" i="9"/>
  <c r="D1271" i="9"/>
  <c r="E1270" i="9"/>
  <c r="D1270" i="9"/>
  <c r="A1262" i="9"/>
  <c r="G1261" i="9"/>
  <c r="G1260" i="9"/>
  <c r="G1259" i="9"/>
  <c r="G1258" i="9"/>
  <c r="G1257" i="9"/>
  <c r="G1256" i="9"/>
  <c r="H1256" i="9" s="1"/>
  <c r="G1255" i="9"/>
  <c r="G1254" i="9"/>
  <c r="H1254" i="9" s="1"/>
  <c r="G1253" i="9"/>
  <c r="G1252" i="9"/>
  <c r="G1251" i="9"/>
  <c r="G1250" i="9"/>
  <c r="G1249" i="9"/>
  <c r="E1261" i="9"/>
  <c r="D1261" i="9"/>
  <c r="E1260" i="9"/>
  <c r="D1260" i="9"/>
  <c r="E1259" i="9"/>
  <c r="D1259" i="9"/>
  <c r="E1258" i="9"/>
  <c r="D1258" i="9"/>
  <c r="E1257" i="9"/>
  <c r="D1257" i="9"/>
  <c r="E1256" i="9"/>
  <c r="D1256" i="9"/>
  <c r="E1255" i="9"/>
  <c r="D1255" i="9"/>
  <c r="E1254" i="9"/>
  <c r="D1254" i="9"/>
  <c r="E1253" i="9"/>
  <c r="D1253" i="9"/>
  <c r="E1252" i="9"/>
  <c r="D1252" i="9"/>
  <c r="E1251" i="9"/>
  <c r="D1251" i="9"/>
  <c r="E1250" i="9"/>
  <c r="D1250" i="9"/>
  <c r="E1249" i="9"/>
  <c r="D1249" i="9"/>
  <c r="F1260" i="9"/>
  <c r="F1258" i="9"/>
  <c r="F1257" i="9"/>
  <c r="F1255" i="9"/>
  <c r="F1259" i="9" s="1"/>
  <c r="F1253" i="9"/>
  <c r="F1252" i="9"/>
  <c r="F1251" i="9"/>
  <c r="F1250" i="9"/>
  <c r="F1249" i="9"/>
  <c r="A1241" i="9"/>
  <c r="G1240" i="9"/>
  <c r="G1239" i="9"/>
  <c r="G1238" i="9"/>
  <c r="G1237" i="9"/>
  <c r="G1236" i="9"/>
  <c r="H1236" i="9" s="1"/>
  <c r="G1235" i="9"/>
  <c r="G1234" i="9"/>
  <c r="H1234" i="9" s="1"/>
  <c r="G1233" i="9"/>
  <c r="G1232" i="9"/>
  <c r="G1231" i="9"/>
  <c r="G1230" i="9"/>
  <c r="G1229" i="9"/>
  <c r="E1240" i="9"/>
  <c r="D1240" i="9"/>
  <c r="E1239" i="9"/>
  <c r="D1239" i="9"/>
  <c r="E1238" i="9"/>
  <c r="D1238" i="9"/>
  <c r="E1237" i="9"/>
  <c r="D1237" i="9"/>
  <c r="E1236" i="9"/>
  <c r="D1236" i="9"/>
  <c r="E1235" i="9"/>
  <c r="D1235" i="9"/>
  <c r="E1234" i="9"/>
  <c r="D1234" i="9"/>
  <c r="E1233" i="9"/>
  <c r="D1233" i="9"/>
  <c r="E1232" i="9"/>
  <c r="D1232" i="9"/>
  <c r="E1231" i="9"/>
  <c r="D1231" i="9"/>
  <c r="E1230" i="9"/>
  <c r="D1230" i="9"/>
  <c r="E1229" i="9"/>
  <c r="D1229" i="9"/>
  <c r="F1238" i="9"/>
  <c r="F1237" i="9"/>
  <c r="F1235" i="9"/>
  <c r="F1239" i="9" s="1"/>
  <c r="F1233" i="9"/>
  <c r="F1232" i="9"/>
  <c r="F1231" i="9"/>
  <c r="F1230" i="9"/>
  <c r="F1229" i="9"/>
  <c r="H1261" i="9" l="1"/>
  <c r="H1257" i="9"/>
  <c r="H1237" i="9"/>
  <c r="H1229" i="9"/>
  <c r="H1233" i="9"/>
  <c r="H1251" i="9"/>
  <c r="H1255" i="9"/>
  <c r="H1259" i="9"/>
  <c r="H1238" i="9"/>
  <c r="H1260" i="9"/>
  <c r="H1308" i="9"/>
  <c r="H1282" i="9"/>
  <c r="H1230" i="9"/>
  <c r="H1252" i="9"/>
  <c r="H1231" i="9"/>
  <c r="H1235" i="9"/>
  <c r="H1239" i="9"/>
  <c r="H1249" i="9"/>
  <c r="H1253" i="9"/>
  <c r="H1232" i="9"/>
  <c r="H1240" i="9"/>
  <c r="H1250" i="9"/>
  <c r="H1258" i="9"/>
  <c r="H1335" i="9"/>
  <c r="H1322" i="9"/>
  <c r="H1296" i="9"/>
  <c r="H1262" i="9" l="1"/>
  <c r="H1241" i="9"/>
  <c r="F363" i="1"/>
  <c r="F364" i="1"/>
  <c r="A1221" i="9"/>
  <c r="G1220" i="9"/>
  <c r="H1220" i="9" s="1"/>
  <c r="G1219" i="9"/>
  <c r="H1219" i="9" s="1"/>
  <c r="G1218" i="9"/>
  <c r="H1218" i="9" s="1"/>
  <c r="G1217" i="9"/>
  <c r="H1217" i="9" s="1"/>
  <c r="G1216" i="9"/>
  <c r="H1216" i="9" s="1"/>
  <c r="G1215" i="9"/>
  <c r="H1215" i="9" s="1"/>
  <c r="G1214" i="9"/>
  <c r="H1214" i="9" s="1"/>
  <c r="G1213" i="9"/>
  <c r="H1213" i="9" s="1"/>
  <c r="G1212" i="9"/>
  <c r="H1212" i="9" s="1"/>
  <c r="G1211" i="9"/>
  <c r="H1211" i="9" s="1"/>
  <c r="E1220" i="9"/>
  <c r="D1220" i="9"/>
  <c r="E1219" i="9"/>
  <c r="D1219" i="9"/>
  <c r="E1218" i="9"/>
  <c r="D1218" i="9"/>
  <c r="E1217" i="9"/>
  <c r="D1217" i="9"/>
  <c r="E1216" i="9"/>
  <c r="D1216" i="9"/>
  <c r="E1215" i="9"/>
  <c r="D1215" i="9"/>
  <c r="E1214" i="9"/>
  <c r="D1214" i="9"/>
  <c r="E1213" i="9"/>
  <c r="D1213" i="9"/>
  <c r="E1212" i="9"/>
  <c r="D1212" i="9"/>
  <c r="E1211" i="9"/>
  <c r="D1211" i="9"/>
  <c r="A1203" i="9"/>
  <c r="G1202" i="9"/>
  <c r="H1202" i="9" s="1"/>
  <c r="G1201" i="9"/>
  <c r="H1201" i="9" s="1"/>
  <c r="G1200" i="9"/>
  <c r="H1200" i="9" s="1"/>
  <c r="G1199" i="9"/>
  <c r="H1199" i="9" s="1"/>
  <c r="G1198" i="9"/>
  <c r="H1198" i="9" s="1"/>
  <c r="G1197" i="9"/>
  <c r="H1197" i="9" s="1"/>
  <c r="G1196" i="9"/>
  <c r="H1196" i="9" s="1"/>
  <c r="G1195" i="9"/>
  <c r="H1195" i="9" s="1"/>
  <c r="G1194" i="9"/>
  <c r="H1194" i="9" s="1"/>
  <c r="G1193" i="9"/>
  <c r="H1193" i="9" s="1"/>
  <c r="E1202" i="9"/>
  <c r="D1202" i="9"/>
  <c r="E1201" i="9"/>
  <c r="D1201" i="9"/>
  <c r="E1200" i="9"/>
  <c r="D1200" i="9"/>
  <c r="E1199" i="9"/>
  <c r="D1199" i="9"/>
  <c r="E1198" i="9"/>
  <c r="D1198" i="9"/>
  <c r="E1197" i="9"/>
  <c r="D1197" i="9"/>
  <c r="E1196" i="9"/>
  <c r="D1196" i="9"/>
  <c r="E1195" i="9"/>
  <c r="D1195" i="9"/>
  <c r="E1194" i="9"/>
  <c r="D1194" i="9"/>
  <c r="E1193" i="9"/>
  <c r="D1193" i="9"/>
  <c r="F362" i="1"/>
  <c r="G1184" i="9"/>
  <c r="H1184" i="9" s="1"/>
  <c r="G1183" i="9"/>
  <c r="H1183" i="9" s="1"/>
  <c r="G1182" i="9"/>
  <c r="H1182" i="9" s="1"/>
  <c r="G1181" i="9"/>
  <c r="H1181" i="9" s="1"/>
  <c r="G1180" i="9"/>
  <c r="H1180" i="9" s="1"/>
  <c r="G1179" i="9"/>
  <c r="H1179" i="9" s="1"/>
  <c r="G1178" i="9"/>
  <c r="H1178" i="9" s="1"/>
  <c r="G1177" i="9"/>
  <c r="H1177" i="9" s="1"/>
  <c r="G1176" i="9"/>
  <c r="H1176" i="9" s="1"/>
  <c r="G1175" i="9"/>
  <c r="H1175" i="9" s="1"/>
  <c r="E1184" i="9"/>
  <c r="D1184" i="9"/>
  <c r="E1183" i="9"/>
  <c r="D1183" i="9"/>
  <c r="E1182" i="9"/>
  <c r="D1182" i="9"/>
  <c r="E1181" i="9"/>
  <c r="D1181" i="9"/>
  <c r="E1180" i="9"/>
  <c r="D1180" i="9"/>
  <c r="E1179" i="9"/>
  <c r="D1179" i="9"/>
  <c r="E1178" i="9"/>
  <c r="D1178" i="9"/>
  <c r="E1177" i="9"/>
  <c r="D1177" i="9"/>
  <c r="E1176" i="9"/>
  <c r="D1176" i="9"/>
  <c r="E1175" i="9"/>
  <c r="D1175" i="9"/>
  <c r="A1185" i="9"/>
  <c r="A1167" i="9"/>
  <c r="G1166" i="9"/>
  <c r="H1166" i="9" s="1"/>
  <c r="G1165" i="9"/>
  <c r="H1165" i="9" s="1"/>
  <c r="G1164" i="9"/>
  <c r="G1163" i="9"/>
  <c r="H1163" i="9" s="1"/>
  <c r="G1162" i="9"/>
  <c r="H1162" i="9" s="1"/>
  <c r="G1161" i="9"/>
  <c r="H1161" i="9" s="1"/>
  <c r="G1160" i="9"/>
  <c r="H1160" i="9" s="1"/>
  <c r="G1159" i="9"/>
  <c r="H1159" i="9" s="1"/>
  <c r="G1158" i="9"/>
  <c r="H1158" i="9" s="1"/>
  <c r="G1157" i="9"/>
  <c r="H1157" i="9" s="1"/>
  <c r="E1166" i="9"/>
  <c r="D1166" i="9"/>
  <c r="E1165" i="9"/>
  <c r="D1165" i="9"/>
  <c r="E1164" i="9"/>
  <c r="D1164" i="9"/>
  <c r="E1163" i="9"/>
  <c r="D1163" i="9"/>
  <c r="E1162" i="9"/>
  <c r="D1162" i="9"/>
  <c r="E1161" i="9"/>
  <c r="D1161" i="9"/>
  <c r="E1160" i="9"/>
  <c r="D1160" i="9"/>
  <c r="E1159" i="9"/>
  <c r="D1159" i="9"/>
  <c r="E1158" i="9"/>
  <c r="D1158" i="9"/>
  <c r="E1157" i="9"/>
  <c r="D1157" i="9"/>
  <c r="F1164" i="9"/>
  <c r="A1149" i="9"/>
  <c r="G1148" i="9"/>
  <c r="H1148" i="9" s="1"/>
  <c r="G1147" i="9"/>
  <c r="H1147" i="9" s="1"/>
  <c r="G1146" i="9"/>
  <c r="G1145" i="9"/>
  <c r="H1145" i="9" s="1"/>
  <c r="G1144" i="9"/>
  <c r="H1144" i="9" s="1"/>
  <c r="G1143" i="9"/>
  <c r="H1143" i="9" s="1"/>
  <c r="G1142" i="9"/>
  <c r="H1142" i="9" s="1"/>
  <c r="G1141" i="9"/>
  <c r="H1141" i="9" s="1"/>
  <c r="G1140" i="9"/>
  <c r="H1140" i="9" s="1"/>
  <c r="G1139" i="9"/>
  <c r="H1139" i="9" s="1"/>
  <c r="E1148" i="9"/>
  <c r="D1148" i="9"/>
  <c r="E1147" i="9"/>
  <c r="D1147" i="9"/>
  <c r="E1146" i="9"/>
  <c r="D1146" i="9"/>
  <c r="E1145" i="9"/>
  <c r="D1145" i="9"/>
  <c r="E1144" i="9"/>
  <c r="D1144" i="9"/>
  <c r="E1143" i="9"/>
  <c r="D1143" i="9"/>
  <c r="E1142" i="9"/>
  <c r="D1142" i="9"/>
  <c r="E1141" i="9"/>
  <c r="D1141" i="9"/>
  <c r="E1140" i="9"/>
  <c r="D1140" i="9"/>
  <c r="E1139" i="9"/>
  <c r="D1139" i="9"/>
  <c r="F1146" i="9"/>
  <c r="F359" i="1"/>
  <c r="A1131" i="9"/>
  <c r="G1130" i="9"/>
  <c r="H1130" i="9" s="1"/>
  <c r="G1129" i="9"/>
  <c r="H1129" i="9" s="1"/>
  <c r="G1128" i="9"/>
  <c r="H1128" i="9" s="1"/>
  <c r="G1127" i="9"/>
  <c r="H1127" i="9" s="1"/>
  <c r="G1126" i="9"/>
  <c r="H1126" i="9" s="1"/>
  <c r="G1125" i="9"/>
  <c r="H1125" i="9" s="1"/>
  <c r="G1124" i="9"/>
  <c r="H1124" i="9" s="1"/>
  <c r="G1123" i="9"/>
  <c r="H1123" i="9" s="1"/>
  <c r="G1122" i="9"/>
  <c r="H1122" i="9" s="1"/>
  <c r="G1121" i="9"/>
  <c r="H1121" i="9" s="1"/>
  <c r="E1130" i="9"/>
  <c r="D1130" i="9"/>
  <c r="E1129" i="9"/>
  <c r="D1129" i="9"/>
  <c r="E1128" i="9"/>
  <c r="D1128" i="9"/>
  <c r="E1127" i="9"/>
  <c r="D1127" i="9"/>
  <c r="E1126" i="9"/>
  <c r="D1126" i="9"/>
  <c r="E1125" i="9"/>
  <c r="D1125" i="9"/>
  <c r="E1124" i="9"/>
  <c r="D1124" i="9"/>
  <c r="E1123" i="9"/>
  <c r="D1123" i="9"/>
  <c r="E1122" i="9"/>
  <c r="D1122" i="9"/>
  <c r="E1121" i="9"/>
  <c r="D1121" i="9"/>
  <c r="F358" i="1"/>
  <c r="A1113" i="9"/>
  <c r="G1112" i="9"/>
  <c r="H1112" i="9" s="1"/>
  <c r="G1111" i="9"/>
  <c r="H1111" i="9" s="1"/>
  <c r="G1110" i="9"/>
  <c r="H1110" i="9" s="1"/>
  <c r="G1109" i="9"/>
  <c r="H1109" i="9" s="1"/>
  <c r="G1108" i="9"/>
  <c r="H1108" i="9" s="1"/>
  <c r="G1107" i="9"/>
  <c r="H1107" i="9" s="1"/>
  <c r="G1106" i="9"/>
  <c r="H1106" i="9" s="1"/>
  <c r="G1105" i="9"/>
  <c r="H1105" i="9" s="1"/>
  <c r="G1104" i="9"/>
  <c r="H1104" i="9" s="1"/>
  <c r="G1103" i="9"/>
  <c r="H1103" i="9" s="1"/>
  <c r="E1112" i="9"/>
  <c r="D1112" i="9"/>
  <c r="E1111" i="9"/>
  <c r="D1111" i="9"/>
  <c r="E1110" i="9"/>
  <c r="D1110" i="9"/>
  <c r="E1109" i="9"/>
  <c r="D1109" i="9"/>
  <c r="E1108" i="9"/>
  <c r="D1108" i="9"/>
  <c r="E1107" i="9"/>
  <c r="D1107" i="9"/>
  <c r="E1106" i="9"/>
  <c r="D1106" i="9"/>
  <c r="E1105" i="9"/>
  <c r="D1105" i="9"/>
  <c r="E1104" i="9"/>
  <c r="D1104" i="9"/>
  <c r="E1103" i="9"/>
  <c r="D1103" i="9"/>
  <c r="F346" i="1"/>
  <c r="D354" i="1"/>
  <c r="E354" i="1"/>
  <c r="G354" i="1"/>
  <c r="D355" i="1"/>
  <c r="E355" i="1"/>
  <c r="G355" i="1"/>
  <c r="D356" i="1"/>
  <c r="E356" i="1"/>
  <c r="G356" i="1"/>
  <c r="D358" i="1"/>
  <c r="E358" i="1"/>
  <c r="G358" i="1"/>
  <c r="A1095" i="9"/>
  <c r="G1094" i="9"/>
  <c r="H1094" i="9" s="1"/>
  <c r="G1093" i="9"/>
  <c r="H1093" i="9" s="1"/>
  <c r="G1092" i="9"/>
  <c r="H1092" i="9" s="1"/>
  <c r="G1091" i="9"/>
  <c r="H1091" i="9" s="1"/>
  <c r="G1090" i="9"/>
  <c r="H1090" i="9" s="1"/>
  <c r="E1094" i="9"/>
  <c r="D1094" i="9"/>
  <c r="E1093" i="9"/>
  <c r="D1093" i="9"/>
  <c r="E1092" i="9"/>
  <c r="D1092" i="9"/>
  <c r="E1091" i="9"/>
  <c r="D1091" i="9"/>
  <c r="E1090" i="9"/>
  <c r="D1090" i="9"/>
  <c r="A1082" i="9"/>
  <c r="G1081" i="9"/>
  <c r="H1081" i="9" s="1"/>
  <c r="G1080" i="9"/>
  <c r="H1080" i="9" s="1"/>
  <c r="G1079" i="9"/>
  <c r="G1078" i="9"/>
  <c r="H1078" i="9" s="1"/>
  <c r="G1077" i="9"/>
  <c r="H1077" i="9" s="1"/>
  <c r="E1081" i="9"/>
  <c r="D1081" i="9"/>
  <c r="E1080" i="9"/>
  <c r="D1080" i="9"/>
  <c r="E1079" i="9"/>
  <c r="D1079" i="9"/>
  <c r="E1078" i="9"/>
  <c r="D1078" i="9"/>
  <c r="E1077" i="9"/>
  <c r="D1077" i="9"/>
  <c r="F1079" i="9"/>
  <c r="A1069" i="9"/>
  <c r="G1068" i="9"/>
  <c r="H1068" i="9" s="1"/>
  <c r="G1067" i="9"/>
  <c r="H1067" i="9" s="1"/>
  <c r="G1066" i="9"/>
  <c r="G1065" i="9"/>
  <c r="H1065" i="9" s="1"/>
  <c r="G1064" i="9"/>
  <c r="H1064" i="9" s="1"/>
  <c r="E1068" i="9"/>
  <c r="D1068" i="9"/>
  <c r="E1067" i="9"/>
  <c r="D1067" i="9"/>
  <c r="E1066" i="9"/>
  <c r="D1066" i="9"/>
  <c r="E1065" i="9"/>
  <c r="D1065" i="9"/>
  <c r="E1064" i="9"/>
  <c r="D1064" i="9"/>
  <c r="F1066" i="9"/>
  <c r="A1056" i="9"/>
  <c r="G1055" i="9"/>
  <c r="H1055" i="9" s="1"/>
  <c r="G1054" i="9"/>
  <c r="H1054" i="9" s="1"/>
  <c r="G1053" i="9"/>
  <c r="H1053" i="9" s="1"/>
  <c r="G1052" i="9"/>
  <c r="H1052" i="9" s="1"/>
  <c r="G1051" i="9"/>
  <c r="H1051" i="9" s="1"/>
  <c r="G1050" i="9"/>
  <c r="H1050" i="9" s="1"/>
  <c r="E1055" i="9"/>
  <c r="D1055" i="9"/>
  <c r="E1054" i="9"/>
  <c r="D1054" i="9"/>
  <c r="E1053" i="9"/>
  <c r="D1053" i="9"/>
  <c r="E1052" i="9"/>
  <c r="D1052" i="9"/>
  <c r="E1051" i="9"/>
  <c r="D1051" i="9"/>
  <c r="E1050" i="9"/>
  <c r="D1050" i="9"/>
  <c r="A1042" i="9"/>
  <c r="G1041" i="9"/>
  <c r="H1041" i="9" s="1"/>
  <c r="G1040" i="9"/>
  <c r="H1040" i="9" s="1"/>
  <c r="G1039" i="9"/>
  <c r="H1039" i="9" s="1"/>
  <c r="G1038" i="9"/>
  <c r="H1038" i="9" s="1"/>
  <c r="G1037" i="9"/>
  <c r="H1037" i="9" s="1"/>
  <c r="G1036" i="9"/>
  <c r="H1036" i="9" s="1"/>
  <c r="E1041" i="9"/>
  <c r="D1041" i="9"/>
  <c r="E1040" i="9"/>
  <c r="D1040" i="9"/>
  <c r="E1039" i="9"/>
  <c r="D1039" i="9"/>
  <c r="E1038" i="9"/>
  <c r="D1038" i="9"/>
  <c r="E1037" i="9"/>
  <c r="D1037" i="9"/>
  <c r="E1036" i="9"/>
  <c r="D1036" i="9"/>
  <c r="A1028" i="9"/>
  <c r="G1027" i="9"/>
  <c r="H1027" i="9" s="1"/>
  <c r="G1026" i="9"/>
  <c r="H1026" i="9" s="1"/>
  <c r="G1025" i="9"/>
  <c r="H1025" i="9" s="1"/>
  <c r="G1024" i="9"/>
  <c r="H1024" i="9" s="1"/>
  <c r="G1023" i="9"/>
  <c r="H1023" i="9" s="1"/>
  <c r="G1022" i="9"/>
  <c r="H1022" i="9" s="1"/>
  <c r="E1027" i="9"/>
  <c r="D1027" i="9"/>
  <c r="E1026" i="9"/>
  <c r="D1026" i="9"/>
  <c r="E1025" i="9"/>
  <c r="D1025" i="9"/>
  <c r="E1024" i="9"/>
  <c r="D1024" i="9"/>
  <c r="E1023" i="9"/>
  <c r="D1023" i="9"/>
  <c r="E1022" i="9"/>
  <c r="D1022" i="9"/>
  <c r="G309" i="1"/>
  <c r="D309" i="1"/>
  <c r="E309" i="1"/>
  <c r="F298" i="1"/>
  <c r="F300" i="1"/>
  <c r="G300" i="1"/>
  <c r="D300" i="1"/>
  <c r="E300" i="1"/>
  <c r="F290" i="1"/>
  <c r="F329" i="1"/>
  <c r="F328" i="1"/>
  <c r="F327" i="1"/>
  <c r="F326" i="1"/>
  <c r="G314" i="1"/>
  <c r="G313" i="1"/>
  <c r="D313" i="1"/>
  <c r="E313" i="1"/>
  <c r="D314" i="1"/>
  <c r="E314" i="1"/>
  <c r="G303" i="1"/>
  <c r="G304" i="1"/>
  <c r="D303" i="1"/>
  <c r="E303" i="1"/>
  <c r="D304" i="1"/>
  <c r="E304" i="1"/>
  <c r="F316" i="1"/>
  <c r="G315" i="1"/>
  <c r="G316" i="1"/>
  <c r="G317" i="1"/>
  <c r="G318" i="1"/>
  <c r="G319" i="1"/>
  <c r="G320" i="1"/>
  <c r="G321" i="1"/>
  <c r="G323" i="1"/>
  <c r="D315" i="1"/>
  <c r="E315" i="1"/>
  <c r="D316" i="1"/>
  <c r="E316" i="1"/>
  <c r="D317" i="1"/>
  <c r="E317" i="1"/>
  <c r="D318" i="1"/>
  <c r="E318" i="1"/>
  <c r="A1014" i="9"/>
  <c r="G1013" i="9"/>
  <c r="H1013" i="9" s="1"/>
  <c r="G1012" i="9"/>
  <c r="H1012" i="9" s="1"/>
  <c r="G1011" i="9"/>
  <c r="H1011" i="9" s="1"/>
  <c r="E1013" i="9"/>
  <c r="D1013" i="9"/>
  <c r="E1012" i="9"/>
  <c r="D1012" i="9"/>
  <c r="E1011" i="9"/>
  <c r="D1011" i="9"/>
  <c r="F308" i="1"/>
  <c r="F299" i="1"/>
  <c r="F295" i="1"/>
  <c r="A1003" i="9"/>
  <c r="G1002" i="9"/>
  <c r="H1002" i="9" s="1"/>
  <c r="G1001" i="9"/>
  <c r="H1001" i="9" s="1"/>
  <c r="G1000" i="9"/>
  <c r="H1000" i="9" s="1"/>
  <c r="G999" i="9"/>
  <c r="H999" i="9" s="1"/>
  <c r="G998" i="9"/>
  <c r="H998" i="9" s="1"/>
  <c r="G997" i="9"/>
  <c r="H997" i="9" s="1"/>
  <c r="E1002" i="9"/>
  <c r="D1002" i="9"/>
  <c r="E1001" i="9"/>
  <c r="D1001" i="9"/>
  <c r="E1000" i="9"/>
  <c r="D1000" i="9"/>
  <c r="E999" i="9"/>
  <c r="D999" i="9"/>
  <c r="E998" i="9"/>
  <c r="D998" i="9"/>
  <c r="E997" i="9"/>
  <c r="D997" i="9"/>
  <c r="A989" i="9"/>
  <c r="G988" i="9"/>
  <c r="H988" i="9" s="1"/>
  <c r="G987" i="9"/>
  <c r="H987" i="9" s="1"/>
  <c r="G986" i="9"/>
  <c r="H986" i="9" s="1"/>
  <c r="G985" i="9"/>
  <c r="H985" i="9" s="1"/>
  <c r="G984" i="9"/>
  <c r="H984" i="9" s="1"/>
  <c r="G983" i="9"/>
  <c r="H983" i="9" s="1"/>
  <c r="E988" i="9"/>
  <c r="D988" i="9"/>
  <c r="E987" i="9"/>
  <c r="D987" i="9"/>
  <c r="E986" i="9"/>
  <c r="D986" i="9"/>
  <c r="E985" i="9"/>
  <c r="D985" i="9"/>
  <c r="E984" i="9"/>
  <c r="D984" i="9"/>
  <c r="E983" i="9"/>
  <c r="D983" i="9"/>
  <c r="A975" i="9"/>
  <c r="G974" i="9"/>
  <c r="H974" i="9" s="1"/>
  <c r="G973" i="9"/>
  <c r="H973" i="9" s="1"/>
  <c r="G972" i="9"/>
  <c r="H972" i="9" s="1"/>
  <c r="G971" i="9"/>
  <c r="H971" i="9" s="1"/>
  <c r="G970" i="9"/>
  <c r="H970" i="9" s="1"/>
  <c r="G969" i="9"/>
  <c r="H969" i="9" s="1"/>
  <c r="E974" i="9"/>
  <c r="D974" i="9"/>
  <c r="E973" i="9"/>
  <c r="D973" i="9"/>
  <c r="E972" i="9"/>
  <c r="D972" i="9"/>
  <c r="E971" i="9"/>
  <c r="D971" i="9"/>
  <c r="E970" i="9"/>
  <c r="D970" i="9"/>
  <c r="E969" i="9"/>
  <c r="D969" i="9"/>
  <c r="A961" i="9"/>
  <c r="G960" i="9"/>
  <c r="H960" i="9" s="1"/>
  <c r="G959" i="9"/>
  <c r="H959" i="9" s="1"/>
  <c r="G958" i="9"/>
  <c r="H958" i="9" s="1"/>
  <c r="G957" i="9"/>
  <c r="H957" i="9" s="1"/>
  <c r="G956" i="9"/>
  <c r="H956" i="9" s="1"/>
  <c r="G955" i="9"/>
  <c r="H955" i="9" s="1"/>
  <c r="E960" i="9"/>
  <c r="D960" i="9"/>
  <c r="E959" i="9"/>
  <c r="D959" i="9"/>
  <c r="E958" i="9"/>
  <c r="D958" i="9"/>
  <c r="E957" i="9"/>
  <c r="D957" i="9"/>
  <c r="E956" i="9"/>
  <c r="D956" i="9"/>
  <c r="E955" i="9"/>
  <c r="D955" i="9"/>
  <c r="F288" i="1"/>
  <c r="F287" i="1"/>
  <c r="F286" i="1"/>
  <c r="F281" i="1"/>
  <c r="F280" i="1"/>
  <c r="H1066" i="9" l="1"/>
  <c r="H1069" i="9" s="1"/>
  <c r="H1131" i="9"/>
  <c r="H1203" i="9"/>
  <c r="H1146" i="9"/>
  <c r="H1149" i="9" s="1"/>
  <c r="H1164" i="9"/>
  <c r="H1167" i="9" s="1"/>
  <c r="H1079" i="9"/>
  <c r="H1082" i="9" s="1"/>
  <c r="H1014" i="9"/>
  <c r="H1221" i="9"/>
  <c r="H1185" i="9"/>
  <c r="H1113" i="9"/>
  <c r="H1095" i="9"/>
  <c r="H1056" i="9"/>
  <c r="H1042" i="9"/>
  <c r="H1028" i="9"/>
  <c r="H1003" i="9"/>
  <c r="H989" i="9"/>
  <c r="H975" i="9"/>
  <c r="H961" i="9"/>
  <c r="D287" i="1"/>
  <c r="E287" i="1"/>
  <c r="G287" i="1"/>
  <c r="D288" i="1"/>
  <c r="E288" i="1"/>
  <c r="G288" i="1"/>
  <c r="D289" i="1"/>
  <c r="E289" i="1"/>
  <c r="G289" i="1"/>
  <c r="D290" i="1"/>
  <c r="E290" i="1"/>
  <c r="G290" i="1"/>
  <c r="D295" i="1"/>
  <c r="E295" i="1"/>
  <c r="G295" i="1"/>
  <c r="D296" i="1"/>
  <c r="E296" i="1"/>
  <c r="G296" i="1"/>
  <c r="D297" i="1"/>
  <c r="E297" i="1"/>
  <c r="G297" i="1"/>
  <c r="D298" i="1"/>
  <c r="E298" i="1"/>
  <c r="G298" i="1"/>
  <c r="D299" i="1"/>
  <c r="E299" i="1"/>
  <c r="G299" i="1"/>
  <c r="D301" i="1"/>
  <c r="E301" i="1"/>
  <c r="G301" i="1"/>
  <c r="D302" i="1"/>
  <c r="E302" i="1"/>
  <c r="G302" i="1"/>
  <c r="D305" i="1"/>
  <c r="E305" i="1"/>
  <c r="G305" i="1"/>
  <c r="D306" i="1"/>
  <c r="E306" i="1"/>
  <c r="G306" i="1"/>
  <c r="D307" i="1"/>
  <c r="E307" i="1"/>
  <c r="G307" i="1"/>
  <c r="D308" i="1"/>
  <c r="E308" i="1"/>
  <c r="G308" i="1"/>
  <c r="D310" i="1"/>
  <c r="E310" i="1"/>
  <c r="G310" i="1"/>
  <c r="D311" i="1"/>
  <c r="E311" i="1"/>
  <c r="G311" i="1"/>
  <c r="D312" i="1"/>
  <c r="E312" i="1"/>
  <c r="G312" i="1"/>
  <c r="D319" i="1"/>
  <c r="E319" i="1"/>
  <c r="D320" i="1"/>
  <c r="E320" i="1"/>
  <c r="D321" i="1"/>
  <c r="E321" i="1"/>
  <c r="D323" i="1"/>
  <c r="E323" i="1"/>
  <c r="D324" i="1"/>
  <c r="E324" i="1"/>
  <c r="G324" i="1"/>
  <c r="D325" i="1"/>
  <c r="E325" i="1"/>
  <c r="G325" i="1"/>
  <c r="D326" i="1"/>
  <c r="E326" i="1"/>
  <c r="G326" i="1"/>
  <c r="D327" i="1"/>
  <c r="E327" i="1"/>
  <c r="G327" i="1"/>
  <c r="D328" i="1"/>
  <c r="E328" i="1"/>
  <c r="G328" i="1"/>
  <c r="D329" i="1"/>
  <c r="E329" i="1"/>
  <c r="G329" i="1"/>
  <c r="D330" i="1"/>
  <c r="E330" i="1"/>
  <c r="G330" i="1"/>
  <c r="D331" i="1"/>
  <c r="E331" i="1"/>
  <c r="G331" i="1"/>
  <c r="D332" i="1"/>
  <c r="E332" i="1"/>
  <c r="G332" i="1"/>
  <c r="D333" i="1"/>
  <c r="E333" i="1"/>
  <c r="G333" i="1"/>
  <c r="D334" i="1"/>
  <c r="E334" i="1"/>
  <c r="G334" i="1"/>
  <c r="D335" i="1"/>
  <c r="E335" i="1"/>
  <c r="G335" i="1"/>
  <c r="D336" i="1"/>
  <c r="E336" i="1"/>
  <c r="G336" i="1"/>
  <c r="D337" i="1"/>
  <c r="E337" i="1"/>
  <c r="G337" i="1"/>
  <c r="D338" i="1"/>
  <c r="E338" i="1"/>
  <c r="G338" i="1"/>
  <c r="D339" i="1"/>
  <c r="E339" i="1"/>
  <c r="G339" i="1"/>
  <c r="D340" i="1"/>
  <c r="E340" i="1"/>
  <c r="G340" i="1"/>
  <c r="D341" i="1"/>
  <c r="E341" i="1"/>
  <c r="G341" i="1"/>
  <c r="D342" i="1"/>
  <c r="E342" i="1"/>
  <c r="G342" i="1"/>
  <c r="D343" i="1"/>
  <c r="E343" i="1"/>
  <c r="G343" i="1"/>
  <c r="D344" i="1"/>
  <c r="E344" i="1"/>
  <c r="G344" i="1"/>
  <c r="D281" i="1"/>
  <c r="E281" i="1"/>
  <c r="G281" i="1"/>
  <c r="D282" i="1"/>
  <c r="E282" i="1"/>
  <c r="G282" i="1"/>
  <c r="D286" i="1"/>
  <c r="E286" i="1"/>
  <c r="G286" i="1"/>
  <c r="D346" i="1"/>
  <c r="E346" i="1"/>
  <c r="G346" i="1"/>
  <c r="D351" i="1"/>
  <c r="E351" i="1"/>
  <c r="G351" i="1"/>
  <c r="D353" i="1"/>
  <c r="E353" i="1"/>
  <c r="G353" i="1"/>
  <c r="D490" i="1"/>
  <c r="D489" i="1"/>
  <c r="D493" i="1"/>
  <c r="A947" i="9"/>
  <c r="G946" i="9"/>
  <c r="H946" i="9" s="1"/>
  <c r="G945" i="9"/>
  <c r="H945" i="9" s="1"/>
  <c r="G944" i="9"/>
  <c r="H944" i="9" s="1"/>
  <c r="E946" i="9"/>
  <c r="D946" i="9"/>
  <c r="E945" i="9"/>
  <c r="D945" i="9"/>
  <c r="E944" i="9"/>
  <c r="D944" i="9"/>
  <c r="H947" i="9" l="1"/>
  <c r="F489" i="1"/>
  <c r="F485" i="1"/>
  <c r="D15" i="1"/>
  <c r="E15" i="1"/>
  <c r="G15" i="1"/>
  <c r="D16" i="1"/>
  <c r="E16" i="1"/>
  <c r="G16" i="1"/>
  <c r="A936" i="9" l="1"/>
  <c r="F935" i="9"/>
  <c r="G935" i="9"/>
  <c r="H935" i="9" s="1"/>
  <c r="G934" i="9"/>
  <c r="H934" i="9" s="1"/>
  <c r="G933" i="9"/>
  <c r="H933" i="9" s="1"/>
  <c r="G932" i="9"/>
  <c r="H932" i="9" s="1"/>
  <c r="E935" i="9"/>
  <c r="D935" i="9"/>
  <c r="E934" i="9"/>
  <c r="D934" i="9"/>
  <c r="E933" i="9"/>
  <c r="D933" i="9"/>
  <c r="E932" i="9"/>
  <c r="D932" i="9"/>
  <c r="A924" i="9"/>
  <c r="G923" i="9"/>
  <c r="G922" i="9"/>
  <c r="H922" i="9" s="1"/>
  <c r="G921" i="9"/>
  <c r="H921" i="9" s="1"/>
  <c r="G920" i="9"/>
  <c r="H920" i="9" s="1"/>
  <c r="E923" i="9"/>
  <c r="D923" i="9"/>
  <c r="E922" i="9"/>
  <c r="D922" i="9"/>
  <c r="E921" i="9"/>
  <c r="D921" i="9"/>
  <c r="E920" i="9"/>
  <c r="D920" i="9"/>
  <c r="F923" i="9"/>
  <c r="A912" i="9"/>
  <c r="G911" i="9"/>
  <c r="G910" i="9"/>
  <c r="H910" i="9" s="1"/>
  <c r="G909" i="9"/>
  <c r="H909" i="9" s="1"/>
  <c r="G908" i="9"/>
  <c r="H908" i="9" s="1"/>
  <c r="E911" i="9"/>
  <c r="D911" i="9"/>
  <c r="E910" i="9"/>
  <c r="D910" i="9"/>
  <c r="E909" i="9"/>
  <c r="D909" i="9"/>
  <c r="E908" i="9"/>
  <c r="D908" i="9"/>
  <c r="F911" i="9"/>
  <c r="A900" i="9"/>
  <c r="G899" i="9"/>
  <c r="G898" i="9"/>
  <c r="H898" i="9" s="1"/>
  <c r="G897" i="9"/>
  <c r="H897" i="9" s="1"/>
  <c r="G896" i="9"/>
  <c r="H896" i="9" s="1"/>
  <c r="E899" i="9"/>
  <c r="D899" i="9"/>
  <c r="E898" i="9"/>
  <c r="D898" i="9"/>
  <c r="E897" i="9"/>
  <c r="D897" i="9"/>
  <c r="E896" i="9"/>
  <c r="D896" i="9"/>
  <c r="F899" i="9"/>
  <c r="A888" i="9"/>
  <c r="G887" i="9"/>
  <c r="G886" i="9"/>
  <c r="H886" i="9" s="1"/>
  <c r="G885" i="9"/>
  <c r="H885" i="9" s="1"/>
  <c r="G884" i="9"/>
  <c r="H884" i="9" s="1"/>
  <c r="E887" i="9"/>
  <c r="D887" i="9"/>
  <c r="E886" i="9"/>
  <c r="D886" i="9"/>
  <c r="E885" i="9"/>
  <c r="D885" i="9"/>
  <c r="E884" i="9"/>
  <c r="D884" i="9"/>
  <c r="F887" i="9"/>
  <c r="F861" i="9"/>
  <c r="A876" i="9"/>
  <c r="A863" i="9"/>
  <c r="G875" i="9"/>
  <c r="H875" i="9" s="1"/>
  <c r="G874" i="9"/>
  <c r="G873" i="9"/>
  <c r="H873" i="9" s="1"/>
  <c r="G872" i="9"/>
  <c r="H872" i="9" s="1"/>
  <c r="G871" i="9"/>
  <c r="H871" i="9" s="1"/>
  <c r="E875" i="9"/>
  <c r="D875" i="9"/>
  <c r="E874" i="9"/>
  <c r="D874" i="9"/>
  <c r="E873" i="9"/>
  <c r="D873" i="9"/>
  <c r="E872" i="9"/>
  <c r="D872" i="9"/>
  <c r="E871" i="9"/>
  <c r="D871" i="9"/>
  <c r="F874" i="9"/>
  <c r="G862" i="9"/>
  <c r="H862" i="9" s="1"/>
  <c r="G861" i="9"/>
  <c r="G860" i="9"/>
  <c r="H860" i="9" s="1"/>
  <c r="G859" i="9"/>
  <c r="H859" i="9" s="1"/>
  <c r="G858" i="9"/>
  <c r="H858" i="9" s="1"/>
  <c r="E862" i="9"/>
  <c r="D862" i="9"/>
  <c r="E861" i="9"/>
  <c r="D861" i="9"/>
  <c r="E860" i="9"/>
  <c r="D860" i="9"/>
  <c r="E859" i="9"/>
  <c r="D859" i="9"/>
  <c r="E858" i="9"/>
  <c r="D858" i="9"/>
  <c r="A843" i="9"/>
  <c r="G841" i="9"/>
  <c r="H841" i="9" s="1"/>
  <c r="G840" i="9"/>
  <c r="H840" i="9" s="1"/>
  <c r="E841" i="9"/>
  <c r="D841" i="9"/>
  <c r="E840" i="9"/>
  <c r="D840" i="9"/>
  <c r="H849" i="9"/>
  <c r="H851" i="9" s="1"/>
  <c r="G842" i="9" s="1"/>
  <c r="H842" i="9" s="1"/>
  <c r="E842" i="9"/>
  <c r="D842" i="9"/>
  <c r="A832" i="9"/>
  <c r="G831" i="9"/>
  <c r="H831" i="9" s="1"/>
  <c r="G830" i="9"/>
  <c r="H830" i="9" s="1"/>
  <c r="G829" i="9"/>
  <c r="H829" i="9" s="1"/>
  <c r="G828" i="9"/>
  <c r="H828" i="9" s="1"/>
  <c r="G827" i="9"/>
  <c r="H827" i="9" s="1"/>
  <c r="G826" i="9"/>
  <c r="H826" i="9" s="1"/>
  <c r="E831" i="9"/>
  <c r="D831" i="9"/>
  <c r="E830" i="9"/>
  <c r="D830" i="9"/>
  <c r="E829" i="9"/>
  <c r="D829" i="9"/>
  <c r="E828" i="9"/>
  <c r="D828" i="9"/>
  <c r="E827" i="9"/>
  <c r="D827" i="9"/>
  <c r="E826" i="9"/>
  <c r="D826" i="9"/>
  <c r="F103" i="1"/>
  <c r="A818" i="9"/>
  <c r="G817" i="9"/>
  <c r="H817" i="9" s="1"/>
  <c r="G816" i="9"/>
  <c r="H816" i="9" s="1"/>
  <c r="G815" i="9"/>
  <c r="H815" i="9" s="1"/>
  <c r="G814" i="9"/>
  <c r="H814" i="9" s="1"/>
  <c r="G813" i="9"/>
  <c r="H813" i="9" s="1"/>
  <c r="G812" i="9"/>
  <c r="H812" i="9" s="1"/>
  <c r="E817" i="9"/>
  <c r="D817" i="9"/>
  <c r="E816" i="9"/>
  <c r="D816" i="9"/>
  <c r="E815" i="9"/>
  <c r="D815" i="9"/>
  <c r="E814" i="9"/>
  <c r="D814" i="9"/>
  <c r="E813" i="9"/>
  <c r="D813" i="9"/>
  <c r="E812" i="9"/>
  <c r="D812" i="9"/>
  <c r="F101" i="1"/>
  <c r="A804" i="9"/>
  <c r="G803" i="9"/>
  <c r="G802" i="9"/>
  <c r="H802" i="9" s="1"/>
  <c r="G801" i="9"/>
  <c r="H801" i="9" s="1"/>
  <c r="G800" i="9"/>
  <c r="H800" i="9" s="1"/>
  <c r="G799" i="9"/>
  <c r="H799" i="9" s="1"/>
  <c r="G798" i="9"/>
  <c r="H798" i="9" s="1"/>
  <c r="E803" i="9"/>
  <c r="D803" i="9"/>
  <c r="E802" i="9"/>
  <c r="D802" i="9"/>
  <c r="E801" i="9"/>
  <c r="D801" i="9"/>
  <c r="E800" i="9"/>
  <c r="D800" i="9"/>
  <c r="E799" i="9"/>
  <c r="D799" i="9"/>
  <c r="E798" i="9"/>
  <c r="D798" i="9"/>
  <c r="F803" i="9"/>
  <c r="A790" i="9"/>
  <c r="G789" i="9"/>
  <c r="H789" i="9" s="1"/>
  <c r="G788" i="9"/>
  <c r="H788" i="9" s="1"/>
  <c r="G787" i="9"/>
  <c r="H787" i="9" s="1"/>
  <c r="G786" i="9"/>
  <c r="H786" i="9" s="1"/>
  <c r="G785" i="9"/>
  <c r="H785" i="9" s="1"/>
  <c r="G784" i="9"/>
  <c r="H784" i="9" s="1"/>
  <c r="E789" i="9"/>
  <c r="D789" i="9"/>
  <c r="E788" i="9"/>
  <c r="D788" i="9"/>
  <c r="E787" i="9"/>
  <c r="D787" i="9"/>
  <c r="E786" i="9"/>
  <c r="D786" i="9"/>
  <c r="E785" i="9"/>
  <c r="D785" i="9"/>
  <c r="E784" i="9"/>
  <c r="D784" i="9"/>
  <c r="A776" i="9"/>
  <c r="G775" i="9"/>
  <c r="H775" i="9" s="1"/>
  <c r="G774" i="9"/>
  <c r="H774" i="9" s="1"/>
  <c r="G773" i="9"/>
  <c r="H773" i="9" s="1"/>
  <c r="G772" i="9"/>
  <c r="H772" i="9" s="1"/>
  <c r="E775" i="9"/>
  <c r="D775" i="9"/>
  <c r="E774" i="9"/>
  <c r="D774" i="9"/>
  <c r="E773" i="9"/>
  <c r="D773" i="9"/>
  <c r="E772" i="9"/>
  <c r="D772" i="9"/>
  <c r="G154" i="1"/>
  <c r="D154" i="1"/>
  <c r="E154" i="1"/>
  <c r="A764" i="9"/>
  <c r="G763" i="9"/>
  <c r="H763" i="9" s="1"/>
  <c r="G762" i="9"/>
  <c r="H762" i="9" s="1"/>
  <c r="G761" i="9"/>
  <c r="H761" i="9" s="1"/>
  <c r="G760" i="9"/>
  <c r="H760" i="9" s="1"/>
  <c r="E763" i="9"/>
  <c r="D763" i="9"/>
  <c r="E762" i="9"/>
  <c r="D762" i="9"/>
  <c r="E761" i="9"/>
  <c r="D761" i="9"/>
  <c r="E760" i="9"/>
  <c r="D760" i="9"/>
  <c r="A745" i="9"/>
  <c r="G743" i="9"/>
  <c r="H743" i="9" s="1"/>
  <c r="G742" i="9"/>
  <c r="H742" i="9" s="1"/>
  <c r="G741" i="9"/>
  <c r="H741" i="9" s="1"/>
  <c r="E743" i="9"/>
  <c r="D743" i="9"/>
  <c r="E742" i="9"/>
  <c r="D742" i="9"/>
  <c r="E741" i="9"/>
  <c r="D741" i="9"/>
  <c r="H752" i="9"/>
  <c r="H751" i="9"/>
  <c r="H750" i="9"/>
  <c r="E744" i="9"/>
  <c r="D744" i="9"/>
  <c r="A733" i="9"/>
  <c r="G732" i="9"/>
  <c r="H732" i="9" s="1"/>
  <c r="G731" i="9"/>
  <c r="H731" i="9" s="1"/>
  <c r="G730" i="9"/>
  <c r="H730" i="9" s="1"/>
  <c r="G729" i="9"/>
  <c r="H729" i="9" s="1"/>
  <c r="E732" i="9"/>
  <c r="D732" i="9"/>
  <c r="E731" i="9"/>
  <c r="D731" i="9"/>
  <c r="E730" i="9"/>
  <c r="D730" i="9"/>
  <c r="E729" i="9"/>
  <c r="D729" i="9"/>
  <c r="A714" i="9"/>
  <c r="G712" i="9"/>
  <c r="H712" i="9" s="1"/>
  <c r="G711" i="9"/>
  <c r="H711" i="9" s="1"/>
  <c r="G710" i="9"/>
  <c r="H710" i="9" s="1"/>
  <c r="E712" i="9"/>
  <c r="D712" i="9"/>
  <c r="E711" i="9"/>
  <c r="D711" i="9"/>
  <c r="E710" i="9"/>
  <c r="D710" i="9"/>
  <c r="H721" i="9"/>
  <c r="H720" i="9"/>
  <c r="H719" i="9"/>
  <c r="E713" i="9"/>
  <c r="D713" i="9"/>
  <c r="A702" i="9"/>
  <c r="G701" i="9"/>
  <c r="H701" i="9" s="1"/>
  <c r="G700" i="9"/>
  <c r="H700" i="9" s="1"/>
  <c r="G699" i="9"/>
  <c r="H699" i="9" s="1"/>
  <c r="G698" i="9"/>
  <c r="H698" i="9" s="1"/>
  <c r="E701" i="9"/>
  <c r="D701" i="9"/>
  <c r="E700" i="9"/>
  <c r="D700" i="9"/>
  <c r="E699" i="9"/>
  <c r="D699" i="9"/>
  <c r="E698" i="9"/>
  <c r="D698" i="9"/>
  <c r="A690" i="9"/>
  <c r="G689" i="9"/>
  <c r="H689" i="9" s="1"/>
  <c r="G688" i="9"/>
  <c r="H688" i="9" s="1"/>
  <c r="G687" i="9"/>
  <c r="H687" i="9" s="1"/>
  <c r="E689" i="9"/>
  <c r="D689" i="9"/>
  <c r="E688" i="9"/>
  <c r="D688" i="9"/>
  <c r="E687" i="9"/>
  <c r="D687" i="9"/>
  <c r="F130" i="1"/>
  <c r="G130" i="1"/>
  <c r="D130" i="1"/>
  <c r="E130" i="1"/>
  <c r="D422" i="1"/>
  <c r="E422" i="1"/>
  <c r="G422" i="1"/>
  <c r="F430" i="1"/>
  <c r="A679" i="9"/>
  <c r="G678" i="9"/>
  <c r="H678" i="9" s="1"/>
  <c r="G677" i="9"/>
  <c r="G676" i="9"/>
  <c r="G675" i="9"/>
  <c r="G674" i="9"/>
  <c r="G673" i="9"/>
  <c r="G672" i="9"/>
  <c r="G671" i="9"/>
  <c r="E678" i="9"/>
  <c r="D678" i="9"/>
  <c r="E677" i="9"/>
  <c r="D677" i="9"/>
  <c r="E676" i="9"/>
  <c r="D676" i="9"/>
  <c r="E675" i="9"/>
  <c r="D675" i="9"/>
  <c r="E674" i="9"/>
  <c r="D674" i="9"/>
  <c r="E673" i="9"/>
  <c r="D673" i="9"/>
  <c r="E672" i="9"/>
  <c r="D672" i="9"/>
  <c r="E671" i="9"/>
  <c r="D671" i="9"/>
  <c r="F677" i="9"/>
  <c r="F676" i="9"/>
  <c r="F675" i="9"/>
  <c r="F674" i="9"/>
  <c r="F673" i="9"/>
  <c r="F672" i="9"/>
  <c r="F671" i="9"/>
  <c r="F429" i="1"/>
  <c r="A663" i="9"/>
  <c r="G662" i="9"/>
  <c r="H662" i="9" s="1"/>
  <c r="G661" i="9"/>
  <c r="H661" i="9" s="1"/>
  <c r="G660" i="9"/>
  <c r="H660" i="9" s="1"/>
  <c r="G659" i="9"/>
  <c r="H659" i="9" s="1"/>
  <c r="G658" i="9"/>
  <c r="H658" i="9" s="1"/>
  <c r="E662" i="9"/>
  <c r="D662" i="9"/>
  <c r="E661" i="9"/>
  <c r="D661" i="9"/>
  <c r="E660" i="9"/>
  <c r="D660" i="9"/>
  <c r="E659" i="9"/>
  <c r="D659" i="9"/>
  <c r="E658" i="9"/>
  <c r="D658" i="9"/>
  <c r="G443" i="1"/>
  <c r="E443" i="1"/>
  <c r="D443" i="1"/>
  <c r="G442" i="1"/>
  <c r="E442" i="1"/>
  <c r="D442" i="1"/>
  <c r="G428" i="1"/>
  <c r="E428" i="1"/>
  <c r="D428" i="1"/>
  <c r="G427" i="1"/>
  <c r="E427" i="1"/>
  <c r="D427" i="1"/>
  <c r="G426" i="1"/>
  <c r="E426" i="1"/>
  <c r="D426" i="1"/>
  <c r="G425" i="1"/>
  <c r="F425" i="1"/>
  <c r="E425" i="1"/>
  <c r="D425" i="1"/>
  <c r="G420" i="1"/>
  <c r="F420" i="1"/>
  <c r="E420" i="1"/>
  <c r="D420" i="1"/>
  <c r="G419" i="1"/>
  <c r="F419" i="1"/>
  <c r="E419" i="1"/>
  <c r="D419" i="1"/>
  <c r="G418" i="1"/>
  <c r="F418" i="1"/>
  <c r="E418" i="1"/>
  <c r="D418" i="1"/>
  <c r="G417" i="1"/>
  <c r="F417" i="1"/>
  <c r="E417" i="1"/>
  <c r="D417" i="1"/>
  <c r="F532" i="1"/>
  <c r="F531" i="1"/>
  <c r="A650" i="9"/>
  <c r="G649" i="9"/>
  <c r="H649" i="9" s="1"/>
  <c r="H650" i="9" s="1"/>
  <c r="E649" i="9"/>
  <c r="D649" i="9"/>
  <c r="F529" i="1"/>
  <c r="A641" i="9"/>
  <c r="G640" i="9"/>
  <c r="H640" i="9" s="1"/>
  <c r="G639" i="9"/>
  <c r="H639" i="9" s="1"/>
  <c r="G638" i="9"/>
  <c r="H638" i="9" s="1"/>
  <c r="E640" i="9"/>
  <c r="D640" i="9"/>
  <c r="E639" i="9"/>
  <c r="D639" i="9"/>
  <c r="E638" i="9"/>
  <c r="D638" i="9"/>
  <c r="A623" i="9"/>
  <c r="G621" i="9"/>
  <c r="H621" i="9" s="1"/>
  <c r="E621" i="9"/>
  <c r="D621" i="9"/>
  <c r="H630" i="9"/>
  <c r="H629" i="9"/>
  <c r="E622" i="9"/>
  <c r="D622" i="9"/>
  <c r="A613" i="9"/>
  <c r="G612" i="9"/>
  <c r="H612" i="9" s="1"/>
  <c r="G611" i="9"/>
  <c r="H611" i="9" s="1"/>
  <c r="E612" i="9"/>
  <c r="D612" i="9"/>
  <c r="E611" i="9"/>
  <c r="D611" i="9"/>
  <c r="A603" i="9"/>
  <c r="G602" i="9"/>
  <c r="H602" i="9" s="1"/>
  <c r="G601" i="9"/>
  <c r="H601" i="9" s="1"/>
  <c r="E602" i="9"/>
  <c r="D602" i="9"/>
  <c r="E601" i="9"/>
  <c r="D601" i="9"/>
  <c r="A586" i="9"/>
  <c r="G584" i="9"/>
  <c r="H584" i="9" s="1"/>
  <c r="G583" i="9"/>
  <c r="H583" i="9" s="1"/>
  <c r="G582" i="9"/>
  <c r="H582" i="9" s="1"/>
  <c r="E584" i="9"/>
  <c r="D584" i="9"/>
  <c r="E583" i="9"/>
  <c r="D583" i="9"/>
  <c r="E582" i="9"/>
  <c r="D582" i="9"/>
  <c r="H592" i="9"/>
  <c r="H591" i="9"/>
  <c r="E585" i="9"/>
  <c r="D585" i="9"/>
  <c r="H674" i="9" l="1"/>
  <c r="H603" i="9"/>
  <c r="H641" i="9"/>
  <c r="H936" i="9"/>
  <c r="H923" i="9"/>
  <c r="H924" i="9" s="1"/>
  <c r="H803" i="9"/>
  <c r="H804" i="9" s="1"/>
  <c r="H631" i="9"/>
  <c r="G622" i="9" s="1"/>
  <c r="H622" i="9" s="1"/>
  <c r="H623" i="9" s="1"/>
  <c r="H832" i="9"/>
  <c r="H663" i="9"/>
  <c r="H843" i="9"/>
  <c r="H874" i="9"/>
  <c r="H876" i="9" s="1"/>
  <c r="H899" i="9"/>
  <c r="H900" i="9" s="1"/>
  <c r="H887" i="9"/>
  <c r="H888" i="9" s="1"/>
  <c r="H911" i="9"/>
  <c r="H912" i="9" s="1"/>
  <c r="H861" i="9"/>
  <c r="H863" i="9" s="1"/>
  <c r="H818" i="9"/>
  <c r="H790" i="9"/>
  <c r="H594" i="9"/>
  <c r="G585" i="9" s="1"/>
  <c r="H585" i="9" s="1"/>
  <c r="H586" i="9" s="1"/>
  <c r="H613" i="9"/>
  <c r="H671" i="9"/>
  <c r="H675" i="9"/>
  <c r="H672" i="9"/>
  <c r="H676" i="9"/>
  <c r="H673" i="9"/>
  <c r="H677" i="9"/>
  <c r="H690" i="9"/>
  <c r="H753" i="9"/>
  <c r="G744" i="9" s="1"/>
  <c r="H744" i="9" s="1"/>
  <c r="H722" i="9"/>
  <c r="G713" i="9" s="1"/>
  <c r="H713" i="9" s="1"/>
  <c r="H714" i="9" s="1"/>
  <c r="H764" i="9"/>
  <c r="H776" i="9"/>
  <c r="H745" i="9"/>
  <c r="H733" i="9"/>
  <c r="H702" i="9"/>
  <c r="A574" i="9"/>
  <c r="A562" i="9"/>
  <c r="G573" i="9"/>
  <c r="H573" i="9" s="1"/>
  <c r="G572" i="9"/>
  <c r="H572" i="9" s="1"/>
  <c r="G571" i="9"/>
  <c r="H571" i="9" s="1"/>
  <c r="G570" i="9"/>
  <c r="H570" i="9" s="1"/>
  <c r="G561" i="9"/>
  <c r="H561" i="9" s="1"/>
  <c r="G560" i="9"/>
  <c r="H560" i="9" s="1"/>
  <c r="G559" i="9"/>
  <c r="H559" i="9" s="1"/>
  <c r="G558" i="9"/>
  <c r="H558" i="9" s="1"/>
  <c r="E573" i="9"/>
  <c r="D573" i="9"/>
  <c r="E572" i="9"/>
  <c r="D572" i="9"/>
  <c r="E571" i="9"/>
  <c r="D571" i="9"/>
  <c r="E570" i="9"/>
  <c r="D570" i="9"/>
  <c r="E561" i="9"/>
  <c r="D561" i="9"/>
  <c r="E560" i="9"/>
  <c r="D560" i="9"/>
  <c r="E559" i="9"/>
  <c r="D559" i="9"/>
  <c r="E558" i="9"/>
  <c r="D558" i="9"/>
  <c r="D524" i="1"/>
  <c r="E524" i="1"/>
  <c r="G524" i="1"/>
  <c r="D528" i="1"/>
  <c r="E528" i="1"/>
  <c r="G528" i="1"/>
  <c r="D531" i="1"/>
  <c r="E531" i="1"/>
  <c r="G531" i="1"/>
  <c r="D532" i="1"/>
  <c r="E532" i="1"/>
  <c r="G532" i="1"/>
  <c r="H400" i="9"/>
  <c r="H401" i="9" s="1"/>
  <c r="G394" i="9" s="1"/>
  <c r="H394" i="9" s="1"/>
  <c r="A550" i="9"/>
  <c r="F476" i="1"/>
  <c r="G549" i="9"/>
  <c r="G548" i="9"/>
  <c r="H548" i="9" s="1"/>
  <c r="G547" i="9"/>
  <c r="H547" i="9" s="1"/>
  <c r="G546" i="9"/>
  <c r="H546" i="9" s="1"/>
  <c r="E549" i="9"/>
  <c r="D549" i="9"/>
  <c r="E548" i="9"/>
  <c r="D548" i="9"/>
  <c r="E547" i="9"/>
  <c r="D547" i="9"/>
  <c r="E546" i="9"/>
  <c r="D546" i="9"/>
  <c r="F549" i="9"/>
  <c r="A531" i="9"/>
  <c r="G529" i="9"/>
  <c r="H529" i="9" s="1"/>
  <c r="G528" i="9"/>
  <c r="H528" i="9" s="1"/>
  <c r="G527" i="9"/>
  <c r="H527" i="9" s="1"/>
  <c r="G526" i="9"/>
  <c r="H526" i="9" s="1"/>
  <c r="E529" i="9"/>
  <c r="D529" i="9"/>
  <c r="E528" i="9"/>
  <c r="D528" i="9"/>
  <c r="E527" i="9"/>
  <c r="D527" i="9"/>
  <c r="E526" i="9"/>
  <c r="D526" i="9"/>
  <c r="H538" i="9"/>
  <c r="H537" i="9"/>
  <c r="H536" i="9"/>
  <c r="E530" i="9"/>
  <c r="D530" i="9"/>
  <c r="A511" i="9"/>
  <c r="G509" i="9"/>
  <c r="H509" i="9" s="1"/>
  <c r="G508" i="9"/>
  <c r="H508" i="9" s="1"/>
  <c r="G507" i="9"/>
  <c r="H507" i="9" s="1"/>
  <c r="G506" i="9"/>
  <c r="H506" i="9" s="1"/>
  <c r="E509" i="9"/>
  <c r="D509" i="9"/>
  <c r="E508" i="9"/>
  <c r="D508" i="9"/>
  <c r="E507" i="9"/>
  <c r="D507" i="9"/>
  <c r="E506" i="9"/>
  <c r="D506" i="9"/>
  <c r="H518" i="9"/>
  <c r="H517" i="9"/>
  <c r="H516" i="9"/>
  <c r="E510" i="9"/>
  <c r="D510" i="9"/>
  <c r="A498" i="9"/>
  <c r="A483" i="9"/>
  <c r="G497" i="9"/>
  <c r="H497" i="9" s="1"/>
  <c r="G496" i="9"/>
  <c r="G495" i="9"/>
  <c r="H495" i="9" s="1"/>
  <c r="G494" i="9"/>
  <c r="G493" i="9"/>
  <c r="G492" i="9"/>
  <c r="G491" i="9"/>
  <c r="G482" i="9"/>
  <c r="H482" i="9" s="1"/>
  <c r="G481" i="9"/>
  <c r="G480" i="9"/>
  <c r="H480" i="9" s="1"/>
  <c r="G479" i="9"/>
  <c r="G478" i="9"/>
  <c r="G477" i="9"/>
  <c r="G476" i="9"/>
  <c r="E497" i="9"/>
  <c r="D497" i="9"/>
  <c r="E496" i="9"/>
  <c r="D496" i="9"/>
  <c r="E495" i="9"/>
  <c r="D495" i="9"/>
  <c r="E494" i="9"/>
  <c r="D494" i="9"/>
  <c r="E493" i="9"/>
  <c r="D493" i="9"/>
  <c r="E492" i="9"/>
  <c r="D492" i="9"/>
  <c r="E491" i="9"/>
  <c r="D491" i="9"/>
  <c r="E482" i="9"/>
  <c r="D482" i="9"/>
  <c r="E481" i="9"/>
  <c r="D481" i="9"/>
  <c r="E480" i="9"/>
  <c r="D480" i="9"/>
  <c r="E479" i="9"/>
  <c r="D479" i="9"/>
  <c r="E478" i="9"/>
  <c r="D478" i="9"/>
  <c r="E477" i="9"/>
  <c r="D477" i="9"/>
  <c r="E476" i="9"/>
  <c r="D476" i="9"/>
  <c r="F496" i="9"/>
  <c r="F494" i="9"/>
  <c r="F493" i="9"/>
  <c r="F492" i="9"/>
  <c r="F491" i="9"/>
  <c r="F481" i="9"/>
  <c r="F479" i="9"/>
  <c r="F478" i="9"/>
  <c r="F477" i="9"/>
  <c r="F476" i="9"/>
  <c r="A468" i="9"/>
  <c r="G467" i="9"/>
  <c r="H467" i="9" s="1"/>
  <c r="G466" i="9"/>
  <c r="G465" i="9"/>
  <c r="H465" i="9" s="1"/>
  <c r="G464" i="9"/>
  <c r="G463" i="9"/>
  <c r="G462" i="9"/>
  <c r="H462" i="9" s="1"/>
  <c r="G461" i="9"/>
  <c r="H461" i="9" s="1"/>
  <c r="G460" i="9"/>
  <c r="G459" i="9"/>
  <c r="E467" i="9"/>
  <c r="D467" i="9"/>
  <c r="E466" i="9"/>
  <c r="D466" i="9"/>
  <c r="E465" i="9"/>
  <c r="D465" i="9"/>
  <c r="E464" i="9"/>
  <c r="D464" i="9"/>
  <c r="E463" i="9"/>
  <c r="D463" i="9"/>
  <c r="E462" i="9"/>
  <c r="D462" i="9"/>
  <c r="E461" i="9"/>
  <c r="D461" i="9"/>
  <c r="E460" i="9"/>
  <c r="D460" i="9"/>
  <c r="E459" i="9"/>
  <c r="D459" i="9"/>
  <c r="F466" i="9"/>
  <c r="F464" i="9"/>
  <c r="F463" i="9"/>
  <c r="F460" i="9"/>
  <c r="F459" i="9"/>
  <c r="A451" i="9"/>
  <c r="G450" i="9"/>
  <c r="H450" i="9" s="1"/>
  <c r="G449" i="9"/>
  <c r="G448" i="9"/>
  <c r="H448" i="9" s="1"/>
  <c r="G447" i="9"/>
  <c r="G446" i="9"/>
  <c r="G445" i="9"/>
  <c r="H445" i="9" s="1"/>
  <c r="G444" i="9"/>
  <c r="H444" i="9" s="1"/>
  <c r="G443" i="9"/>
  <c r="G442" i="9"/>
  <c r="E450" i="9"/>
  <c r="D450" i="9"/>
  <c r="E449" i="9"/>
  <c r="D449" i="9"/>
  <c r="E448" i="9"/>
  <c r="D448" i="9"/>
  <c r="E447" i="9"/>
  <c r="D447" i="9"/>
  <c r="E446" i="9"/>
  <c r="D446" i="9"/>
  <c r="E445" i="9"/>
  <c r="D445" i="9"/>
  <c r="E444" i="9"/>
  <c r="D444" i="9"/>
  <c r="E443" i="9"/>
  <c r="D443" i="9"/>
  <c r="E442" i="9"/>
  <c r="D442" i="9"/>
  <c r="F449" i="9"/>
  <c r="F447" i="9"/>
  <c r="F446" i="9"/>
  <c r="F443" i="9"/>
  <c r="F442" i="9"/>
  <c r="A434" i="9"/>
  <c r="A417" i="9"/>
  <c r="G433" i="9"/>
  <c r="H433" i="9" s="1"/>
  <c r="G432" i="9"/>
  <c r="G431" i="9"/>
  <c r="H431" i="9" s="1"/>
  <c r="G430" i="9"/>
  <c r="G429" i="9"/>
  <c r="G428" i="9"/>
  <c r="H428" i="9" s="1"/>
  <c r="G427" i="9"/>
  <c r="H427" i="9" s="1"/>
  <c r="G426" i="9"/>
  <c r="G425" i="9"/>
  <c r="G416" i="9"/>
  <c r="H416" i="9" s="1"/>
  <c r="G415" i="9"/>
  <c r="G414" i="9"/>
  <c r="H414" i="9" s="1"/>
  <c r="G413" i="9"/>
  <c r="G412" i="9"/>
  <c r="G411" i="9"/>
  <c r="H411" i="9" s="1"/>
  <c r="G410" i="9"/>
  <c r="H410" i="9" s="1"/>
  <c r="G409" i="9"/>
  <c r="G408" i="9"/>
  <c r="E433" i="9"/>
  <c r="D433" i="9"/>
  <c r="E432" i="9"/>
  <c r="D432" i="9"/>
  <c r="E431" i="9"/>
  <c r="D431" i="9"/>
  <c r="E430" i="9"/>
  <c r="D430" i="9"/>
  <c r="E429" i="9"/>
  <c r="D429" i="9"/>
  <c r="E428" i="9"/>
  <c r="D428" i="9"/>
  <c r="E427" i="9"/>
  <c r="D427" i="9"/>
  <c r="E426" i="9"/>
  <c r="D426" i="9"/>
  <c r="E425" i="9"/>
  <c r="D425" i="9"/>
  <c r="E416" i="9"/>
  <c r="D416" i="9"/>
  <c r="E415" i="9"/>
  <c r="D415" i="9"/>
  <c r="E414" i="9"/>
  <c r="D414" i="9"/>
  <c r="E413" i="9"/>
  <c r="D413" i="9"/>
  <c r="E412" i="9"/>
  <c r="D412" i="9"/>
  <c r="E411" i="9"/>
  <c r="D411" i="9"/>
  <c r="E410" i="9"/>
  <c r="D410" i="9"/>
  <c r="E409" i="9"/>
  <c r="D409" i="9"/>
  <c r="E408" i="9"/>
  <c r="D408" i="9"/>
  <c r="F432" i="9"/>
  <c r="F430" i="9"/>
  <c r="F429" i="9"/>
  <c r="F426" i="9"/>
  <c r="F425" i="9"/>
  <c r="F415" i="9"/>
  <c r="F413" i="9"/>
  <c r="F412" i="9"/>
  <c r="F409" i="9"/>
  <c r="F408" i="9"/>
  <c r="D486" i="1"/>
  <c r="E486" i="1"/>
  <c r="G486" i="1"/>
  <c r="D487" i="1"/>
  <c r="E487" i="1"/>
  <c r="G487" i="1"/>
  <c r="D488" i="1"/>
  <c r="E488" i="1"/>
  <c r="G488" i="1"/>
  <c r="E489" i="1"/>
  <c r="G489" i="1"/>
  <c r="E490" i="1"/>
  <c r="G490" i="1"/>
  <c r="D491" i="1"/>
  <c r="E491" i="1"/>
  <c r="G491" i="1"/>
  <c r="E493" i="1"/>
  <c r="G493" i="1"/>
  <c r="G485" i="1"/>
  <c r="E485" i="1"/>
  <c r="D485" i="1"/>
  <c r="A395" i="9"/>
  <c r="G393" i="9"/>
  <c r="H393" i="9" s="1"/>
  <c r="G392" i="9"/>
  <c r="H392" i="9" s="1"/>
  <c r="G391" i="9"/>
  <c r="H391" i="9" s="1"/>
  <c r="G390" i="9"/>
  <c r="H390" i="9" s="1"/>
  <c r="G389" i="9"/>
  <c r="H389" i="9" s="1"/>
  <c r="G388" i="9"/>
  <c r="H388" i="9" s="1"/>
  <c r="G387" i="9"/>
  <c r="H387" i="9" s="1"/>
  <c r="E393" i="9"/>
  <c r="D393" i="9"/>
  <c r="E392" i="9"/>
  <c r="D392" i="9"/>
  <c r="E391" i="9"/>
  <c r="D391" i="9"/>
  <c r="E390" i="9"/>
  <c r="D390" i="9"/>
  <c r="E389" i="9"/>
  <c r="D389" i="9"/>
  <c r="E388" i="9"/>
  <c r="D388" i="9"/>
  <c r="E387" i="9"/>
  <c r="D387" i="9"/>
  <c r="E394" i="9"/>
  <c r="D394" i="9"/>
  <c r="G482" i="1"/>
  <c r="E482" i="1"/>
  <c r="D482" i="1"/>
  <c r="G480" i="1"/>
  <c r="E480" i="1"/>
  <c r="D480" i="1"/>
  <c r="F46" i="1"/>
  <c r="A379" i="9"/>
  <c r="G378" i="9"/>
  <c r="H378" i="9" s="1"/>
  <c r="G377" i="9"/>
  <c r="H377" i="9" s="1"/>
  <c r="E378" i="9"/>
  <c r="D378" i="9"/>
  <c r="E377" i="9"/>
  <c r="D377" i="9"/>
  <c r="G360" i="9"/>
  <c r="H360" i="9" s="1"/>
  <c r="G359" i="9"/>
  <c r="H359" i="9" s="1"/>
  <c r="E360" i="9"/>
  <c r="D360" i="9"/>
  <c r="E359" i="9"/>
  <c r="D359" i="9"/>
  <c r="A362" i="9"/>
  <c r="H370" i="9"/>
  <c r="G361" i="9" s="1"/>
  <c r="H361" i="9" s="1"/>
  <c r="E361" i="9"/>
  <c r="D361" i="9"/>
  <c r="G342" i="9"/>
  <c r="H342" i="9" s="1"/>
  <c r="G341" i="9"/>
  <c r="H341" i="9" s="1"/>
  <c r="G340" i="9"/>
  <c r="H340" i="9" s="1"/>
  <c r="G323" i="9"/>
  <c r="H323" i="9" s="1"/>
  <c r="G322" i="9"/>
  <c r="H322" i="9" s="1"/>
  <c r="G321" i="9"/>
  <c r="H321" i="9" s="1"/>
  <c r="G304" i="9"/>
  <c r="H304" i="9" s="1"/>
  <c r="G303" i="9"/>
  <c r="H303" i="9" s="1"/>
  <c r="G302" i="9"/>
  <c r="H302" i="9" s="1"/>
  <c r="E342" i="9"/>
  <c r="D342" i="9"/>
  <c r="E341" i="9"/>
  <c r="D341" i="9"/>
  <c r="E340" i="9"/>
  <c r="D340" i="9"/>
  <c r="E323" i="9"/>
  <c r="D323" i="9"/>
  <c r="E322" i="9"/>
  <c r="D322" i="9"/>
  <c r="E321" i="9"/>
  <c r="D321" i="9"/>
  <c r="E304" i="9"/>
  <c r="D304" i="9"/>
  <c r="E303" i="9"/>
  <c r="D303" i="9"/>
  <c r="E302" i="9"/>
  <c r="D302" i="9"/>
  <c r="A344" i="9"/>
  <c r="H351" i="9"/>
  <c r="H350" i="9"/>
  <c r="H349" i="9"/>
  <c r="E343" i="9"/>
  <c r="D343" i="9"/>
  <c r="A325" i="9"/>
  <c r="A306" i="9"/>
  <c r="H332" i="9"/>
  <c r="H331" i="9"/>
  <c r="H330" i="9"/>
  <c r="E324" i="9"/>
  <c r="D324" i="9"/>
  <c r="H313" i="9"/>
  <c r="H312" i="9"/>
  <c r="H311" i="9"/>
  <c r="E305" i="9"/>
  <c r="D305" i="9"/>
  <c r="A294" i="9"/>
  <c r="G293" i="9"/>
  <c r="H293" i="9" s="1"/>
  <c r="G292" i="9"/>
  <c r="H292" i="9" s="1"/>
  <c r="G291" i="9"/>
  <c r="H291" i="9" s="1"/>
  <c r="G290" i="9"/>
  <c r="H290" i="9" s="1"/>
  <c r="E293" i="9"/>
  <c r="D293" i="9"/>
  <c r="E292" i="9"/>
  <c r="D292" i="9"/>
  <c r="E291" i="9"/>
  <c r="D291" i="9"/>
  <c r="E290" i="9"/>
  <c r="D290" i="9"/>
  <c r="E281" i="9"/>
  <c r="D281" i="9"/>
  <c r="E280" i="9"/>
  <c r="D280" i="9"/>
  <c r="E279" i="9"/>
  <c r="D279" i="9"/>
  <c r="E278" i="9"/>
  <c r="D278" i="9"/>
  <c r="E269" i="9"/>
  <c r="D269" i="9"/>
  <c r="E268" i="9"/>
  <c r="D268" i="9"/>
  <c r="E267" i="9"/>
  <c r="D267" i="9"/>
  <c r="A282" i="9"/>
  <c r="A270" i="9"/>
  <c r="G281" i="9"/>
  <c r="H281" i="9" s="1"/>
  <c r="G280" i="9"/>
  <c r="H280" i="9" s="1"/>
  <c r="G279" i="9"/>
  <c r="H279" i="9" s="1"/>
  <c r="G278" i="9"/>
  <c r="H278" i="9" s="1"/>
  <c r="G269" i="9"/>
  <c r="H269" i="9" s="1"/>
  <c r="G268" i="9"/>
  <c r="H268" i="9" s="1"/>
  <c r="G267" i="9"/>
  <c r="H267" i="9" s="1"/>
  <c r="A246" i="9"/>
  <c r="G243" i="9"/>
  <c r="H243" i="9" s="1"/>
  <c r="G242" i="9"/>
  <c r="H242" i="9" s="1"/>
  <c r="E243" i="9"/>
  <c r="D243" i="9"/>
  <c r="E242" i="9"/>
  <c r="D242" i="9"/>
  <c r="H259" i="9"/>
  <c r="H258" i="9"/>
  <c r="H257" i="9"/>
  <c r="H253" i="9"/>
  <c r="H252" i="9"/>
  <c r="H251" i="9"/>
  <c r="D245" i="9"/>
  <c r="D244" i="9"/>
  <c r="A215" i="9"/>
  <c r="G211" i="9"/>
  <c r="H211" i="9" s="1"/>
  <c r="G210" i="9"/>
  <c r="H210" i="9" s="1"/>
  <c r="G209" i="9"/>
  <c r="H209" i="9" s="1"/>
  <c r="G208" i="9"/>
  <c r="H208" i="9" s="1"/>
  <c r="G207" i="9"/>
  <c r="H207" i="9" s="1"/>
  <c r="E211" i="9"/>
  <c r="D211" i="9"/>
  <c r="E210" i="9"/>
  <c r="D210" i="9"/>
  <c r="E209" i="9"/>
  <c r="D209" i="9"/>
  <c r="E208" i="9"/>
  <c r="D208" i="9"/>
  <c r="E207" i="9"/>
  <c r="D207" i="9"/>
  <c r="H234" i="9"/>
  <c r="H233" i="9"/>
  <c r="H232" i="9"/>
  <c r="H228" i="9"/>
  <c r="H227" i="9"/>
  <c r="H226" i="9"/>
  <c r="H222" i="9"/>
  <c r="H221" i="9"/>
  <c r="H220" i="9"/>
  <c r="E214" i="9"/>
  <c r="D214" i="9"/>
  <c r="D213" i="9"/>
  <c r="D212" i="9"/>
  <c r="H260" i="9" l="1"/>
  <c r="G245" i="9" s="1"/>
  <c r="H245" i="9" s="1"/>
  <c r="H352" i="9"/>
  <c r="G343" i="9" s="1"/>
  <c r="H343" i="9" s="1"/>
  <c r="H344" i="9" s="1"/>
  <c r="H679" i="9"/>
  <c r="H408" i="9"/>
  <c r="H412" i="9"/>
  <c r="H442" i="9"/>
  <c r="H446" i="9"/>
  <c r="H466" i="9"/>
  <c r="H479" i="9"/>
  <c r="H270" i="9"/>
  <c r="H379" i="9"/>
  <c r="H413" i="9"/>
  <c r="H491" i="9"/>
  <c r="H235" i="9"/>
  <c r="G214" i="9" s="1"/>
  <c r="H214" i="9" s="1"/>
  <c r="H432" i="9"/>
  <c r="H443" i="9"/>
  <c r="H447" i="9"/>
  <c r="H459" i="9"/>
  <c r="H463" i="9"/>
  <c r="H476" i="9"/>
  <c r="H492" i="9"/>
  <c r="H496" i="9"/>
  <c r="H539" i="9"/>
  <c r="G530" i="9" s="1"/>
  <c r="H530" i="9" s="1"/>
  <c r="H531" i="9" s="1"/>
  <c r="H549" i="9"/>
  <c r="H229" i="9"/>
  <c r="G213" i="9" s="1"/>
  <c r="H213" i="9" s="1"/>
  <c r="H254" i="9"/>
  <c r="G244" i="9" s="1"/>
  <c r="H244" i="9" s="1"/>
  <c r="H314" i="9"/>
  <c r="G305" i="9" s="1"/>
  <c r="H305" i="9" s="1"/>
  <c r="H306" i="9" s="1"/>
  <c r="H409" i="9"/>
  <c r="H425" i="9"/>
  <c r="H429" i="9"/>
  <c r="H460" i="9"/>
  <c r="H464" i="9"/>
  <c r="H477" i="9"/>
  <c r="H481" i="9"/>
  <c r="H493" i="9"/>
  <c r="H550" i="9"/>
  <c r="H223" i="9"/>
  <c r="G212" i="9" s="1"/>
  <c r="H212" i="9" s="1"/>
  <c r="H294" i="9"/>
  <c r="H333" i="9"/>
  <c r="G324" i="9" s="1"/>
  <c r="H324" i="9" s="1"/>
  <c r="H325" i="9" s="1"/>
  <c r="H415" i="9"/>
  <c r="H426" i="9"/>
  <c r="H430" i="9"/>
  <c r="H449" i="9"/>
  <c r="H478" i="9"/>
  <c r="H494" i="9"/>
  <c r="H519" i="9"/>
  <c r="G510" i="9" s="1"/>
  <c r="H510" i="9" s="1"/>
  <c r="H511" i="9" s="1"/>
  <c r="H562" i="9"/>
  <c r="H574" i="9"/>
  <c r="H395" i="9"/>
  <c r="H362" i="9"/>
  <c r="H282" i="9"/>
  <c r="A180" i="9"/>
  <c r="G176" i="9"/>
  <c r="H176" i="9" s="1"/>
  <c r="G175" i="9"/>
  <c r="H175" i="9" s="1"/>
  <c r="G174" i="9"/>
  <c r="H174" i="9" s="1"/>
  <c r="G173" i="9"/>
  <c r="H173" i="9" s="1"/>
  <c r="G172" i="9"/>
  <c r="H172" i="9" s="1"/>
  <c r="E176" i="9"/>
  <c r="D176" i="9"/>
  <c r="E175" i="9"/>
  <c r="D175" i="9"/>
  <c r="E174" i="9"/>
  <c r="D174" i="9"/>
  <c r="E173" i="9"/>
  <c r="D173" i="9"/>
  <c r="E172" i="9"/>
  <c r="D172" i="9"/>
  <c r="H199" i="9"/>
  <c r="H198" i="9"/>
  <c r="H197" i="9"/>
  <c r="H193" i="9"/>
  <c r="H192" i="9"/>
  <c r="H191" i="9"/>
  <c r="H187" i="9"/>
  <c r="H186" i="9"/>
  <c r="H185" i="9"/>
  <c r="D179" i="9"/>
  <c r="D178" i="9"/>
  <c r="D177" i="9"/>
  <c r="D507" i="1"/>
  <c r="E507" i="1"/>
  <c r="G507" i="1"/>
  <c r="D508" i="1"/>
  <c r="E508" i="1"/>
  <c r="G508" i="1"/>
  <c r="D509" i="1"/>
  <c r="E509" i="1"/>
  <c r="G509" i="1"/>
  <c r="D516" i="1"/>
  <c r="E516" i="1"/>
  <c r="G516" i="1"/>
  <c r="D517" i="1"/>
  <c r="E517" i="1"/>
  <c r="G517" i="1"/>
  <c r="H246" i="9" l="1"/>
  <c r="H215" i="9"/>
  <c r="H498" i="9"/>
  <c r="H468" i="9"/>
  <c r="H434" i="9"/>
  <c r="H188" i="9"/>
  <c r="G177" i="9" s="1"/>
  <c r="H177" i="9" s="1"/>
  <c r="H417" i="9"/>
  <c r="H451" i="9"/>
  <c r="H483" i="9"/>
  <c r="H200" i="9"/>
  <c r="G179" i="9" s="1"/>
  <c r="H179" i="9" s="1"/>
  <c r="H194" i="9"/>
  <c r="G178" i="9" s="1"/>
  <c r="H178" i="9" s="1"/>
  <c r="D129" i="1"/>
  <c r="E129" i="1"/>
  <c r="G129" i="1"/>
  <c r="D131" i="1"/>
  <c r="E131" i="1"/>
  <c r="G131" i="1"/>
  <c r="D132" i="1"/>
  <c r="E132" i="1"/>
  <c r="G132" i="1"/>
  <c r="D135" i="1"/>
  <c r="E135" i="1"/>
  <c r="G135" i="1"/>
  <c r="D136" i="1"/>
  <c r="E136" i="1"/>
  <c r="G136" i="1"/>
  <c r="D137" i="1"/>
  <c r="E137" i="1"/>
  <c r="G137" i="1"/>
  <c r="D138" i="1"/>
  <c r="E138" i="1"/>
  <c r="G138" i="1"/>
  <c r="D139" i="1"/>
  <c r="E139" i="1"/>
  <c r="G139" i="1"/>
  <c r="D140" i="1"/>
  <c r="E140" i="1"/>
  <c r="G140" i="1"/>
  <c r="D141" i="1"/>
  <c r="E141" i="1"/>
  <c r="G141" i="1"/>
  <c r="D142" i="1"/>
  <c r="E142" i="1"/>
  <c r="G142" i="1"/>
  <c r="D143" i="1"/>
  <c r="E143" i="1"/>
  <c r="G143" i="1"/>
  <c r="D145" i="1"/>
  <c r="E145" i="1"/>
  <c r="G145" i="1"/>
  <c r="D147" i="1"/>
  <c r="E147" i="1"/>
  <c r="G147" i="1"/>
  <c r="D148" i="1"/>
  <c r="E148" i="1"/>
  <c r="G148" i="1"/>
  <c r="D149" i="1"/>
  <c r="E149" i="1"/>
  <c r="G149" i="1"/>
  <c r="D150" i="1"/>
  <c r="E150" i="1"/>
  <c r="G150" i="1"/>
  <c r="D151" i="1"/>
  <c r="E151" i="1"/>
  <c r="G151" i="1"/>
  <c r="D152" i="1"/>
  <c r="E152" i="1"/>
  <c r="G152" i="1"/>
  <c r="D153" i="1"/>
  <c r="E153" i="1"/>
  <c r="G153" i="1"/>
  <c r="D155" i="1"/>
  <c r="E155" i="1"/>
  <c r="G155" i="1"/>
  <c r="D158" i="1"/>
  <c r="E158" i="1"/>
  <c r="G158" i="1"/>
  <c r="D159" i="1"/>
  <c r="E159" i="1"/>
  <c r="G159" i="1"/>
  <c r="D160" i="1"/>
  <c r="E160" i="1"/>
  <c r="G160" i="1"/>
  <c r="D161" i="1"/>
  <c r="E161" i="1"/>
  <c r="G161" i="1"/>
  <c r="D162" i="1"/>
  <c r="E162" i="1"/>
  <c r="G162" i="1"/>
  <c r="D163" i="1"/>
  <c r="E163" i="1"/>
  <c r="G163" i="1"/>
  <c r="D164" i="1"/>
  <c r="E164" i="1"/>
  <c r="G164" i="1"/>
  <c r="D165" i="1"/>
  <c r="E165" i="1"/>
  <c r="G165" i="1"/>
  <c r="D167" i="1"/>
  <c r="E167" i="1"/>
  <c r="G167" i="1"/>
  <c r="D168" i="1"/>
  <c r="E168" i="1"/>
  <c r="G168" i="1"/>
  <c r="D169" i="1"/>
  <c r="E169" i="1"/>
  <c r="G169" i="1"/>
  <c r="D170" i="1"/>
  <c r="E170" i="1"/>
  <c r="G170" i="1"/>
  <c r="D171" i="1"/>
  <c r="E171" i="1"/>
  <c r="G171" i="1"/>
  <c r="D172" i="1"/>
  <c r="E172" i="1"/>
  <c r="G172" i="1"/>
  <c r="D173" i="1"/>
  <c r="E173" i="1"/>
  <c r="G173" i="1"/>
  <c r="D174" i="1"/>
  <c r="E174" i="1"/>
  <c r="G174" i="1"/>
  <c r="D175" i="1"/>
  <c r="E175" i="1"/>
  <c r="G175" i="1"/>
  <c r="D176" i="1"/>
  <c r="E176" i="1"/>
  <c r="G176" i="1"/>
  <c r="D177" i="1"/>
  <c r="E177" i="1"/>
  <c r="G177" i="1"/>
  <c r="D178" i="1"/>
  <c r="E178" i="1"/>
  <c r="G178" i="1"/>
  <c r="D179" i="1"/>
  <c r="E179" i="1"/>
  <c r="G179" i="1"/>
  <c r="D190" i="1"/>
  <c r="E190" i="1"/>
  <c r="G190" i="1"/>
  <c r="D191" i="1"/>
  <c r="E191" i="1"/>
  <c r="G191" i="1"/>
  <c r="D192" i="1"/>
  <c r="E192" i="1"/>
  <c r="G192" i="1"/>
  <c r="D199" i="1"/>
  <c r="E199" i="1"/>
  <c r="G199" i="1"/>
  <c r="D200" i="1"/>
  <c r="E200" i="1"/>
  <c r="G200" i="1"/>
  <c r="D201" i="1"/>
  <c r="E201" i="1"/>
  <c r="G201" i="1"/>
  <c r="D202" i="1"/>
  <c r="E202" i="1"/>
  <c r="G202" i="1"/>
  <c r="D203" i="1"/>
  <c r="E203" i="1"/>
  <c r="G203" i="1"/>
  <c r="F79" i="1"/>
  <c r="A164" i="9"/>
  <c r="G163" i="9"/>
  <c r="H163" i="9" s="1"/>
  <c r="G162" i="9"/>
  <c r="H162" i="9" s="1"/>
  <c r="G161" i="9"/>
  <c r="H161" i="9" s="1"/>
  <c r="G160" i="9"/>
  <c r="H160" i="9" s="1"/>
  <c r="G159" i="9"/>
  <c r="H159" i="9" s="1"/>
  <c r="G158" i="9"/>
  <c r="H158" i="9" s="1"/>
  <c r="E163" i="9"/>
  <c r="D163" i="9"/>
  <c r="E162" i="9"/>
  <c r="D162" i="9"/>
  <c r="E161" i="9"/>
  <c r="D161" i="9"/>
  <c r="E160" i="9"/>
  <c r="D160" i="9"/>
  <c r="E159" i="9"/>
  <c r="D159" i="9"/>
  <c r="E158" i="9"/>
  <c r="D158" i="9"/>
  <c r="F78" i="1"/>
  <c r="A150" i="9"/>
  <c r="G149" i="9"/>
  <c r="H149" i="9" s="1"/>
  <c r="G148" i="9"/>
  <c r="H148" i="9" s="1"/>
  <c r="G147" i="9"/>
  <c r="H147" i="9" s="1"/>
  <c r="G146" i="9"/>
  <c r="H146" i="9" s="1"/>
  <c r="G145" i="9"/>
  <c r="H145" i="9" s="1"/>
  <c r="G144" i="9"/>
  <c r="H144" i="9" s="1"/>
  <c r="E149" i="9"/>
  <c r="D149" i="9"/>
  <c r="E148" i="9"/>
  <c r="D148" i="9"/>
  <c r="E147" i="9"/>
  <c r="D147" i="9"/>
  <c r="E146" i="9"/>
  <c r="D146" i="9"/>
  <c r="E145" i="9"/>
  <c r="D145" i="9"/>
  <c r="E144" i="9"/>
  <c r="D144" i="9"/>
  <c r="H180" i="9" l="1"/>
  <c r="H150" i="9"/>
  <c r="H164" i="9"/>
  <c r="F76" i="1" l="1"/>
  <c r="F75" i="1"/>
  <c r="F74" i="1"/>
  <c r="F73" i="1"/>
  <c r="F77" i="1"/>
  <c r="F72" i="1"/>
  <c r="F71" i="1"/>
  <c r="F68" i="1"/>
  <c r="F57" i="1"/>
  <c r="F56" i="1"/>
  <c r="F55" i="1"/>
  <c r="F66" i="1"/>
  <c r="F65" i="1"/>
  <c r="F59" i="1"/>
  <c r="F60" i="1"/>
  <c r="F62" i="1"/>
  <c r="F61" i="1"/>
  <c r="F63" i="1"/>
  <c r="G61" i="1"/>
  <c r="E61" i="1"/>
  <c r="D61" i="1"/>
  <c r="F58" i="1"/>
  <c r="F67" i="1" l="1"/>
  <c r="G83" i="1"/>
  <c r="D83" i="1"/>
  <c r="E83" i="1"/>
  <c r="F118" i="1"/>
  <c r="F93" i="1"/>
  <c r="F90" i="1"/>
  <c r="F82" i="1"/>
  <c r="D56" i="1"/>
  <c r="E56" i="1"/>
  <c r="G56" i="1"/>
  <c r="D57" i="1"/>
  <c r="E57" i="1"/>
  <c r="G57" i="1"/>
  <c r="D58" i="1"/>
  <c r="E58" i="1"/>
  <c r="G58" i="1"/>
  <c r="D59" i="1"/>
  <c r="E59" i="1"/>
  <c r="G59" i="1"/>
  <c r="D60" i="1"/>
  <c r="E60" i="1"/>
  <c r="G60" i="1"/>
  <c r="D62" i="1"/>
  <c r="E62" i="1"/>
  <c r="G62" i="1"/>
  <c r="D63" i="1"/>
  <c r="E63" i="1"/>
  <c r="G63" i="1"/>
  <c r="D64" i="1"/>
  <c r="E64" i="1"/>
  <c r="G64" i="1"/>
  <c r="D65" i="1"/>
  <c r="E65" i="1"/>
  <c r="G65" i="1"/>
  <c r="D66" i="1"/>
  <c r="E66" i="1"/>
  <c r="G66" i="1"/>
  <c r="D67" i="1"/>
  <c r="E67" i="1"/>
  <c r="G67" i="1"/>
  <c r="D68" i="1"/>
  <c r="E68" i="1"/>
  <c r="G68" i="1"/>
  <c r="A136" i="9"/>
  <c r="G135" i="9"/>
  <c r="H135" i="9" s="1"/>
  <c r="G134" i="9"/>
  <c r="H134" i="9" s="1"/>
  <c r="E135" i="9"/>
  <c r="D135" i="9"/>
  <c r="E134" i="9"/>
  <c r="D134" i="9"/>
  <c r="G125" i="9"/>
  <c r="H125" i="9" s="1"/>
  <c r="G124" i="9"/>
  <c r="H124" i="9" s="1"/>
  <c r="E125" i="9"/>
  <c r="D125" i="9"/>
  <c r="E124" i="9"/>
  <c r="D124" i="9"/>
  <c r="A126" i="9"/>
  <c r="G23" i="1"/>
  <c r="D23" i="1"/>
  <c r="E23" i="1"/>
  <c r="F42" i="1"/>
  <c r="G115" i="9"/>
  <c r="H115" i="9" s="1"/>
  <c r="G114" i="9"/>
  <c r="H114" i="9" s="1"/>
  <c r="E115" i="9"/>
  <c r="D115" i="9"/>
  <c r="E114" i="9"/>
  <c r="D114" i="9"/>
  <c r="A116" i="9"/>
  <c r="F41" i="1"/>
  <c r="F40" i="1"/>
  <c r="G105" i="9"/>
  <c r="G104" i="9"/>
  <c r="E105" i="9"/>
  <c r="D105" i="9"/>
  <c r="E104" i="9"/>
  <c r="D104" i="9"/>
  <c r="A106" i="9"/>
  <c r="F105" i="9"/>
  <c r="F104" i="9"/>
  <c r="F38" i="1"/>
  <c r="G95" i="9"/>
  <c r="H95" i="9" s="1"/>
  <c r="G94" i="9"/>
  <c r="G93" i="9"/>
  <c r="E95" i="9"/>
  <c r="D95" i="9"/>
  <c r="E94" i="9"/>
  <c r="D94" i="9"/>
  <c r="E93" i="9"/>
  <c r="D93" i="9"/>
  <c r="A96" i="9"/>
  <c r="F94" i="9"/>
  <c r="F93" i="9"/>
  <c r="F37" i="1"/>
  <c r="F35" i="1"/>
  <c r="F34" i="1"/>
  <c r="F33" i="1"/>
  <c r="F32" i="1"/>
  <c r="G84" i="9"/>
  <c r="G83" i="9"/>
  <c r="G74" i="9"/>
  <c r="G73" i="9"/>
  <c r="F73" i="9"/>
  <c r="F74" i="9"/>
  <c r="F83" i="9"/>
  <c r="F84" i="9"/>
  <c r="E84" i="9"/>
  <c r="D84" i="9"/>
  <c r="E83" i="9"/>
  <c r="D83" i="9"/>
  <c r="E74" i="9"/>
  <c r="D74" i="9"/>
  <c r="E73" i="9"/>
  <c r="D73" i="9"/>
  <c r="A85" i="9"/>
  <c r="A75" i="9"/>
  <c r="F31" i="1"/>
  <c r="A65" i="9"/>
  <c r="G64" i="9"/>
  <c r="H64" i="9" s="1"/>
  <c r="H65" i="9" s="1"/>
  <c r="E64" i="9"/>
  <c r="D64" i="9"/>
  <c r="F30" i="1"/>
  <c r="G55" i="9"/>
  <c r="H55" i="9" s="1"/>
  <c r="G54" i="9"/>
  <c r="H54" i="9" s="1"/>
  <c r="E55" i="9"/>
  <c r="D55" i="9"/>
  <c r="E54" i="9"/>
  <c r="D54" i="9"/>
  <c r="A56" i="9"/>
  <c r="H74" i="9" l="1"/>
  <c r="H94" i="9"/>
  <c r="H136" i="9"/>
  <c r="H56" i="9"/>
  <c r="H83" i="9"/>
  <c r="H84" i="9"/>
  <c r="H104" i="9"/>
  <c r="H73" i="9"/>
  <c r="H93" i="9"/>
  <c r="H105" i="9"/>
  <c r="H126" i="9"/>
  <c r="H116" i="9"/>
  <c r="F29" i="1"/>
  <c r="G45" i="9"/>
  <c r="G44" i="9"/>
  <c r="E45" i="9"/>
  <c r="D45" i="9"/>
  <c r="E44" i="9"/>
  <c r="D44" i="9"/>
  <c r="A46" i="9"/>
  <c r="F45" i="9"/>
  <c r="F44" i="9"/>
  <c r="F28" i="1"/>
  <c r="A36" i="9"/>
  <c r="G35" i="9"/>
  <c r="H35" i="9" s="1"/>
  <c r="G34" i="9"/>
  <c r="H34" i="9" s="1"/>
  <c r="E35" i="9"/>
  <c r="D35" i="9"/>
  <c r="E34" i="9"/>
  <c r="D34" i="9"/>
  <c r="F27" i="1"/>
  <c r="G25" i="9"/>
  <c r="H25" i="9" s="1"/>
  <c r="G24" i="9"/>
  <c r="H24" i="9" s="1"/>
  <c r="E25" i="9"/>
  <c r="D25" i="9"/>
  <c r="E24" i="9"/>
  <c r="D24" i="9"/>
  <c r="A26" i="9"/>
  <c r="F24" i="1"/>
  <c r="A16" i="9"/>
  <c r="G15" i="9"/>
  <c r="H15" i="9" s="1"/>
  <c r="G14" i="9"/>
  <c r="H14" i="9" s="1"/>
  <c r="G13" i="9"/>
  <c r="H13" i="9" s="1"/>
  <c r="G12" i="9"/>
  <c r="H12" i="9" s="1"/>
  <c r="E15" i="9"/>
  <c r="D15" i="9"/>
  <c r="E14" i="9"/>
  <c r="D14" i="9"/>
  <c r="E13" i="9"/>
  <c r="D13" i="9"/>
  <c r="E12" i="9"/>
  <c r="D12" i="9"/>
  <c r="F22" i="1"/>
  <c r="D613" i="1" l="1"/>
  <c r="E613" i="1"/>
  <c r="D612" i="1"/>
  <c r="G613" i="1"/>
  <c r="E612" i="1"/>
  <c r="D570" i="1"/>
  <c r="G570" i="1"/>
  <c r="E570" i="1"/>
  <c r="G612" i="1"/>
  <c r="E13" i="1"/>
  <c r="G14" i="1"/>
  <c r="E17" i="1"/>
  <c r="E14" i="1"/>
  <c r="G13" i="1"/>
  <c r="G17" i="1"/>
  <c r="D14" i="1"/>
  <c r="D13" i="1"/>
  <c r="D17" i="1"/>
  <c r="G187" i="1"/>
  <c r="D189" i="1"/>
  <c r="E189" i="1"/>
  <c r="E187" i="1"/>
  <c r="D187" i="1"/>
  <c r="G189" i="1"/>
  <c r="D272" i="1"/>
  <c r="E272" i="1"/>
  <c r="G274" i="1"/>
  <c r="E277" i="1"/>
  <c r="G272" i="1"/>
  <c r="G277" i="1"/>
  <c r="D274" i="1"/>
  <c r="E274" i="1"/>
  <c r="D277" i="1"/>
  <c r="D259" i="1"/>
  <c r="D271" i="1"/>
  <c r="E259" i="1"/>
  <c r="E271" i="1"/>
  <c r="G259" i="1"/>
  <c r="G271" i="1"/>
  <c r="G533" i="1"/>
  <c r="E107" i="1"/>
  <c r="E533" i="1"/>
  <c r="G107" i="1"/>
  <c r="D107" i="1"/>
  <c r="D533" i="1"/>
  <c r="E251" i="1"/>
  <c r="G252" i="1"/>
  <c r="D230" i="1"/>
  <c r="E231" i="1"/>
  <c r="G232" i="1"/>
  <c r="D234" i="1"/>
  <c r="E235" i="1"/>
  <c r="G236" i="1"/>
  <c r="G251" i="1"/>
  <c r="E230" i="1"/>
  <c r="G231" i="1"/>
  <c r="D233" i="1"/>
  <c r="E234" i="1"/>
  <c r="G235" i="1"/>
  <c r="D252" i="1"/>
  <c r="G230" i="1"/>
  <c r="D232" i="1"/>
  <c r="E233" i="1"/>
  <c r="G234" i="1"/>
  <c r="D236" i="1"/>
  <c r="D251" i="1"/>
  <c r="E252" i="1"/>
  <c r="D231" i="1"/>
  <c r="E232" i="1"/>
  <c r="G233" i="1"/>
  <c r="D235" i="1"/>
  <c r="E236" i="1"/>
  <c r="G249" i="1"/>
  <c r="G245" i="1"/>
  <c r="G241" i="1"/>
  <c r="D250" i="1"/>
  <c r="D248" i="1"/>
  <c r="D246" i="1"/>
  <c r="D244" i="1"/>
  <c r="D242" i="1"/>
  <c r="D240" i="1"/>
  <c r="D211" i="1"/>
  <c r="E212" i="1"/>
  <c r="G213" i="1"/>
  <c r="D215" i="1"/>
  <c r="E216" i="1"/>
  <c r="G217" i="1"/>
  <c r="E220" i="1"/>
  <c r="G221" i="1"/>
  <c r="D223" i="1"/>
  <c r="E224" i="1"/>
  <c r="G225" i="1"/>
  <c r="D227" i="1"/>
  <c r="E228" i="1"/>
  <c r="G229" i="1"/>
  <c r="G248" i="1"/>
  <c r="G244" i="1"/>
  <c r="G240" i="1"/>
  <c r="E249" i="1"/>
  <c r="E247" i="1"/>
  <c r="E245" i="1"/>
  <c r="E243" i="1"/>
  <c r="E241" i="1"/>
  <c r="E239" i="1"/>
  <c r="E211" i="1"/>
  <c r="G212" i="1"/>
  <c r="D214" i="1"/>
  <c r="E215" i="1"/>
  <c r="G216" i="1"/>
  <c r="D218" i="1"/>
  <c r="G220" i="1"/>
  <c r="D222" i="1"/>
  <c r="E223" i="1"/>
  <c r="G224" i="1"/>
  <c r="D226" i="1"/>
  <c r="E227" i="1"/>
  <c r="G228" i="1"/>
  <c r="G247" i="1"/>
  <c r="G243" i="1"/>
  <c r="G239" i="1"/>
  <c r="D249" i="1"/>
  <c r="D247" i="1"/>
  <c r="D245" i="1"/>
  <c r="D243" i="1"/>
  <c r="D241" i="1"/>
  <c r="D239" i="1"/>
  <c r="G211" i="1"/>
  <c r="D213" i="1"/>
  <c r="E214" i="1"/>
  <c r="G215" i="1"/>
  <c r="D217" i="1"/>
  <c r="E218" i="1"/>
  <c r="D221" i="1"/>
  <c r="E222" i="1"/>
  <c r="G223" i="1"/>
  <c r="D225" i="1"/>
  <c r="E226" i="1"/>
  <c r="G227" i="1"/>
  <c r="D229" i="1"/>
  <c r="G250" i="1"/>
  <c r="G246" i="1"/>
  <c r="G242" i="1"/>
  <c r="E244" i="1"/>
  <c r="G214" i="1"/>
  <c r="E221" i="1"/>
  <c r="G226" i="1"/>
  <c r="E246" i="1"/>
  <c r="E213" i="1"/>
  <c r="D220" i="1"/>
  <c r="E250" i="1"/>
  <c r="E242" i="1"/>
  <c r="D216" i="1"/>
  <c r="G222" i="1"/>
  <c r="D228" i="1"/>
  <c r="E248" i="1"/>
  <c r="E240" i="1"/>
  <c r="D212" i="1"/>
  <c r="E217" i="1"/>
  <c r="D224" i="1"/>
  <c r="E229" i="1"/>
  <c r="G218" i="1"/>
  <c r="E225" i="1"/>
  <c r="E207" i="1"/>
  <c r="G207" i="1"/>
  <c r="D209" i="1"/>
  <c r="E210" i="1"/>
  <c r="E208" i="1"/>
  <c r="G208" i="1"/>
  <c r="D208" i="1"/>
  <c r="E209" i="1"/>
  <c r="G210" i="1"/>
  <c r="D207" i="1"/>
  <c r="G209" i="1"/>
  <c r="D210" i="1"/>
  <c r="E206" i="1"/>
  <c r="G206" i="1"/>
  <c r="D206" i="1"/>
  <c r="E424" i="1"/>
  <c r="G424" i="1"/>
  <c r="D424" i="1"/>
  <c r="G475" i="1"/>
  <c r="D475" i="1"/>
  <c r="E475" i="1"/>
  <c r="E423" i="1"/>
  <c r="E421" i="1"/>
  <c r="G423" i="1"/>
  <c r="D421" i="1"/>
  <c r="D423" i="1"/>
  <c r="G421" i="1"/>
  <c r="G518" i="1"/>
  <c r="D518" i="1"/>
  <c r="E518" i="1"/>
  <c r="D182" i="1"/>
  <c r="E183" i="1"/>
  <c r="G184" i="1"/>
  <c r="D181" i="1"/>
  <c r="E182" i="1"/>
  <c r="G183" i="1"/>
  <c r="E181" i="1"/>
  <c r="G182" i="1"/>
  <c r="D184" i="1"/>
  <c r="G181" i="1"/>
  <c r="D183" i="1"/>
  <c r="E184" i="1"/>
  <c r="H75" i="9"/>
  <c r="E441" i="1"/>
  <c r="D440" i="1"/>
  <c r="G438" i="1"/>
  <c r="E437" i="1"/>
  <c r="D436" i="1"/>
  <c r="G434" i="1"/>
  <c r="E433" i="1"/>
  <c r="D432" i="1"/>
  <c r="D441" i="1"/>
  <c r="G439" i="1"/>
  <c r="E438" i="1"/>
  <c r="D437" i="1"/>
  <c r="G435" i="1"/>
  <c r="E434" i="1"/>
  <c r="D433" i="1"/>
  <c r="G431" i="1"/>
  <c r="G440" i="1"/>
  <c r="E439" i="1"/>
  <c r="D438" i="1"/>
  <c r="G436" i="1"/>
  <c r="E435" i="1"/>
  <c r="D434" i="1"/>
  <c r="G432" i="1"/>
  <c r="E431" i="1"/>
  <c r="G441" i="1"/>
  <c r="E440" i="1"/>
  <c r="D439" i="1"/>
  <c r="G437" i="1"/>
  <c r="E436" i="1"/>
  <c r="D435" i="1"/>
  <c r="G433" i="1"/>
  <c r="E432" i="1"/>
  <c r="D431" i="1"/>
  <c r="H85" i="9"/>
  <c r="D455" i="1"/>
  <c r="E456" i="1"/>
  <c r="G457" i="1"/>
  <c r="D459" i="1"/>
  <c r="E460" i="1"/>
  <c r="G461" i="1"/>
  <c r="D463" i="1"/>
  <c r="E464" i="1"/>
  <c r="G465" i="1"/>
  <c r="D462" i="1"/>
  <c r="G464" i="1"/>
  <c r="E454" i="1"/>
  <c r="G455" i="1"/>
  <c r="D457" i="1"/>
  <c r="E458" i="1"/>
  <c r="G459" i="1"/>
  <c r="D461" i="1"/>
  <c r="E462" i="1"/>
  <c r="G463" i="1"/>
  <c r="D465" i="1"/>
  <c r="D454" i="1"/>
  <c r="E455" i="1"/>
  <c r="G456" i="1"/>
  <c r="D458" i="1"/>
  <c r="E459" i="1"/>
  <c r="G460" i="1"/>
  <c r="E463" i="1"/>
  <c r="G454" i="1"/>
  <c r="D456" i="1"/>
  <c r="E457" i="1"/>
  <c r="G458" i="1"/>
  <c r="D460" i="1"/>
  <c r="E461" i="1"/>
  <c r="G462" i="1"/>
  <c r="D464" i="1"/>
  <c r="E465" i="1"/>
  <c r="H26" i="9"/>
  <c r="D449" i="1"/>
  <c r="E449" i="1"/>
  <c r="G449" i="1"/>
  <c r="D622" i="1"/>
  <c r="D646" i="1"/>
  <c r="D650" i="1"/>
  <c r="E651" i="1"/>
  <c r="E622" i="1"/>
  <c r="E646" i="1"/>
  <c r="E650" i="1"/>
  <c r="G651" i="1"/>
  <c r="G622" i="1"/>
  <c r="G646" i="1"/>
  <c r="G650" i="1"/>
  <c r="D651" i="1"/>
  <c r="G667" i="1"/>
  <c r="G663" i="1"/>
  <c r="D659" i="1"/>
  <c r="G657" i="1"/>
  <c r="G588" i="1"/>
  <c r="D584" i="1"/>
  <c r="G664" i="1"/>
  <c r="G658" i="1"/>
  <c r="E588" i="1"/>
  <c r="E668" i="1"/>
  <c r="G665" i="1"/>
  <c r="D663" i="1"/>
  <c r="D657" i="1"/>
  <c r="D588" i="1"/>
  <c r="G668" i="1"/>
  <c r="E667" i="1"/>
  <c r="E663" i="1"/>
  <c r="E657" i="1"/>
  <c r="D585" i="1"/>
  <c r="E664" i="1"/>
  <c r="E658" i="1"/>
  <c r="E583" i="1"/>
  <c r="D668" i="1"/>
  <c r="E665" i="1"/>
  <c r="D664" i="1"/>
  <c r="E659" i="1"/>
  <c r="D658" i="1"/>
  <c r="G585" i="1"/>
  <c r="E584" i="1"/>
  <c r="D583" i="1"/>
  <c r="D665" i="1"/>
  <c r="E585" i="1"/>
  <c r="G583" i="1"/>
  <c r="D667" i="1"/>
  <c r="G659" i="1"/>
  <c r="G584" i="1"/>
  <c r="G580" i="1"/>
  <c r="G564" i="1"/>
  <c r="D569" i="1"/>
  <c r="G568" i="1"/>
  <c r="G569" i="1"/>
  <c r="E568" i="1"/>
  <c r="E569" i="1"/>
  <c r="D568" i="1"/>
  <c r="E580" i="1"/>
  <c r="D580" i="1"/>
  <c r="D564" i="1"/>
  <c r="E564" i="1"/>
  <c r="E205" i="1"/>
  <c r="E193" i="1"/>
  <c r="G194" i="1"/>
  <c r="D196" i="1"/>
  <c r="E197" i="1"/>
  <c r="G198" i="1"/>
  <c r="E195" i="1"/>
  <c r="D198" i="1"/>
  <c r="G195" i="1"/>
  <c r="G205" i="1"/>
  <c r="G193" i="1"/>
  <c r="D195" i="1"/>
  <c r="E196" i="1"/>
  <c r="G197" i="1"/>
  <c r="G196" i="1"/>
  <c r="D205" i="1"/>
  <c r="E194" i="1"/>
  <c r="D197" i="1"/>
  <c r="D194" i="1"/>
  <c r="D193" i="1"/>
  <c r="E198" i="1"/>
  <c r="H96" i="9"/>
  <c r="H106" i="9"/>
  <c r="G404" i="1"/>
  <c r="E404" i="1"/>
  <c r="G399" i="1"/>
  <c r="D404" i="1"/>
  <c r="D399" i="1"/>
  <c r="E399" i="1"/>
  <c r="D364" i="1"/>
  <c r="E365" i="1"/>
  <c r="G366" i="1"/>
  <c r="G357" i="1"/>
  <c r="D359" i="1"/>
  <c r="E360" i="1"/>
  <c r="G361" i="1"/>
  <c r="D363" i="1"/>
  <c r="E364" i="1"/>
  <c r="G365" i="1"/>
  <c r="D367" i="1"/>
  <c r="E359" i="1"/>
  <c r="G360" i="1"/>
  <c r="D362" i="1"/>
  <c r="E363" i="1"/>
  <c r="E357" i="1"/>
  <c r="D360" i="1"/>
  <c r="G362" i="1"/>
  <c r="G322" i="1"/>
  <c r="G364" i="1"/>
  <c r="D366" i="1"/>
  <c r="E367" i="1"/>
  <c r="D357" i="1"/>
  <c r="G359" i="1"/>
  <c r="D361" i="1"/>
  <c r="E362" i="1"/>
  <c r="G363" i="1"/>
  <c r="E361" i="1"/>
  <c r="D365" i="1"/>
  <c r="E366" i="1"/>
  <c r="G367" i="1"/>
  <c r="E291" i="1"/>
  <c r="G292" i="1"/>
  <c r="D294" i="1"/>
  <c r="E322" i="1"/>
  <c r="E345" i="1"/>
  <c r="D348" i="1"/>
  <c r="E349" i="1"/>
  <c r="G350" i="1"/>
  <c r="D352" i="1"/>
  <c r="G291" i="1"/>
  <c r="E294" i="1"/>
  <c r="D347" i="1"/>
  <c r="G345" i="1"/>
  <c r="G349" i="1"/>
  <c r="G352" i="1"/>
  <c r="D292" i="1"/>
  <c r="E293" i="1"/>
  <c r="G294" i="1"/>
  <c r="E347" i="1"/>
  <c r="G348" i="1"/>
  <c r="D350" i="1"/>
  <c r="D291" i="1"/>
  <c r="E292" i="1"/>
  <c r="G293" i="1"/>
  <c r="D322" i="1"/>
  <c r="D345" i="1"/>
  <c r="G347" i="1"/>
  <c r="D349" i="1"/>
  <c r="E350" i="1"/>
  <c r="D293" i="1"/>
  <c r="E348" i="1"/>
  <c r="E352" i="1"/>
  <c r="D492" i="1"/>
  <c r="E492" i="1"/>
  <c r="G492" i="1"/>
  <c r="E204" i="1"/>
  <c r="D146" i="1"/>
  <c r="G204" i="1"/>
  <c r="E146" i="1"/>
  <c r="G146" i="1"/>
  <c r="D204" i="1"/>
  <c r="G33" i="1"/>
  <c r="E430" i="1"/>
  <c r="D429" i="1"/>
  <c r="D430" i="1"/>
  <c r="G429" i="1"/>
  <c r="G430" i="1"/>
  <c r="E429" i="1"/>
  <c r="E525" i="1"/>
  <c r="G526" i="1"/>
  <c r="E529" i="1"/>
  <c r="G530" i="1"/>
  <c r="D523" i="1"/>
  <c r="G525" i="1"/>
  <c r="D527" i="1"/>
  <c r="G529" i="1"/>
  <c r="D481" i="1"/>
  <c r="G506" i="1"/>
  <c r="E523" i="1"/>
  <c r="D526" i="1"/>
  <c r="E527" i="1"/>
  <c r="D530" i="1"/>
  <c r="D506" i="1"/>
  <c r="E481" i="1"/>
  <c r="G523" i="1"/>
  <c r="D525" i="1"/>
  <c r="E526" i="1"/>
  <c r="G527" i="1"/>
  <c r="D529" i="1"/>
  <c r="E530" i="1"/>
  <c r="E506" i="1"/>
  <c r="E503" i="1"/>
  <c r="G504" i="1"/>
  <c r="D511" i="1"/>
  <c r="E512" i="1"/>
  <c r="G513" i="1"/>
  <c r="D515" i="1"/>
  <c r="G499" i="1"/>
  <c r="D501" i="1"/>
  <c r="E502" i="1"/>
  <c r="G503" i="1"/>
  <c r="D505" i="1"/>
  <c r="D510" i="1"/>
  <c r="E511" i="1"/>
  <c r="G512" i="1"/>
  <c r="D514" i="1"/>
  <c r="E515" i="1"/>
  <c r="D500" i="1"/>
  <c r="E501" i="1"/>
  <c r="G502" i="1"/>
  <c r="D503" i="1"/>
  <c r="G505" i="1"/>
  <c r="D512" i="1"/>
  <c r="G514" i="1"/>
  <c r="E499" i="1"/>
  <c r="G500" i="1"/>
  <c r="D504" i="1"/>
  <c r="E505" i="1"/>
  <c r="E510" i="1"/>
  <c r="G511" i="1"/>
  <c r="D513" i="1"/>
  <c r="E514" i="1"/>
  <c r="G515" i="1"/>
  <c r="D499" i="1"/>
  <c r="E500" i="1"/>
  <c r="G501" i="1"/>
  <c r="E504" i="1"/>
  <c r="G510" i="1"/>
  <c r="E513" i="1"/>
  <c r="D502" i="1"/>
  <c r="D134" i="1"/>
  <c r="G144" i="1"/>
  <c r="E156" i="1"/>
  <c r="G157" i="1"/>
  <c r="E180" i="1"/>
  <c r="E157" i="1"/>
  <c r="G166" i="1"/>
  <c r="D133" i="1"/>
  <c r="E134" i="1"/>
  <c r="G156" i="1"/>
  <c r="D166" i="1"/>
  <c r="G180" i="1"/>
  <c r="D180" i="1"/>
  <c r="G481" i="1"/>
  <c r="E133" i="1"/>
  <c r="G134" i="1"/>
  <c r="D144" i="1"/>
  <c r="D157" i="1"/>
  <c r="E166" i="1"/>
  <c r="D156" i="1"/>
  <c r="G133" i="1"/>
  <c r="E144" i="1"/>
  <c r="D33" i="1"/>
  <c r="E33" i="1"/>
  <c r="H44" i="9"/>
  <c r="H45" i="9"/>
  <c r="H36" i="9"/>
  <c r="H16" i="9"/>
  <c r="H46" i="9" l="1"/>
  <c r="D24" i="1"/>
  <c r="E24" i="1"/>
  <c r="G24" i="1"/>
  <c r="D25" i="1"/>
  <c r="E25" i="1"/>
  <c r="G25" i="1"/>
  <c r="D26" i="1"/>
  <c r="E26" i="1"/>
  <c r="G26" i="1"/>
  <c r="D27" i="1"/>
  <c r="E27" i="1"/>
  <c r="G27" i="1"/>
  <c r="D28" i="1"/>
  <c r="E28" i="1"/>
  <c r="G28" i="1"/>
  <c r="D29" i="1"/>
  <c r="E29" i="1"/>
  <c r="G29" i="1"/>
  <c r="D30" i="1"/>
  <c r="E30" i="1"/>
  <c r="G30" i="1"/>
  <c r="D31" i="1"/>
  <c r="E31" i="1"/>
  <c r="G31" i="1"/>
  <c r="D32" i="1"/>
  <c r="E32" i="1"/>
  <c r="G32" i="1"/>
  <c r="D34" i="1"/>
  <c r="E34" i="1"/>
  <c r="G34" i="1"/>
  <c r="D35" i="1"/>
  <c r="E35" i="1"/>
  <c r="G35" i="1"/>
  <c r="D36" i="1"/>
  <c r="E36" i="1"/>
  <c r="G36" i="1"/>
  <c r="D37" i="1"/>
  <c r="E37" i="1"/>
  <c r="G37" i="1"/>
  <c r="D38" i="1"/>
  <c r="E38" i="1"/>
  <c r="G38" i="1"/>
  <c r="D39" i="1"/>
  <c r="E39" i="1"/>
  <c r="G39" i="1"/>
  <c r="D40" i="1"/>
  <c r="E40" i="1"/>
  <c r="G40" i="1"/>
  <c r="D41" i="1"/>
  <c r="E41" i="1"/>
  <c r="G41" i="1"/>
  <c r="D42" i="1"/>
  <c r="E42" i="1"/>
  <c r="G42" i="1"/>
  <c r="D43" i="1"/>
  <c r="E43" i="1"/>
  <c r="G43" i="1"/>
  <c r="D44" i="1"/>
  <c r="E44" i="1"/>
  <c r="G44" i="1"/>
  <c r="D45" i="1"/>
  <c r="E45" i="1"/>
  <c r="G45" i="1"/>
  <c r="D46" i="1"/>
  <c r="E46" i="1"/>
  <c r="G46" i="1"/>
  <c r="D47" i="1"/>
  <c r="E47" i="1"/>
  <c r="G47" i="1"/>
  <c r="D48" i="1"/>
  <c r="E48" i="1"/>
  <c r="G48" i="1"/>
  <c r="D49" i="1"/>
  <c r="E49" i="1"/>
  <c r="G49" i="1"/>
  <c r="D50" i="1"/>
  <c r="E50" i="1"/>
  <c r="G50" i="1"/>
  <c r="D51" i="1"/>
  <c r="E51" i="1"/>
  <c r="G51" i="1"/>
  <c r="D52" i="1"/>
  <c r="E52" i="1"/>
  <c r="G52" i="1"/>
  <c r="G55" i="1"/>
  <c r="E55" i="1"/>
  <c r="D55" i="1"/>
  <c r="G673" i="1"/>
  <c r="E673" i="1"/>
  <c r="D673" i="1"/>
  <c r="G672" i="1"/>
  <c r="E672" i="1"/>
  <c r="D672" i="1"/>
  <c r="G560" i="1"/>
  <c r="E560" i="1"/>
  <c r="D560" i="1"/>
  <c r="G559" i="1"/>
  <c r="E559" i="1"/>
  <c r="D559" i="1"/>
  <c r="G553" i="1"/>
  <c r="E553" i="1"/>
  <c r="D553" i="1"/>
  <c r="G552" i="1"/>
  <c r="E552" i="1"/>
  <c r="D552" i="1"/>
  <c r="G551" i="1"/>
  <c r="E551" i="1"/>
  <c r="D551" i="1"/>
  <c r="G548" i="1"/>
  <c r="E548" i="1"/>
  <c r="D548" i="1"/>
  <c r="G547" i="1"/>
  <c r="E547" i="1"/>
  <c r="D547" i="1"/>
  <c r="G546" i="1"/>
  <c r="E546" i="1"/>
  <c r="D546" i="1"/>
  <c r="G545" i="1"/>
  <c r="E545" i="1"/>
  <c r="D545" i="1"/>
  <c r="G544" i="1"/>
  <c r="E544" i="1"/>
  <c r="D544" i="1"/>
  <c r="G543" i="1"/>
  <c r="E543" i="1"/>
  <c r="D543" i="1"/>
  <c r="G542" i="1"/>
  <c r="E542" i="1"/>
  <c r="D542" i="1"/>
  <c r="G541" i="1"/>
  <c r="E541" i="1"/>
  <c r="D541" i="1"/>
  <c r="G540" i="1"/>
  <c r="E540" i="1"/>
  <c r="D540" i="1"/>
  <c r="G539" i="1"/>
  <c r="E539" i="1"/>
  <c r="D539" i="1"/>
  <c r="G536" i="1"/>
  <c r="E536" i="1"/>
  <c r="D536" i="1"/>
  <c r="G522" i="1"/>
  <c r="E522" i="1"/>
  <c r="D522" i="1"/>
  <c r="G521" i="1"/>
  <c r="E521" i="1"/>
  <c r="D521" i="1"/>
  <c r="G498" i="1"/>
  <c r="E498" i="1"/>
  <c r="D498" i="1"/>
  <c r="G497" i="1"/>
  <c r="E497" i="1"/>
  <c r="D497" i="1"/>
  <c r="G496" i="1"/>
  <c r="E496" i="1"/>
  <c r="D496" i="1"/>
  <c r="G477" i="1"/>
  <c r="E477" i="1"/>
  <c r="D477" i="1"/>
  <c r="G476" i="1"/>
  <c r="E476" i="1"/>
  <c r="D476" i="1"/>
  <c r="G474" i="1"/>
  <c r="E474" i="1"/>
  <c r="D474" i="1"/>
  <c r="G473" i="1"/>
  <c r="E473" i="1"/>
  <c r="D473" i="1"/>
  <c r="G470" i="1"/>
  <c r="E470" i="1"/>
  <c r="D470" i="1"/>
  <c r="G469" i="1"/>
  <c r="E469" i="1"/>
  <c r="D469" i="1"/>
  <c r="G466" i="1"/>
  <c r="E466" i="1"/>
  <c r="D466" i="1"/>
  <c r="G446" i="1"/>
  <c r="E446" i="1"/>
  <c r="D446" i="1"/>
  <c r="G414" i="1"/>
  <c r="E414" i="1"/>
  <c r="D414" i="1"/>
  <c r="G413" i="1"/>
  <c r="E413" i="1"/>
  <c r="D413" i="1"/>
  <c r="G412" i="1"/>
  <c r="E412" i="1"/>
  <c r="D412" i="1"/>
  <c r="G411" i="1"/>
  <c r="E411" i="1"/>
  <c r="D411" i="1"/>
  <c r="G410" i="1"/>
  <c r="E410" i="1"/>
  <c r="D410" i="1"/>
  <c r="G409" i="1"/>
  <c r="E409" i="1"/>
  <c r="D409" i="1"/>
  <c r="G408" i="1"/>
  <c r="E408" i="1"/>
  <c r="D408" i="1"/>
  <c r="G407" i="1"/>
  <c r="E407" i="1"/>
  <c r="D407" i="1"/>
  <c r="G395" i="1"/>
  <c r="E395" i="1"/>
  <c r="D395" i="1"/>
  <c r="G392" i="1"/>
  <c r="E392" i="1"/>
  <c r="D392" i="1"/>
  <c r="G391" i="1"/>
  <c r="E391" i="1"/>
  <c r="D391" i="1"/>
  <c r="G390" i="1"/>
  <c r="E390" i="1"/>
  <c r="D390" i="1"/>
  <c r="G389" i="1"/>
  <c r="E389" i="1"/>
  <c r="D389" i="1"/>
  <c r="G388" i="1"/>
  <c r="E388" i="1"/>
  <c r="D388" i="1"/>
  <c r="G387" i="1"/>
  <c r="E387" i="1"/>
  <c r="D387" i="1"/>
  <c r="G386" i="1"/>
  <c r="E386" i="1"/>
  <c r="D386" i="1"/>
  <c r="G385" i="1"/>
  <c r="E385" i="1"/>
  <c r="D385" i="1"/>
  <c r="G384" i="1"/>
  <c r="E384" i="1"/>
  <c r="D384" i="1"/>
  <c r="G383" i="1"/>
  <c r="E383" i="1"/>
  <c r="D383" i="1"/>
  <c r="G382" i="1"/>
  <c r="E382" i="1"/>
  <c r="D382" i="1"/>
  <c r="G381" i="1"/>
  <c r="E381" i="1"/>
  <c r="D381" i="1"/>
  <c r="G380" i="1"/>
  <c r="E380" i="1"/>
  <c r="D380" i="1"/>
  <c r="G379" i="1"/>
  <c r="E379" i="1"/>
  <c r="D379" i="1"/>
  <c r="G378" i="1"/>
  <c r="E378" i="1"/>
  <c r="D378" i="1"/>
  <c r="G377" i="1"/>
  <c r="E377" i="1"/>
  <c r="D377" i="1"/>
  <c r="G376" i="1"/>
  <c r="E376" i="1"/>
  <c r="D376" i="1"/>
  <c r="G375" i="1"/>
  <c r="E375" i="1"/>
  <c r="D375" i="1"/>
  <c r="G374" i="1"/>
  <c r="E374" i="1"/>
  <c r="D374" i="1"/>
  <c r="G373" i="1"/>
  <c r="E373" i="1"/>
  <c r="D373" i="1"/>
  <c r="G372" i="1"/>
  <c r="E372" i="1"/>
  <c r="D372" i="1"/>
  <c r="G371" i="1"/>
  <c r="E371" i="1"/>
  <c r="D371" i="1"/>
  <c r="G370" i="1"/>
  <c r="E370" i="1"/>
  <c r="D370" i="1"/>
  <c r="G280" i="1"/>
  <c r="E280" i="1"/>
  <c r="D280" i="1"/>
  <c r="G128" i="1"/>
  <c r="E128" i="1"/>
  <c r="D128" i="1"/>
  <c r="G125" i="1"/>
  <c r="E125" i="1"/>
  <c r="D125" i="1"/>
  <c r="G124" i="1"/>
  <c r="E124" i="1"/>
  <c r="D124" i="1"/>
  <c r="G123" i="1"/>
  <c r="E123" i="1"/>
  <c r="D123" i="1"/>
  <c r="G121" i="1"/>
  <c r="E121" i="1"/>
  <c r="D121" i="1"/>
  <c r="G120" i="1"/>
  <c r="E120" i="1"/>
  <c r="D120" i="1"/>
  <c r="G119" i="1"/>
  <c r="E119" i="1"/>
  <c r="D119" i="1"/>
  <c r="G118" i="1"/>
  <c r="E118" i="1"/>
  <c r="D118" i="1"/>
  <c r="G115" i="1"/>
  <c r="E115" i="1"/>
  <c r="D115" i="1"/>
  <c r="G114" i="1"/>
  <c r="E114" i="1"/>
  <c r="D114" i="1"/>
  <c r="G113" i="1"/>
  <c r="E113" i="1"/>
  <c r="D113" i="1"/>
  <c r="G112" i="1"/>
  <c r="E112" i="1"/>
  <c r="D112" i="1"/>
  <c r="G111" i="1"/>
  <c r="E111" i="1"/>
  <c r="D111" i="1"/>
  <c r="G110" i="1"/>
  <c r="E110" i="1"/>
  <c r="D110" i="1"/>
  <c r="G109" i="1"/>
  <c r="E109" i="1"/>
  <c r="D109" i="1"/>
  <c r="G106" i="1"/>
  <c r="E106" i="1"/>
  <c r="D106" i="1"/>
  <c r="G105" i="1"/>
  <c r="E105" i="1"/>
  <c r="D105" i="1"/>
  <c r="G104" i="1"/>
  <c r="E104" i="1"/>
  <c r="D104" i="1"/>
  <c r="G103" i="1"/>
  <c r="E103" i="1"/>
  <c r="D103" i="1"/>
  <c r="G102" i="1"/>
  <c r="E102" i="1"/>
  <c r="D102" i="1"/>
  <c r="G101" i="1"/>
  <c r="E101" i="1"/>
  <c r="D101" i="1"/>
  <c r="G100" i="1"/>
  <c r="E100" i="1"/>
  <c r="D100" i="1"/>
  <c r="G97" i="1"/>
  <c r="E97" i="1"/>
  <c r="D97" i="1"/>
  <c r="G96" i="1"/>
  <c r="E96" i="1"/>
  <c r="D96" i="1"/>
  <c r="G95" i="1"/>
  <c r="E95" i="1"/>
  <c r="D95" i="1"/>
  <c r="G94" i="1"/>
  <c r="E94" i="1"/>
  <c r="D94" i="1"/>
  <c r="G93" i="1"/>
  <c r="E93" i="1"/>
  <c r="D93" i="1"/>
  <c r="G90" i="1"/>
  <c r="E90" i="1"/>
  <c r="D90" i="1"/>
  <c r="G89" i="1"/>
  <c r="E89" i="1"/>
  <c r="D89" i="1"/>
  <c r="G88" i="1"/>
  <c r="E88" i="1"/>
  <c r="D88" i="1"/>
  <c r="G87" i="1"/>
  <c r="E87" i="1"/>
  <c r="D87" i="1"/>
  <c r="G86" i="1"/>
  <c r="E86" i="1"/>
  <c r="D86" i="1"/>
  <c r="G85" i="1"/>
  <c r="E85" i="1"/>
  <c r="D85" i="1"/>
  <c r="G84" i="1"/>
  <c r="E84" i="1"/>
  <c r="D84" i="1"/>
  <c r="G82" i="1"/>
  <c r="E82" i="1"/>
  <c r="D82" i="1"/>
  <c r="G79" i="1"/>
  <c r="E79" i="1"/>
  <c r="D79" i="1"/>
  <c r="G78" i="1"/>
  <c r="E78" i="1"/>
  <c r="D78" i="1"/>
  <c r="G77" i="1"/>
  <c r="E77" i="1"/>
  <c r="D77" i="1"/>
  <c r="G76" i="1"/>
  <c r="E76" i="1"/>
  <c r="D76" i="1"/>
  <c r="G75" i="1"/>
  <c r="E75" i="1"/>
  <c r="D75" i="1"/>
  <c r="G74" i="1"/>
  <c r="E74" i="1"/>
  <c r="D74" i="1"/>
  <c r="G73" i="1"/>
  <c r="E73" i="1"/>
  <c r="D73" i="1"/>
  <c r="G72" i="1"/>
  <c r="E72" i="1"/>
  <c r="D72" i="1"/>
  <c r="G71" i="1"/>
  <c r="E71" i="1"/>
  <c r="D71" i="1"/>
  <c r="G22" i="1"/>
  <c r="E22" i="1"/>
  <c r="D22" i="1"/>
  <c r="G12" i="1"/>
  <c r="E12" i="1"/>
  <c r="D12" i="1"/>
  <c r="G9" i="1"/>
  <c r="A17" i="3" l="1"/>
  <c r="A18" i="3"/>
  <c r="A19" i="3"/>
  <c r="A20" i="3"/>
  <c r="A21" i="3"/>
  <c r="A22" i="3"/>
  <c r="A23" i="3"/>
  <c r="A24" i="3"/>
  <c r="A25" i="3"/>
  <c r="A26" i="3"/>
  <c r="A27" i="3"/>
  <c r="A28" i="3"/>
  <c r="A29" i="3"/>
  <c r="A30" i="3"/>
  <c r="A31" i="3"/>
  <c r="A32" i="3"/>
  <c r="A33" i="3"/>
  <c r="A34" i="3"/>
  <c r="A35" i="3"/>
  <c r="A36" i="3"/>
  <c r="A37" i="3"/>
  <c r="B33" i="2"/>
  <c r="B31" i="3" s="1"/>
  <c r="B34" i="2"/>
  <c r="B32" i="3" s="1"/>
  <c r="B35" i="2"/>
  <c r="B33" i="3" s="1"/>
  <c r="B36" i="2"/>
  <c r="B34" i="3" s="1"/>
  <c r="B37" i="2"/>
  <c r="B35" i="3" s="1"/>
  <c r="B38" i="2"/>
  <c r="B36" i="3" s="1"/>
  <c r="B39" i="2"/>
  <c r="B37" i="3" s="1"/>
  <c r="K14" i="15" l="1"/>
  <c r="L14" i="15" s="1"/>
  <c r="L15" i="15" s="1"/>
  <c r="K6" i="15"/>
  <c r="L6" i="15" s="1"/>
  <c r="L7" i="15" s="1"/>
  <c r="C14" i="14" l="1"/>
  <c r="C15" i="14" s="1"/>
  <c r="B21" i="4" s="1"/>
  <c r="C8" i="14"/>
  <c r="C12" i="7" l="1"/>
  <c r="E9" i="1" l="1"/>
  <c r="D9" i="1"/>
  <c r="D37" i="11" l="1"/>
  <c r="C37" i="11"/>
  <c r="D33" i="11"/>
  <c r="C33" i="11"/>
  <c r="D26" i="11"/>
  <c r="C26" i="11"/>
  <c r="D14" i="11"/>
  <c r="C14" i="11"/>
  <c r="H2" i="9"/>
  <c r="H1" i="9"/>
  <c r="B3" i="9"/>
  <c r="B4" i="9"/>
  <c r="B2" i="9"/>
  <c r="B1" i="9"/>
  <c r="D38" i="11" l="1"/>
  <c r="H4" i="9" s="1"/>
  <c r="C38" i="11"/>
  <c r="H3" i="9" s="1"/>
  <c r="B19" i="2" l="1"/>
  <c r="B17" i="3" s="1"/>
  <c r="B27" i="2"/>
  <c r="B25" i="3" s="1"/>
  <c r="B17" i="2"/>
  <c r="B15" i="3" s="1"/>
  <c r="A15" i="3"/>
  <c r="B25" i="2"/>
  <c r="B23" i="3" s="1"/>
  <c r="B23" i="2"/>
  <c r="B21" i="3" s="1"/>
  <c r="B30" i="2"/>
  <c r="B28" i="3" s="1"/>
  <c r="B16" i="2"/>
  <c r="B14" i="3" s="1"/>
  <c r="A14" i="3"/>
  <c r="B20" i="2"/>
  <c r="B18" i="3" s="1"/>
  <c r="B24" i="2"/>
  <c r="B22" i="3" s="1"/>
  <c r="B28" i="2"/>
  <c r="B26" i="3" s="1"/>
  <c r="B31" i="2"/>
  <c r="B29" i="3" s="1"/>
  <c r="B21" i="2"/>
  <c r="B19" i="3" s="1"/>
  <c r="B32" i="2"/>
  <c r="B30" i="3" s="1"/>
  <c r="B18" i="2"/>
  <c r="B16" i="3" s="1"/>
  <c r="A16" i="3"/>
  <c r="B22" i="2"/>
  <c r="B20" i="3" s="1"/>
  <c r="B26" i="2"/>
  <c r="B24" i="3" s="1"/>
  <c r="B29" i="2"/>
  <c r="B27" i="3" s="1"/>
  <c r="B41" i="2"/>
  <c r="B39" i="3" s="1"/>
  <c r="A39" i="3"/>
  <c r="B12" i="2" l="1"/>
  <c r="B10" i="3" s="1"/>
  <c r="A10" i="3"/>
  <c r="B15" i="2"/>
  <c r="B13" i="3" s="1"/>
  <c r="A13" i="3"/>
  <c r="B13" i="2"/>
  <c r="B11" i="3" s="1"/>
  <c r="A11" i="3"/>
  <c r="A40" i="2" l="1"/>
  <c r="A38" i="3" s="1"/>
  <c r="A14" i="2"/>
  <c r="A12" i="3" s="1"/>
  <c r="B4" i="3" l="1"/>
  <c r="B4" i="1"/>
  <c r="B4" i="2"/>
  <c r="F2" i="1" l="1"/>
  <c r="C14" i="7"/>
  <c r="C15" i="7" s="1"/>
  <c r="B20" i="4" s="1"/>
  <c r="F1" i="1" s="1"/>
  <c r="H18" i="1" s="1"/>
  <c r="I18" i="1" s="1"/>
  <c r="C8" i="7"/>
  <c r="H612" i="1" l="1"/>
  <c r="I612" i="1" s="1"/>
  <c r="H605" i="1"/>
  <c r="I605" i="1" s="1"/>
  <c r="H606" i="1"/>
  <c r="I606" i="1" s="1"/>
  <c r="H608" i="1"/>
  <c r="I608" i="1" s="1"/>
  <c r="H611" i="1"/>
  <c r="I611" i="1" s="1"/>
  <c r="H613" i="1"/>
  <c r="I613" i="1" s="1"/>
  <c r="H607" i="1"/>
  <c r="I607" i="1" s="1"/>
  <c r="H609" i="1"/>
  <c r="I609" i="1" s="1"/>
  <c r="H610" i="1"/>
  <c r="I610" i="1" s="1"/>
  <c r="H273" i="1"/>
  <c r="I273" i="1" s="1"/>
  <c r="H188" i="1"/>
  <c r="I188" i="1" s="1"/>
  <c r="H189" i="1"/>
  <c r="I189" i="1" s="1"/>
  <c r="H186" i="1"/>
  <c r="I186" i="1" s="1"/>
  <c r="H187" i="1"/>
  <c r="I187" i="1" s="1"/>
  <c r="H185" i="1"/>
  <c r="I185" i="1" s="1"/>
  <c r="H107" i="1"/>
  <c r="I107" i="1" s="1"/>
  <c r="H275" i="1"/>
  <c r="I275" i="1" s="1"/>
  <c r="H270" i="1"/>
  <c r="I270" i="1" s="1"/>
  <c r="H267" i="1"/>
  <c r="I267" i="1" s="1"/>
  <c r="H260" i="1"/>
  <c r="I260" i="1" s="1"/>
  <c r="H258" i="1"/>
  <c r="I258" i="1" s="1"/>
  <c r="H262" i="1"/>
  <c r="I262" i="1" s="1"/>
  <c r="H269" i="1"/>
  <c r="I269" i="1" s="1"/>
  <c r="H266" i="1"/>
  <c r="I266" i="1" s="1"/>
  <c r="H263" i="1"/>
  <c r="I263" i="1" s="1"/>
  <c r="H274" i="1"/>
  <c r="I274" i="1" s="1"/>
  <c r="H276" i="1"/>
  <c r="I276" i="1" s="1"/>
  <c r="H265" i="1"/>
  <c r="I265" i="1" s="1"/>
  <c r="H268" i="1"/>
  <c r="I268" i="1" s="1"/>
  <c r="H264" i="1"/>
  <c r="I264" i="1" s="1"/>
  <c r="H277" i="1"/>
  <c r="I277" i="1" s="1"/>
  <c r="H272" i="1"/>
  <c r="I272" i="1" s="1"/>
  <c r="H261" i="1"/>
  <c r="I261" i="1" s="1"/>
  <c r="H256" i="1"/>
  <c r="I256" i="1" s="1"/>
  <c r="H255" i="1"/>
  <c r="H257" i="1"/>
  <c r="I257" i="1" s="1"/>
  <c r="H271" i="1"/>
  <c r="I271" i="1" s="1"/>
  <c r="H259" i="1"/>
  <c r="I259" i="1" s="1"/>
  <c r="I255" i="1"/>
  <c r="H570" i="1"/>
  <c r="I570" i="1" s="1"/>
  <c r="H533" i="1"/>
  <c r="I533" i="1" s="1"/>
  <c r="H122" i="1"/>
  <c r="I122" i="1" s="1"/>
  <c r="H571" i="1"/>
  <c r="I571" i="1" s="1"/>
  <c r="H251" i="1"/>
  <c r="I251" i="1" s="1"/>
  <c r="H252" i="1"/>
  <c r="I252" i="1" s="1"/>
  <c r="H236" i="1"/>
  <c r="I236" i="1" s="1"/>
  <c r="H231" i="1"/>
  <c r="I231" i="1" s="1"/>
  <c r="H233" i="1"/>
  <c r="I233" i="1" s="1"/>
  <c r="H232" i="1"/>
  <c r="I232" i="1" s="1"/>
  <c r="H234" i="1"/>
  <c r="I234" i="1" s="1"/>
  <c r="H230" i="1"/>
  <c r="I230" i="1" s="1"/>
  <c r="H235" i="1"/>
  <c r="I235" i="1" s="1"/>
  <c r="H241" i="1"/>
  <c r="I241" i="1" s="1"/>
  <c r="H250" i="1"/>
  <c r="I250" i="1" s="1"/>
  <c r="H240" i="1"/>
  <c r="I240" i="1" s="1"/>
  <c r="H243" i="1"/>
  <c r="I243" i="1" s="1"/>
  <c r="H245" i="1"/>
  <c r="I245" i="1" s="1"/>
  <c r="H239" i="1"/>
  <c r="I239" i="1" s="1"/>
  <c r="H244" i="1"/>
  <c r="I244" i="1" s="1"/>
  <c r="H249" i="1"/>
  <c r="I249" i="1" s="1"/>
  <c r="H247" i="1"/>
  <c r="I247" i="1" s="1"/>
  <c r="H248" i="1"/>
  <c r="I248" i="1" s="1"/>
  <c r="H246" i="1"/>
  <c r="I246" i="1" s="1"/>
  <c r="H242" i="1"/>
  <c r="I242" i="1" s="1"/>
  <c r="H220" i="1"/>
  <c r="I220" i="1" s="1"/>
  <c r="H228" i="1"/>
  <c r="I228" i="1" s="1"/>
  <c r="H225" i="1"/>
  <c r="I225" i="1" s="1"/>
  <c r="H226" i="1"/>
  <c r="I226" i="1" s="1"/>
  <c r="H215" i="1"/>
  <c r="I215" i="1" s="1"/>
  <c r="H218" i="1"/>
  <c r="I218" i="1" s="1"/>
  <c r="H213" i="1"/>
  <c r="I213" i="1" s="1"/>
  <c r="H224" i="1"/>
  <c r="I224" i="1" s="1"/>
  <c r="H221" i="1"/>
  <c r="I221" i="1" s="1"/>
  <c r="H222" i="1"/>
  <c r="I222" i="1" s="1"/>
  <c r="H211" i="1"/>
  <c r="I211" i="1" s="1"/>
  <c r="H214" i="1"/>
  <c r="I214" i="1" s="1"/>
  <c r="H212" i="1"/>
  <c r="I212" i="1" s="1"/>
  <c r="H219" i="1"/>
  <c r="I219" i="1" s="1"/>
  <c r="H216" i="1"/>
  <c r="I216" i="1" s="1"/>
  <c r="H217" i="1"/>
  <c r="I217" i="1" s="1"/>
  <c r="H227" i="1"/>
  <c r="I227" i="1" s="1"/>
  <c r="H229" i="1"/>
  <c r="I229" i="1" s="1"/>
  <c r="H223" i="1"/>
  <c r="I223" i="1" s="1"/>
  <c r="H475" i="1"/>
  <c r="I475" i="1" s="1"/>
  <c r="H207" i="1"/>
  <c r="I207" i="1" s="1"/>
  <c r="H209" i="1"/>
  <c r="I209" i="1" s="1"/>
  <c r="H210" i="1"/>
  <c r="I210" i="1" s="1"/>
  <c r="H206" i="1"/>
  <c r="I206" i="1" s="1"/>
  <c r="H208" i="1"/>
  <c r="I208" i="1" s="1"/>
  <c r="H108" i="1"/>
  <c r="I108" i="1" s="1"/>
  <c r="H424" i="1"/>
  <c r="I424" i="1" s="1"/>
  <c r="H462" i="1"/>
  <c r="I462" i="1" s="1"/>
  <c r="H461" i="1"/>
  <c r="I461" i="1" s="1"/>
  <c r="H465" i="1"/>
  <c r="I465" i="1" s="1"/>
  <c r="H463" i="1"/>
  <c r="I463" i="1" s="1"/>
  <c r="H464" i="1"/>
  <c r="I464" i="1" s="1"/>
  <c r="H453" i="1"/>
  <c r="I453" i="1" s="1"/>
  <c r="H451" i="1"/>
  <c r="I451" i="1" s="1"/>
  <c r="H452" i="1"/>
  <c r="I452" i="1" s="1"/>
  <c r="H458" i="1"/>
  <c r="I458" i="1" s="1"/>
  <c r="H447" i="1"/>
  <c r="I447" i="1" s="1"/>
  <c r="H457" i="1"/>
  <c r="I457" i="1" s="1"/>
  <c r="H454" i="1"/>
  <c r="I454" i="1" s="1"/>
  <c r="H459" i="1"/>
  <c r="I459" i="1" s="1"/>
  <c r="H460" i="1"/>
  <c r="I460" i="1" s="1"/>
  <c r="H448" i="1"/>
  <c r="I448" i="1" s="1"/>
  <c r="H450" i="1"/>
  <c r="I450" i="1" s="1"/>
  <c r="H455" i="1"/>
  <c r="I455" i="1" s="1"/>
  <c r="H456" i="1"/>
  <c r="I456" i="1" s="1"/>
  <c r="H449" i="1"/>
  <c r="I449" i="1" s="1"/>
  <c r="H624" i="1"/>
  <c r="I624" i="1" s="1"/>
  <c r="H636" i="1"/>
  <c r="I636" i="1" s="1"/>
  <c r="H628" i="1"/>
  <c r="I628" i="1" s="1"/>
  <c r="H639" i="1"/>
  <c r="I639" i="1" s="1"/>
  <c r="H620" i="1"/>
  <c r="I620" i="1" s="1"/>
  <c r="H626" i="1"/>
  <c r="I626" i="1" s="1"/>
  <c r="H635" i="1"/>
  <c r="I635" i="1" s="1"/>
  <c r="H642" i="1"/>
  <c r="I642" i="1" s="1"/>
  <c r="H623" i="1"/>
  <c r="I623" i="1" s="1"/>
  <c r="H633" i="1"/>
  <c r="I633" i="1" s="1"/>
  <c r="H640" i="1"/>
  <c r="I640" i="1" s="1"/>
  <c r="H621" i="1"/>
  <c r="I621" i="1" s="1"/>
  <c r="H631" i="1"/>
  <c r="I631" i="1" s="1"/>
  <c r="H632" i="1"/>
  <c r="I632" i="1" s="1"/>
  <c r="H630" i="1"/>
  <c r="I630" i="1" s="1"/>
  <c r="H622" i="1"/>
  <c r="I622" i="1" s="1"/>
  <c r="H638" i="1"/>
  <c r="I638" i="1" s="1"/>
  <c r="H619" i="1"/>
  <c r="I619" i="1" s="1"/>
  <c r="H629" i="1"/>
  <c r="I629" i="1" s="1"/>
  <c r="H634" i="1"/>
  <c r="I634" i="1" s="1"/>
  <c r="H641" i="1"/>
  <c r="I641" i="1" s="1"/>
  <c r="H627" i="1"/>
  <c r="I627" i="1" s="1"/>
  <c r="H643" i="1"/>
  <c r="I643" i="1" s="1"/>
  <c r="H625" i="1"/>
  <c r="I625" i="1" s="1"/>
  <c r="H637" i="1"/>
  <c r="I637" i="1" s="1"/>
  <c r="H669" i="1"/>
  <c r="I669" i="1" s="1"/>
  <c r="H651" i="1"/>
  <c r="I651" i="1" s="1"/>
  <c r="H646" i="1"/>
  <c r="I646" i="1" s="1"/>
  <c r="H644" i="1"/>
  <c r="I644" i="1" s="1"/>
  <c r="H650" i="1"/>
  <c r="I650" i="1" s="1"/>
  <c r="H649" i="1"/>
  <c r="I649" i="1" s="1"/>
  <c r="H647" i="1"/>
  <c r="I647" i="1" s="1"/>
  <c r="H654" i="1"/>
  <c r="I654" i="1" s="1"/>
  <c r="H648" i="1"/>
  <c r="I648" i="1" s="1"/>
  <c r="H653" i="1"/>
  <c r="I653" i="1" s="1"/>
  <c r="H652" i="1"/>
  <c r="I652" i="1" s="1"/>
  <c r="H645" i="1"/>
  <c r="I645" i="1" s="1"/>
  <c r="H580" i="1"/>
  <c r="I580" i="1" s="1"/>
  <c r="I581" i="1" s="1"/>
  <c r="H577" i="1"/>
  <c r="I577" i="1" s="1"/>
  <c r="H576" i="1"/>
  <c r="I576" i="1" s="1"/>
  <c r="H563" i="1"/>
  <c r="I563" i="1" s="1"/>
  <c r="H561" i="1"/>
  <c r="I561" i="1" s="1"/>
  <c r="H564" i="1"/>
  <c r="I564" i="1" s="1"/>
  <c r="H562" i="1"/>
  <c r="I562" i="1" s="1"/>
  <c r="H565" i="1"/>
  <c r="I565" i="1" s="1"/>
  <c r="H591" i="1"/>
  <c r="I591" i="1" s="1"/>
  <c r="H588" i="1"/>
  <c r="I588" i="1" s="1"/>
  <c r="I589" i="1" s="1"/>
  <c r="D46" i="2" s="1"/>
  <c r="D44" i="3" s="1"/>
  <c r="H665" i="1"/>
  <c r="I665" i="1" s="1"/>
  <c r="H660" i="1"/>
  <c r="I660" i="1" s="1"/>
  <c r="H659" i="1"/>
  <c r="I659" i="1" s="1"/>
  <c r="H664" i="1"/>
  <c r="I664" i="1" s="1"/>
  <c r="H663" i="1"/>
  <c r="I663" i="1" s="1"/>
  <c r="H598" i="1"/>
  <c r="I598" i="1" s="1"/>
  <c r="H618" i="1"/>
  <c r="I618" i="1" s="1"/>
  <c r="H595" i="1"/>
  <c r="I595" i="1" s="1"/>
  <c r="H666" i="1"/>
  <c r="I666" i="1" s="1"/>
  <c r="H667" i="1"/>
  <c r="I667" i="1" s="1"/>
  <c r="H596" i="1"/>
  <c r="I596" i="1" s="1"/>
  <c r="H600" i="1"/>
  <c r="I600" i="1" s="1"/>
  <c r="H599" i="1"/>
  <c r="I599" i="1" s="1"/>
  <c r="H617" i="1"/>
  <c r="I617" i="1" s="1"/>
  <c r="H603" i="1"/>
  <c r="I603" i="1" s="1"/>
  <c r="H657" i="1"/>
  <c r="I657" i="1" s="1"/>
  <c r="H592" i="1"/>
  <c r="I592" i="1" s="1"/>
  <c r="H668" i="1"/>
  <c r="I668" i="1" s="1"/>
  <c r="H604" i="1"/>
  <c r="I604" i="1" s="1"/>
  <c r="H658" i="1"/>
  <c r="I658" i="1" s="1"/>
  <c r="H616" i="1"/>
  <c r="I616" i="1" s="1"/>
  <c r="H597" i="1"/>
  <c r="I597" i="1" s="1"/>
  <c r="H575" i="1"/>
  <c r="I575" i="1" s="1"/>
  <c r="H572" i="1"/>
  <c r="I572" i="1" s="1"/>
  <c r="H584" i="1"/>
  <c r="I584" i="1" s="1"/>
  <c r="H569" i="1"/>
  <c r="I569" i="1" s="1"/>
  <c r="H585" i="1"/>
  <c r="I585" i="1" s="1"/>
  <c r="H568" i="1"/>
  <c r="I568" i="1" s="1"/>
  <c r="H583" i="1"/>
  <c r="I583" i="1" s="1"/>
  <c r="H404" i="1"/>
  <c r="I404" i="1" s="1"/>
  <c r="H284" i="1"/>
  <c r="I284" i="1" s="1"/>
  <c r="H285" i="1"/>
  <c r="I285" i="1" s="1"/>
  <c r="H283" i="1"/>
  <c r="I283" i="1" s="1"/>
  <c r="H397" i="1"/>
  <c r="I397" i="1" s="1"/>
  <c r="H402" i="1"/>
  <c r="I402" i="1" s="1"/>
  <c r="H396" i="1"/>
  <c r="I396" i="1" s="1"/>
  <c r="H398" i="1"/>
  <c r="I398" i="1" s="1"/>
  <c r="H401" i="1"/>
  <c r="I401" i="1" s="1"/>
  <c r="H403" i="1"/>
  <c r="I403" i="1" s="1"/>
  <c r="H400" i="1"/>
  <c r="I400" i="1" s="1"/>
  <c r="H399" i="1"/>
  <c r="I399" i="1" s="1"/>
  <c r="H365" i="1"/>
  <c r="I365" i="1" s="1"/>
  <c r="H366" i="1"/>
  <c r="I366" i="1" s="1"/>
  <c r="H367" i="1"/>
  <c r="I367" i="1" s="1"/>
  <c r="H364" i="1"/>
  <c r="I364" i="1" s="1"/>
  <c r="H309" i="1"/>
  <c r="I309" i="1" s="1"/>
  <c r="H361" i="1"/>
  <c r="I361" i="1" s="1"/>
  <c r="H362" i="1"/>
  <c r="I362" i="1" s="1"/>
  <c r="H363" i="1"/>
  <c r="I363" i="1" s="1"/>
  <c r="H360" i="1"/>
  <c r="I360" i="1" s="1"/>
  <c r="H357" i="1"/>
  <c r="I357" i="1" s="1"/>
  <c r="H358" i="1"/>
  <c r="I358" i="1" s="1"/>
  <c r="H359" i="1"/>
  <c r="I359" i="1" s="1"/>
  <c r="H356" i="1"/>
  <c r="I356" i="1" s="1"/>
  <c r="H354" i="1"/>
  <c r="I354" i="1" s="1"/>
  <c r="H355" i="1"/>
  <c r="I355" i="1" s="1"/>
  <c r="H300" i="1"/>
  <c r="I300" i="1" s="1"/>
  <c r="H313" i="1"/>
  <c r="I313" i="1" s="1"/>
  <c r="H314" i="1"/>
  <c r="I314" i="1" s="1"/>
  <c r="H303" i="1"/>
  <c r="I303" i="1" s="1"/>
  <c r="H304" i="1"/>
  <c r="I304" i="1" s="1"/>
  <c r="H320" i="1"/>
  <c r="I320" i="1" s="1"/>
  <c r="H322" i="1"/>
  <c r="I322" i="1" s="1"/>
  <c r="H315" i="1"/>
  <c r="I315" i="1" s="1"/>
  <c r="H323" i="1"/>
  <c r="I323" i="1" s="1"/>
  <c r="H317" i="1"/>
  <c r="I317" i="1" s="1"/>
  <c r="H316" i="1"/>
  <c r="I316" i="1" s="1"/>
  <c r="H321" i="1"/>
  <c r="I321" i="1" s="1"/>
  <c r="H319" i="1"/>
  <c r="I319" i="1" s="1"/>
  <c r="H318" i="1"/>
  <c r="I318" i="1" s="1"/>
  <c r="H310" i="1"/>
  <c r="I310" i="1" s="1"/>
  <c r="H290" i="1"/>
  <c r="I290" i="1" s="1"/>
  <c r="H299" i="1"/>
  <c r="I299" i="1" s="1"/>
  <c r="H343" i="1"/>
  <c r="I343" i="1" s="1"/>
  <c r="H327" i="1"/>
  <c r="I327" i="1" s="1"/>
  <c r="H332" i="1"/>
  <c r="I332" i="1" s="1"/>
  <c r="H337" i="1"/>
  <c r="I337" i="1" s="1"/>
  <c r="H342" i="1"/>
  <c r="I342" i="1" s="1"/>
  <c r="H326" i="1"/>
  <c r="I326" i="1" s="1"/>
  <c r="H301" i="1"/>
  <c r="I301" i="1" s="1"/>
  <c r="H297" i="1"/>
  <c r="I297" i="1" s="1"/>
  <c r="H305" i="1"/>
  <c r="I305" i="1" s="1"/>
  <c r="H295" i="1"/>
  <c r="I295" i="1" s="1"/>
  <c r="H339" i="1"/>
  <c r="I339" i="1" s="1"/>
  <c r="H344" i="1"/>
  <c r="I344" i="1" s="1"/>
  <c r="H328" i="1"/>
  <c r="I328" i="1" s="1"/>
  <c r="H333" i="1"/>
  <c r="I333" i="1" s="1"/>
  <c r="H338" i="1"/>
  <c r="I338" i="1" s="1"/>
  <c r="H296" i="1"/>
  <c r="I296" i="1" s="1"/>
  <c r="H293" i="1"/>
  <c r="I293" i="1" s="1"/>
  <c r="H298" i="1"/>
  <c r="I298" i="1" s="1"/>
  <c r="H311" i="1"/>
  <c r="I311" i="1" s="1"/>
  <c r="H291" i="1"/>
  <c r="I291" i="1" s="1"/>
  <c r="H335" i="1"/>
  <c r="I335" i="1" s="1"/>
  <c r="H340" i="1"/>
  <c r="I340" i="1" s="1"/>
  <c r="H324" i="1"/>
  <c r="I324" i="1" s="1"/>
  <c r="H329" i="1"/>
  <c r="I329" i="1" s="1"/>
  <c r="H334" i="1"/>
  <c r="I334" i="1" s="1"/>
  <c r="H312" i="1"/>
  <c r="I312" i="1" s="1"/>
  <c r="H292" i="1"/>
  <c r="I292" i="1" s="1"/>
  <c r="H308" i="1"/>
  <c r="I308" i="1" s="1"/>
  <c r="H289" i="1"/>
  <c r="I289" i="1" s="1"/>
  <c r="H294" i="1"/>
  <c r="I294" i="1" s="1"/>
  <c r="H306" i="1"/>
  <c r="I306" i="1" s="1"/>
  <c r="H287" i="1"/>
  <c r="I287" i="1" s="1"/>
  <c r="H331" i="1"/>
  <c r="I331" i="1" s="1"/>
  <c r="H336" i="1"/>
  <c r="I336" i="1" s="1"/>
  <c r="H341" i="1"/>
  <c r="I341" i="1" s="1"/>
  <c r="H325" i="1"/>
  <c r="I325" i="1" s="1"/>
  <c r="H330" i="1"/>
  <c r="I330" i="1" s="1"/>
  <c r="H307" i="1"/>
  <c r="I307" i="1" s="1"/>
  <c r="H288" i="1"/>
  <c r="I288" i="1" s="1"/>
  <c r="H302" i="1"/>
  <c r="I302" i="1" s="1"/>
  <c r="H281" i="1"/>
  <c r="I281" i="1" s="1"/>
  <c r="H346" i="1"/>
  <c r="I346" i="1" s="1"/>
  <c r="H350" i="1"/>
  <c r="I350" i="1" s="1"/>
  <c r="H345" i="1"/>
  <c r="I345" i="1" s="1"/>
  <c r="H282" i="1"/>
  <c r="I282" i="1" s="1"/>
  <c r="H353" i="1"/>
  <c r="I353" i="1" s="1"/>
  <c r="H349" i="1"/>
  <c r="I349" i="1" s="1"/>
  <c r="H352" i="1"/>
  <c r="I352" i="1" s="1"/>
  <c r="H348" i="1"/>
  <c r="I348" i="1" s="1"/>
  <c r="H286" i="1"/>
  <c r="I286" i="1" s="1"/>
  <c r="H347" i="1"/>
  <c r="I347" i="1" s="1"/>
  <c r="H351" i="1"/>
  <c r="I351" i="1" s="1"/>
  <c r="H15" i="1"/>
  <c r="I15" i="1" s="1"/>
  <c r="H13" i="1"/>
  <c r="I13" i="1" s="1"/>
  <c r="H17" i="1"/>
  <c r="I17" i="1" s="1"/>
  <c r="H14" i="1"/>
  <c r="I14" i="1" s="1"/>
  <c r="H16" i="1"/>
  <c r="I16" i="1" s="1"/>
  <c r="H130" i="1"/>
  <c r="I130" i="1" s="1"/>
  <c r="H154" i="1"/>
  <c r="I154" i="1" s="1"/>
  <c r="H423" i="1"/>
  <c r="I423" i="1" s="1"/>
  <c r="H422" i="1"/>
  <c r="I422" i="1" s="1"/>
  <c r="H435" i="1"/>
  <c r="I435" i="1" s="1"/>
  <c r="H420" i="1"/>
  <c r="I420" i="1" s="1"/>
  <c r="H431" i="1"/>
  <c r="I431" i="1" s="1"/>
  <c r="H418" i="1"/>
  <c r="I418" i="1" s="1"/>
  <c r="H425" i="1"/>
  <c r="I425" i="1" s="1"/>
  <c r="H434" i="1"/>
  <c r="I434" i="1" s="1"/>
  <c r="H433" i="1"/>
  <c r="I433" i="1" s="1"/>
  <c r="H432" i="1"/>
  <c r="I432" i="1" s="1"/>
  <c r="H436" i="1"/>
  <c r="I436" i="1" s="1"/>
  <c r="H439" i="1"/>
  <c r="I439" i="1" s="1"/>
  <c r="H426" i="1"/>
  <c r="I426" i="1" s="1"/>
  <c r="H428" i="1"/>
  <c r="I428" i="1" s="1"/>
  <c r="H430" i="1"/>
  <c r="I430" i="1" s="1"/>
  <c r="H440" i="1"/>
  <c r="I440" i="1" s="1"/>
  <c r="H438" i="1"/>
  <c r="I438" i="1" s="1"/>
  <c r="H437" i="1"/>
  <c r="I437" i="1" s="1"/>
  <c r="H441" i="1"/>
  <c r="I441" i="1" s="1"/>
  <c r="H443" i="1"/>
  <c r="I443" i="1" s="1"/>
  <c r="H417" i="1"/>
  <c r="I417" i="1" s="1"/>
  <c r="H427" i="1"/>
  <c r="I427" i="1" s="1"/>
  <c r="H421" i="1"/>
  <c r="I421" i="1" s="1"/>
  <c r="H442" i="1"/>
  <c r="I442" i="1" s="1"/>
  <c r="H419" i="1"/>
  <c r="I419" i="1" s="1"/>
  <c r="H429" i="1"/>
  <c r="I429" i="1" s="1"/>
  <c r="H531" i="1"/>
  <c r="I531" i="1" s="1"/>
  <c r="H528" i="1"/>
  <c r="I528" i="1" s="1"/>
  <c r="H525" i="1"/>
  <c r="I525" i="1" s="1"/>
  <c r="H530" i="1"/>
  <c r="I530" i="1" s="1"/>
  <c r="H527" i="1"/>
  <c r="I527" i="1" s="1"/>
  <c r="H524" i="1"/>
  <c r="I524" i="1" s="1"/>
  <c r="H526" i="1"/>
  <c r="I526" i="1" s="1"/>
  <c r="H523" i="1"/>
  <c r="I523" i="1" s="1"/>
  <c r="H532" i="1"/>
  <c r="I532" i="1" s="1"/>
  <c r="H529" i="1"/>
  <c r="I529" i="1" s="1"/>
  <c r="H492" i="1"/>
  <c r="I492" i="1" s="1"/>
  <c r="H491" i="1"/>
  <c r="I491" i="1" s="1"/>
  <c r="H488" i="1"/>
  <c r="I488" i="1" s="1"/>
  <c r="H490" i="1"/>
  <c r="I490" i="1" s="1"/>
  <c r="H487" i="1"/>
  <c r="I487" i="1" s="1"/>
  <c r="H493" i="1"/>
  <c r="I493" i="1" s="1"/>
  <c r="H486" i="1"/>
  <c r="I486" i="1" s="1"/>
  <c r="H489" i="1"/>
  <c r="I489" i="1" s="1"/>
  <c r="H485" i="1"/>
  <c r="I485" i="1" s="1"/>
  <c r="H506" i="1"/>
  <c r="I506" i="1" s="1"/>
  <c r="H480" i="1"/>
  <c r="I480" i="1" s="1"/>
  <c r="H481" i="1"/>
  <c r="I481" i="1" s="1"/>
  <c r="H482" i="1"/>
  <c r="I482" i="1" s="1"/>
  <c r="H505" i="1"/>
  <c r="I505" i="1" s="1"/>
  <c r="H514" i="1"/>
  <c r="I514" i="1" s="1"/>
  <c r="H508" i="1"/>
  <c r="I508" i="1" s="1"/>
  <c r="H504" i="1"/>
  <c r="I504" i="1" s="1"/>
  <c r="H515" i="1"/>
  <c r="I515" i="1" s="1"/>
  <c r="H510" i="1"/>
  <c r="I510" i="1" s="1"/>
  <c r="H503" i="1"/>
  <c r="I503" i="1" s="1"/>
  <c r="H511" i="1"/>
  <c r="I511" i="1" s="1"/>
  <c r="H516" i="1"/>
  <c r="I516" i="1" s="1"/>
  <c r="H513" i="1"/>
  <c r="I513" i="1" s="1"/>
  <c r="H507" i="1"/>
  <c r="I507" i="1" s="1"/>
  <c r="H512" i="1"/>
  <c r="I512" i="1" s="1"/>
  <c r="H509" i="1"/>
  <c r="I509" i="1" s="1"/>
  <c r="H518" i="1"/>
  <c r="I518" i="1" s="1"/>
  <c r="H499" i="1"/>
  <c r="I499" i="1" s="1"/>
  <c r="H502" i="1"/>
  <c r="I502" i="1" s="1"/>
  <c r="H517" i="1"/>
  <c r="I517" i="1" s="1"/>
  <c r="H500" i="1"/>
  <c r="I500" i="1" s="1"/>
  <c r="H501" i="1"/>
  <c r="I501" i="1" s="1"/>
  <c r="H163" i="1"/>
  <c r="I163" i="1" s="1"/>
  <c r="H169" i="1"/>
  <c r="I169" i="1" s="1"/>
  <c r="H174" i="1"/>
  <c r="I174" i="1" s="1"/>
  <c r="H183" i="1"/>
  <c r="I183" i="1" s="1"/>
  <c r="H149" i="1"/>
  <c r="I149" i="1" s="1"/>
  <c r="H155" i="1"/>
  <c r="I155" i="1" s="1"/>
  <c r="H161" i="1"/>
  <c r="I161" i="1" s="1"/>
  <c r="H198" i="1"/>
  <c r="I198" i="1" s="1"/>
  <c r="H166" i="1"/>
  <c r="I166" i="1" s="1"/>
  <c r="H177" i="1"/>
  <c r="I177" i="1" s="1"/>
  <c r="H196" i="1"/>
  <c r="I196" i="1" s="1"/>
  <c r="H201" i="1"/>
  <c r="I201" i="1" s="1"/>
  <c r="H140" i="1"/>
  <c r="I140" i="1" s="1"/>
  <c r="H205" i="1"/>
  <c r="I205" i="1" s="1"/>
  <c r="H159" i="1"/>
  <c r="I159" i="1" s="1"/>
  <c r="H192" i="1"/>
  <c r="I192" i="1" s="1"/>
  <c r="H167" i="1"/>
  <c r="I167" i="1" s="1"/>
  <c r="H199" i="1"/>
  <c r="I199" i="1" s="1"/>
  <c r="H173" i="1"/>
  <c r="I173" i="1" s="1"/>
  <c r="H150" i="1"/>
  <c r="I150" i="1" s="1"/>
  <c r="H180" i="1"/>
  <c r="I180" i="1" s="1"/>
  <c r="H157" i="1"/>
  <c r="I157" i="1" s="1"/>
  <c r="H142" i="1"/>
  <c r="I142" i="1" s="1"/>
  <c r="H143" i="1"/>
  <c r="I143" i="1" s="1"/>
  <c r="H131" i="1"/>
  <c r="I131" i="1" s="1"/>
  <c r="H136" i="1"/>
  <c r="I136" i="1" s="1"/>
  <c r="H168" i="1"/>
  <c r="I168" i="1" s="1"/>
  <c r="H200" i="1"/>
  <c r="I200" i="1" s="1"/>
  <c r="H175" i="1"/>
  <c r="I175" i="1" s="1"/>
  <c r="H137" i="1"/>
  <c r="I137" i="1" s="1"/>
  <c r="H144" i="1"/>
  <c r="I144" i="1" s="1"/>
  <c r="H190" i="1"/>
  <c r="I190" i="1" s="1"/>
  <c r="H195" i="1"/>
  <c r="I195" i="1" s="1"/>
  <c r="H147" i="1"/>
  <c r="I147" i="1" s="1"/>
  <c r="H178" i="1"/>
  <c r="I178" i="1" s="1"/>
  <c r="H162" i="1"/>
  <c r="I162" i="1" s="1"/>
  <c r="H194" i="1"/>
  <c r="I194" i="1" s="1"/>
  <c r="H170" i="1"/>
  <c r="I170" i="1" s="1"/>
  <c r="H133" i="1"/>
  <c r="I133" i="1" s="1"/>
  <c r="H139" i="1"/>
  <c r="I139" i="1" s="1"/>
  <c r="H204" i="1"/>
  <c r="I204" i="1" s="1"/>
  <c r="H191" i="1"/>
  <c r="I191" i="1" s="1"/>
  <c r="H172" i="1"/>
  <c r="I172" i="1" s="1"/>
  <c r="H179" i="1"/>
  <c r="I179" i="1" s="1"/>
  <c r="H164" i="1"/>
  <c r="I164" i="1" s="1"/>
  <c r="H135" i="1"/>
  <c r="I135" i="1" s="1"/>
  <c r="H141" i="1"/>
  <c r="I141" i="1" s="1"/>
  <c r="H158" i="1"/>
  <c r="I158" i="1" s="1"/>
  <c r="H202" i="1"/>
  <c r="I202" i="1" s="1"/>
  <c r="H176" i="1"/>
  <c r="I176" i="1" s="1"/>
  <c r="H152" i="1"/>
  <c r="I152" i="1" s="1"/>
  <c r="H181" i="1"/>
  <c r="I181" i="1" s="1"/>
  <c r="H160" i="1"/>
  <c r="I160" i="1" s="1"/>
  <c r="H193" i="1"/>
  <c r="I193" i="1" s="1"/>
  <c r="H151" i="1"/>
  <c r="I151" i="1" s="1"/>
  <c r="H138" i="1"/>
  <c r="I138" i="1" s="1"/>
  <c r="H132" i="1"/>
  <c r="I132" i="1" s="1"/>
  <c r="H171" i="1"/>
  <c r="I171" i="1" s="1"/>
  <c r="H203" i="1"/>
  <c r="I203" i="1" s="1"/>
  <c r="H153" i="1"/>
  <c r="I153" i="1" s="1"/>
  <c r="H182" i="1"/>
  <c r="I182" i="1" s="1"/>
  <c r="H134" i="1"/>
  <c r="I134" i="1" s="1"/>
  <c r="H145" i="1"/>
  <c r="I145" i="1" s="1"/>
  <c r="H165" i="1"/>
  <c r="I165" i="1" s="1"/>
  <c r="H197" i="1"/>
  <c r="I197" i="1" s="1"/>
  <c r="H148" i="1"/>
  <c r="I148" i="1" s="1"/>
  <c r="H156" i="1"/>
  <c r="I156" i="1" s="1"/>
  <c r="H184" i="1"/>
  <c r="I184" i="1" s="1"/>
  <c r="H146" i="1"/>
  <c r="I146" i="1" s="1"/>
  <c r="H129" i="1"/>
  <c r="I129" i="1" s="1"/>
  <c r="H83" i="1"/>
  <c r="I83" i="1" s="1"/>
  <c r="H61" i="1"/>
  <c r="I61" i="1" s="1"/>
  <c r="H68" i="1"/>
  <c r="I68" i="1" s="1"/>
  <c r="H58" i="1"/>
  <c r="I58" i="1" s="1"/>
  <c r="H63" i="1"/>
  <c r="I63" i="1" s="1"/>
  <c r="H65" i="1"/>
  <c r="I65" i="1" s="1"/>
  <c r="H67" i="1"/>
  <c r="I67" i="1" s="1"/>
  <c r="H66" i="1"/>
  <c r="I66" i="1" s="1"/>
  <c r="H64" i="1"/>
  <c r="I64" i="1" s="1"/>
  <c r="H59" i="1"/>
  <c r="I59" i="1" s="1"/>
  <c r="H56" i="1"/>
  <c r="I56" i="1" s="1"/>
  <c r="H62" i="1"/>
  <c r="I62" i="1" s="1"/>
  <c r="H60" i="1"/>
  <c r="I60" i="1" s="1"/>
  <c r="H57" i="1"/>
  <c r="I57" i="1" s="1"/>
  <c r="H33" i="1"/>
  <c r="I33" i="1" s="1"/>
  <c r="H23" i="1"/>
  <c r="I23" i="1" s="1"/>
  <c r="H41" i="1"/>
  <c r="I41" i="1" s="1"/>
  <c r="H24" i="1"/>
  <c r="I24" i="1" s="1"/>
  <c r="H46" i="1"/>
  <c r="I46" i="1" s="1"/>
  <c r="H29" i="1"/>
  <c r="I29" i="1" s="1"/>
  <c r="H47" i="1"/>
  <c r="I47" i="1" s="1"/>
  <c r="H30" i="1"/>
  <c r="I30" i="1" s="1"/>
  <c r="H44" i="1"/>
  <c r="I44" i="1" s="1"/>
  <c r="H27" i="1"/>
  <c r="I27" i="1" s="1"/>
  <c r="H37" i="1"/>
  <c r="I37" i="1" s="1"/>
  <c r="H42" i="1"/>
  <c r="I42" i="1" s="1"/>
  <c r="H25" i="1"/>
  <c r="I25" i="1" s="1"/>
  <c r="H43" i="1"/>
  <c r="I43" i="1" s="1"/>
  <c r="H26" i="1"/>
  <c r="I26" i="1" s="1"/>
  <c r="H40" i="1"/>
  <c r="I40" i="1" s="1"/>
  <c r="H49" i="1"/>
  <c r="I49" i="1" s="1"/>
  <c r="H32" i="1"/>
  <c r="I32" i="1" s="1"/>
  <c r="H38" i="1"/>
  <c r="I38" i="1" s="1"/>
  <c r="H39" i="1"/>
  <c r="I39" i="1" s="1"/>
  <c r="H52" i="1"/>
  <c r="I52" i="1" s="1"/>
  <c r="H36" i="1"/>
  <c r="I36" i="1" s="1"/>
  <c r="H45" i="1"/>
  <c r="I45" i="1" s="1"/>
  <c r="H28" i="1"/>
  <c r="I28" i="1" s="1"/>
  <c r="H50" i="1"/>
  <c r="I50" i="1" s="1"/>
  <c r="H34" i="1"/>
  <c r="I34" i="1" s="1"/>
  <c r="H51" i="1"/>
  <c r="I51" i="1" s="1"/>
  <c r="H35" i="1"/>
  <c r="I35" i="1" s="1"/>
  <c r="H48" i="1"/>
  <c r="I48" i="1" s="1"/>
  <c r="H31" i="1"/>
  <c r="I31" i="1" s="1"/>
  <c r="H55" i="1"/>
  <c r="I55" i="1" s="1"/>
  <c r="H477" i="1"/>
  <c r="I477" i="1" s="1"/>
  <c r="H539" i="1"/>
  <c r="I539" i="1" s="1"/>
  <c r="H553" i="1"/>
  <c r="I553" i="1" s="1"/>
  <c r="H466" i="1"/>
  <c r="I466" i="1" s="1"/>
  <c r="H547" i="1"/>
  <c r="I547" i="1" s="1"/>
  <c r="H381" i="1"/>
  <c r="I381" i="1" s="1"/>
  <c r="H409" i="1"/>
  <c r="I409" i="1" s="1"/>
  <c r="H128" i="1"/>
  <c r="I128" i="1" s="1"/>
  <c r="H124" i="1"/>
  <c r="I124" i="1" s="1"/>
  <c r="H110" i="1"/>
  <c r="I110" i="1" s="1"/>
  <c r="H115" i="1"/>
  <c r="I115" i="1" s="1"/>
  <c r="H104" i="1"/>
  <c r="I104" i="1" s="1"/>
  <c r="H82" i="1"/>
  <c r="I82" i="1" s="1"/>
  <c r="H111" i="1"/>
  <c r="I111" i="1" s="1"/>
  <c r="H79" i="1"/>
  <c r="I79" i="1" s="1"/>
  <c r="H109" i="1"/>
  <c r="I109" i="1" s="1"/>
  <c r="H78" i="1"/>
  <c r="I78" i="1" s="1"/>
  <c r="H87" i="1"/>
  <c r="I87" i="1" s="1"/>
  <c r="H96" i="1"/>
  <c r="I96" i="1" s="1"/>
  <c r="H375" i="1"/>
  <c r="I375" i="1" s="1"/>
  <c r="H12" i="1"/>
  <c r="I12" i="1" s="1"/>
  <c r="H103" i="1"/>
  <c r="I103" i="1" s="1"/>
  <c r="H380" i="1"/>
  <c r="I380" i="1" s="1"/>
  <c r="H73" i="1"/>
  <c r="I73" i="1" s="1"/>
  <c r="H90" i="1"/>
  <c r="I90" i="1" s="1"/>
  <c r="H105" i="1"/>
  <c r="I105" i="1" s="1"/>
  <c r="H370" i="1"/>
  <c r="I370" i="1" s="1"/>
  <c r="H522" i="1"/>
  <c r="I522" i="1" s="1"/>
  <c r="H388" i="1"/>
  <c r="I388" i="1" s="1"/>
  <c r="H371" i="1"/>
  <c r="I371" i="1" s="1"/>
  <c r="H392" i="1"/>
  <c r="I392" i="1" s="1"/>
  <c r="H543" i="1"/>
  <c r="I543" i="1" s="1"/>
  <c r="H469" i="1"/>
  <c r="I469" i="1" s="1"/>
  <c r="H474" i="1"/>
  <c r="I474" i="1" s="1"/>
  <c r="H559" i="1"/>
  <c r="I559" i="1" s="1"/>
  <c r="H548" i="1"/>
  <c r="I548" i="1" s="1"/>
  <c r="H560" i="1"/>
  <c r="I560" i="1" s="1"/>
  <c r="H112" i="1"/>
  <c r="I112" i="1" s="1"/>
  <c r="H120" i="1"/>
  <c r="I120" i="1" s="1"/>
  <c r="H413" i="1"/>
  <c r="I413" i="1" s="1"/>
  <c r="H72" i="1"/>
  <c r="I72" i="1" s="1"/>
  <c r="H395" i="1"/>
  <c r="I395" i="1" s="1"/>
  <c r="H408" i="1"/>
  <c r="I408" i="1" s="1"/>
  <c r="H86" i="1"/>
  <c r="I86" i="1" s="1"/>
  <c r="H119" i="1"/>
  <c r="I119" i="1" s="1"/>
  <c r="H74" i="1"/>
  <c r="I74" i="1" s="1"/>
  <c r="H97" i="1"/>
  <c r="I97" i="1" s="1"/>
  <c r="H84" i="1"/>
  <c r="I84" i="1" s="1"/>
  <c r="H118" i="1"/>
  <c r="I118" i="1" s="1"/>
  <c r="H101" i="1"/>
  <c r="I101" i="1" s="1"/>
  <c r="H379" i="1"/>
  <c r="I379" i="1" s="1"/>
  <c r="H473" i="1"/>
  <c r="I473" i="1" s="1"/>
  <c r="H75" i="1"/>
  <c r="I75" i="1" s="1"/>
  <c r="H386" i="1"/>
  <c r="I386" i="1" s="1"/>
  <c r="H22" i="1"/>
  <c r="I22" i="1" s="1"/>
  <c r="H114" i="1"/>
  <c r="I114" i="1" s="1"/>
  <c r="H374" i="1"/>
  <c r="I374" i="1" s="1"/>
  <c r="H373" i="1"/>
  <c r="I373" i="1" s="1"/>
  <c r="H100" i="1"/>
  <c r="I100" i="1" s="1"/>
  <c r="H376" i="1"/>
  <c r="I376" i="1" s="1"/>
  <c r="H407" i="1"/>
  <c r="I407" i="1" s="1"/>
  <c r="H446" i="1"/>
  <c r="I446" i="1" s="1"/>
  <c r="H542" i="1"/>
  <c r="I542" i="1" s="1"/>
  <c r="H672" i="1"/>
  <c r="I672" i="1" s="1"/>
  <c r="H551" i="1"/>
  <c r="I551" i="1" s="1"/>
  <c r="H125" i="1"/>
  <c r="I125" i="1" s="1"/>
  <c r="H71" i="1"/>
  <c r="I71" i="1" s="1"/>
  <c r="H106" i="1"/>
  <c r="I106" i="1" s="1"/>
  <c r="H384" i="1"/>
  <c r="I384" i="1" s="1"/>
  <c r="H377" i="1"/>
  <c r="I377" i="1" s="1"/>
  <c r="H390" i="1"/>
  <c r="I390" i="1" s="1"/>
  <c r="H121" i="1"/>
  <c r="I121" i="1" s="1"/>
  <c r="H414" i="1"/>
  <c r="I414" i="1" s="1"/>
  <c r="H93" i="1"/>
  <c r="I93" i="1" s="1"/>
  <c r="H378" i="1"/>
  <c r="I378" i="1" s="1"/>
  <c r="H113" i="1"/>
  <c r="I113" i="1" s="1"/>
  <c r="H382" i="1"/>
  <c r="I382" i="1" s="1"/>
  <c r="H411" i="1"/>
  <c r="I411" i="1" s="1"/>
  <c r="H372" i="1"/>
  <c r="I372" i="1" s="1"/>
  <c r="H470" i="1"/>
  <c r="I470" i="1" s="1"/>
  <c r="H383" i="1"/>
  <c r="I383" i="1" s="1"/>
  <c r="H387" i="1"/>
  <c r="I387" i="1" s="1"/>
  <c r="H544" i="1"/>
  <c r="I544" i="1" s="1"/>
  <c r="H497" i="1"/>
  <c r="I497" i="1" s="1"/>
  <c r="H673" i="1"/>
  <c r="I673" i="1" s="1"/>
  <c r="H541" i="1"/>
  <c r="I541" i="1" s="1"/>
  <c r="H496" i="1"/>
  <c r="I496" i="1" s="1"/>
  <c r="H540" i="1"/>
  <c r="I540" i="1" s="1"/>
  <c r="H385" i="1"/>
  <c r="I385" i="1" s="1"/>
  <c r="H76" i="1"/>
  <c r="I76" i="1" s="1"/>
  <c r="H389" i="1"/>
  <c r="I389" i="1" s="1"/>
  <c r="H77" i="1"/>
  <c r="I77" i="1" s="1"/>
  <c r="H89" i="1"/>
  <c r="I89" i="1" s="1"/>
  <c r="H546" i="1"/>
  <c r="I546" i="1" s="1"/>
  <c r="H545" i="1"/>
  <c r="I545" i="1" s="1"/>
  <c r="H94" i="1"/>
  <c r="I94" i="1" s="1"/>
  <c r="H410" i="1"/>
  <c r="I410" i="1" s="1"/>
  <c r="H95" i="1"/>
  <c r="I95" i="1" s="1"/>
  <c r="H88" i="1"/>
  <c r="I88" i="1" s="1"/>
  <c r="H280" i="1"/>
  <c r="I280" i="1" s="1"/>
  <c r="H85" i="1"/>
  <c r="I85" i="1" s="1"/>
  <c r="H102" i="1"/>
  <c r="I102" i="1" s="1"/>
  <c r="H412" i="1"/>
  <c r="I412" i="1" s="1"/>
  <c r="H521" i="1"/>
  <c r="I521" i="1" s="1"/>
  <c r="H476" i="1"/>
  <c r="I476" i="1" s="1"/>
  <c r="H552" i="1"/>
  <c r="I552" i="1" s="1"/>
  <c r="H498" i="1"/>
  <c r="I498" i="1" s="1"/>
  <c r="H123" i="1"/>
  <c r="I123" i="1" s="1"/>
  <c r="H391" i="1"/>
  <c r="I391" i="1" s="1"/>
  <c r="H536" i="1"/>
  <c r="I536" i="1" s="1"/>
  <c r="I537" i="1" s="1"/>
  <c r="D37" i="2" s="1"/>
  <c r="I555" i="1" l="1"/>
  <c r="I19" i="1"/>
  <c r="D13" i="2" s="1"/>
  <c r="V44" i="3"/>
  <c r="T44" i="3"/>
  <c r="R44" i="3"/>
  <c r="H44" i="3"/>
  <c r="N44" i="3"/>
  <c r="L44" i="3"/>
  <c r="J44" i="3"/>
  <c r="AF44" i="3"/>
  <c r="F44" i="3"/>
  <c r="AH44" i="3"/>
  <c r="X44" i="3"/>
  <c r="AD44" i="3"/>
  <c r="AB44" i="3"/>
  <c r="Z44" i="3"/>
  <c r="P44" i="3"/>
  <c r="D44" i="2"/>
  <c r="D42" i="3" s="1"/>
  <c r="I614" i="1"/>
  <c r="D49" i="2" s="1"/>
  <c r="D47" i="3" s="1"/>
  <c r="I278" i="1"/>
  <c r="D24" i="2" s="1"/>
  <c r="I534" i="1"/>
  <c r="I253" i="1"/>
  <c r="D23" i="2" s="1"/>
  <c r="I655" i="1"/>
  <c r="D50" i="2" s="1"/>
  <c r="D48" i="3" s="1"/>
  <c r="I670" i="1"/>
  <c r="D52" i="2" s="1"/>
  <c r="D50" i="3" s="1"/>
  <c r="I661" i="1"/>
  <c r="D51" i="2" s="1"/>
  <c r="D49" i="3" s="1"/>
  <c r="I601" i="1"/>
  <c r="D48" i="2" s="1"/>
  <c r="D46" i="3" s="1"/>
  <c r="I593" i="1"/>
  <c r="D47" i="2" s="1"/>
  <c r="D45" i="3" s="1"/>
  <c r="I586" i="1"/>
  <c r="D45" i="2" s="1"/>
  <c r="D43" i="3" s="1"/>
  <c r="I578" i="1"/>
  <c r="D43" i="2" s="1"/>
  <c r="D41" i="3" s="1"/>
  <c r="I573" i="1"/>
  <c r="D42" i="2" s="1"/>
  <c r="D40" i="3" s="1"/>
  <c r="I405" i="1"/>
  <c r="I494" i="1"/>
  <c r="D34" i="2" s="1"/>
  <c r="I483" i="1"/>
  <c r="D33" i="2" s="1"/>
  <c r="I69" i="1"/>
  <c r="D16" i="2" s="1"/>
  <c r="I80" i="1"/>
  <c r="D17" i="2" s="1"/>
  <c r="I519" i="1"/>
  <c r="I478" i="1"/>
  <c r="I674" i="1"/>
  <c r="D53" i="2" s="1"/>
  <c r="D51" i="3" s="1"/>
  <c r="I116" i="1"/>
  <c r="D35" i="3"/>
  <c r="I415" i="1"/>
  <c r="I467" i="1"/>
  <c r="I53" i="1"/>
  <c r="D15" i="2" s="1"/>
  <c r="I368" i="1"/>
  <c r="I126" i="1"/>
  <c r="I237" i="1"/>
  <c r="I393" i="1"/>
  <c r="I444" i="1"/>
  <c r="I566" i="1"/>
  <c r="D41" i="2" s="1"/>
  <c r="I471" i="1"/>
  <c r="I549" i="1"/>
  <c r="I98" i="1"/>
  <c r="D19" i="2" s="1"/>
  <c r="D39" i="2"/>
  <c r="D37" i="3" s="1"/>
  <c r="I91" i="1"/>
  <c r="D18" i="2" s="1"/>
  <c r="D8" i="2"/>
  <c r="P3" i="3"/>
  <c r="I4" i="1"/>
  <c r="AB41" i="3" l="1"/>
  <c r="H41" i="3"/>
  <c r="AF41" i="3"/>
  <c r="F41" i="3"/>
  <c r="N41" i="3"/>
  <c r="AD41" i="3"/>
  <c r="T41" i="3"/>
  <c r="R41" i="3"/>
  <c r="AH41" i="3"/>
  <c r="X41" i="3"/>
  <c r="Z41" i="3"/>
  <c r="J41" i="3"/>
  <c r="L41" i="3"/>
  <c r="V41" i="3"/>
  <c r="P41" i="3"/>
  <c r="AD48" i="3"/>
  <c r="P48" i="3"/>
  <c r="AH48" i="3"/>
  <c r="L48" i="3"/>
  <c r="AF48" i="3"/>
  <c r="J48" i="3"/>
  <c r="R48" i="3"/>
  <c r="F48" i="3"/>
  <c r="N48" i="3"/>
  <c r="X48" i="3"/>
  <c r="Z48" i="3"/>
  <c r="V48" i="3"/>
  <c r="T48" i="3"/>
  <c r="H48" i="3"/>
  <c r="AB48" i="3"/>
  <c r="D29" i="2"/>
  <c r="D27" i="3" s="1"/>
  <c r="H27" i="3" s="1"/>
  <c r="D22" i="2"/>
  <c r="D20" i="3" s="1"/>
  <c r="D32" i="2"/>
  <c r="D30" i="3" s="1"/>
  <c r="J30" i="3" s="1"/>
  <c r="D31" i="3"/>
  <c r="AH31" i="3" s="1"/>
  <c r="D38" i="2"/>
  <c r="D36" i="3" s="1"/>
  <c r="N36" i="3" s="1"/>
  <c r="D21" i="2"/>
  <c r="D19" i="3" s="1"/>
  <c r="Z19" i="3" s="1"/>
  <c r="D30" i="2"/>
  <c r="D28" i="3" s="1"/>
  <c r="D17" i="3"/>
  <c r="AD17" i="3" s="1"/>
  <c r="D20" i="2"/>
  <c r="D18" i="3" s="1"/>
  <c r="P18" i="3" s="1"/>
  <c r="D35" i="2"/>
  <c r="D33" i="3" s="1"/>
  <c r="P33" i="3" s="1"/>
  <c r="AB43" i="3"/>
  <c r="J43" i="3"/>
  <c r="H43" i="3"/>
  <c r="N43" i="3"/>
  <c r="AH43" i="3"/>
  <c r="AF43" i="3"/>
  <c r="V43" i="3"/>
  <c r="AD43" i="3"/>
  <c r="Z43" i="3"/>
  <c r="X43" i="3"/>
  <c r="F43" i="3"/>
  <c r="L43" i="3"/>
  <c r="R43" i="3"/>
  <c r="P43" i="3"/>
  <c r="T43" i="3"/>
  <c r="R50" i="3"/>
  <c r="P50" i="3"/>
  <c r="N50" i="3"/>
  <c r="L50" i="3"/>
  <c r="J50" i="3"/>
  <c r="H50" i="3"/>
  <c r="F50" i="3"/>
  <c r="AH50" i="3"/>
  <c r="AF50" i="3"/>
  <c r="AD50" i="3"/>
  <c r="AB50" i="3"/>
  <c r="Z50" i="3"/>
  <c r="X50" i="3"/>
  <c r="V50" i="3"/>
  <c r="T50" i="3"/>
  <c r="D31" i="2"/>
  <c r="D29" i="3" s="1"/>
  <c r="D21" i="3"/>
  <c r="X21" i="3" s="1"/>
  <c r="D26" i="2"/>
  <c r="D24" i="3" s="1"/>
  <c r="F24" i="3" s="1"/>
  <c r="T51" i="3"/>
  <c r="N51" i="3"/>
  <c r="Z51" i="3"/>
  <c r="AH51" i="3"/>
  <c r="V51" i="3"/>
  <c r="AD51" i="3"/>
  <c r="F51" i="3"/>
  <c r="R51" i="3"/>
  <c r="L51" i="3"/>
  <c r="H51" i="3"/>
  <c r="AB51" i="3"/>
  <c r="P51" i="3"/>
  <c r="X51" i="3"/>
  <c r="AF51" i="3"/>
  <c r="J51" i="3"/>
  <c r="D22" i="3"/>
  <c r="J22" i="3" s="1"/>
  <c r="D27" i="2"/>
  <c r="D25" i="3" s="1"/>
  <c r="AB25" i="3" s="1"/>
  <c r="D25" i="2"/>
  <c r="D23" i="3" s="1"/>
  <c r="D28" i="2"/>
  <c r="D26" i="3" s="1"/>
  <c r="Z26" i="3" s="1"/>
  <c r="V40" i="3"/>
  <c r="H40" i="3"/>
  <c r="T40" i="3"/>
  <c r="N40" i="3"/>
  <c r="P40" i="3"/>
  <c r="AB40" i="3"/>
  <c r="J40" i="3"/>
  <c r="R40" i="3"/>
  <c r="AH40" i="3"/>
  <c r="AF40" i="3"/>
  <c r="X40" i="3"/>
  <c r="Z40" i="3"/>
  <c r="F40" i="3"/>
  <c r="AD40" i="3"/>
  <c r="L40" i="3"/>
  <c r="J46" i="3"/>
  <c r="H46" i="3"/>
  <c r="F46" i="3"/>
  <c r="AH46" i="3"/>
  <c r="AF46" i="3"/>
  <c r="AD46" i="3"/>
  <c r="AB46" i="3"/>
  <c r="Z46" i="3"/>
  <c r="X46" i="3"/>
  <c r="V46" i="3"/>
  <c r="T46" i="3"/>
  <c r="R46" i="3"/>
  <c r="P46" i="3"/>
  <c r="N46" i="3"/>
  <c r="L46" i="3"/>
  <c r="T47" i="3"/>
  <c r="R47" i="3"/>
  <c r="P47" i="3"/>
  <c r="N47" i="3"/>
  <c r="L47" i="3"/>
  <c r="J47" i="3"/>
  <c r="H47" i="3"/>
  <c r="F47" i="3"/>
  <c r="AH47" i="3"/>
  <c r="AF47" i="3"/>
  <c r="AD47" i="3"/>
  <c r="AB47" i="3"/>
  <c r="Z47" i="3"/>
  <c r="X47" i="3"/>
  <c r="V47" i="3"/>
  <c r="AF49" i="3"/>
  <c r="AD49" i="3"/>
  <c r="AB49" i="3"/>
  <c r="Z49" i="3"/>
  <c r="X49" i="3"/>
  <c r="V49" i="3"/>
  <c r="T49" i="3"/>
  <c r="R49" i="3"/>
  <c r="P49" i="3"/>
  <c r="N49" i="3"/>
  <c r="L49" i="3"/>
  <c r="J49" i="3"/>
  <c r="H49" i="3"/>
  <c r="F49" i="3"/>
  <c r="AH49" i="3"/>
  <c r="D36" i="2"/>
  <c r="D34" i="3" s="1"/>
  <c r="AH34" i="3" s="1"/>
  <c r="AB31" i="3"/>
  <c r="L31" i="3"/>
  <c r="R31" i="3"/>
  <c r="P31" i="3"/>
  <c r="N31" i="3"/>
  <c r="V31" i="3"/>
  <c r="V17" i="3"/>
  <c r="F17" i="3"/>
  <c r="L17" i="3"/>
  <c r="Z17" i="3"/>
  <c r="X17" i="3"/>
  <c r="R17" i="3"/>
  <c r="AF37" i="3"/>
  <c r="X37" i="3"/>
  <c r="P37" i="3"/>
  <c r="H37" i="3"/>
  <c r="AD37" i="3"/>
  <c r="V37" i="3"/>
  <c r="N37" i="3"/>
  <c r="F37" i="3"/>
  <c r="AB37" i="3"/>
  <c r="L37" i="3"/>
  <c r="Z37" i="3"/>
  <c r="J37" i="3"/>
  <c r="T37" i="3"/>
  <c r="AH37" i="3"/>
  <c r="R37" i="3"/>
  <c r="AB35" i="3"/>
  <c r="T35" i="3"/>
  <c r="L35" i="3"/>
  <c r="AH35" i="3"/>
  <c r="Z35" i="3"/>
  <c r="R35" i="3"/>
  <c r="J35" i="3"/>
  <c r="X35" i="3"/>
  <c r="H35" i="3"/>
  <c r="V35" i="3"/>
  <c r="F35" i="3"/>
  <c r="AF35" i="3"/>
  <c r="P35" i="3"/>
  <c r="AD35" i="3"/>
  <c r="N35" i="3"/>
  <c r="AF42" i="3"/>
  <c r="X42" i="3"/>
  <c r="P42" i="3"/>
  <c r="H42" i="3"/>
  <c r="AD42" i="3"/>
  <c r="V42" i="3"/>
  <c r="N42" i="3"/>
  <c r="F42" i="3"/>
  <c r="T42" i="3"/>
  <c r="AH42" i="3"/>
  <c r="R42" i="3"/>
  <c r="AB42" i="3"/>
  <c r="L42" i="3"/>
  <c r="Z42" i="3"/>
  <c r="J42" i="3"/>
  <c r="AF45" i="3"/>
  <c r="X45" i="3"/>
  <c r="P45" i="3"/>
  <c r="H45" i="3"/>
  <c r="AD45" i="3"/>
  <c r="V45" i="3"/>
  <c r="N45" i="3"/>
  <c r="F45" i="3"/>
  <c r="AB45" i="3"/>
  <c r="T45" i="3"/>
  <c r="L45" i="3"/>
  <c r="Z45" i="3"/>
  <c r="R45" i="3"/>
  <c r="J45" i="3"/>
  <c r="AH45" i="3"/>
  <c r="D32" i="3"/>
  <c r="I556" i="1"/>
  <c r="I675" i="1"/>
  <c r="D13" i="3"/>
  <c r="D15" i="3"/>
  <c r="D14" i="3"/>
  <c r="D16" i="3"/>
  <c r="D39" i="3"/>
  <c r="D11" i="3"/>
  <c r="P2" i="3"/>
  <c r="I3" i="1"/>
  <c r="B8" i="2"/>
  <c r="P1" i="3"/>
  <c r="M4" i="3"/>
  <c r="M3" i="3"/>
  <c r="M2" i="3"/>
  <c r="M1" i="3"/>
  <c r="B3" i="3"/>
  <c r="B2" i="3"/>
  <c r="B1" i="3"/>
  <c r="D7" i="2"/>
  <c r="D6" i="2"/>
  <c r="B7" i="2"/>
  <c r="B6" i="2"/>
  <c r="B3" i="2"/>
  <c r="B2" i="2"/>
  <c r="B1" i="2"/>
  <c r="I1" i="1"/>
  <c r="F4" i="1"/>
  <c r="F3" i="1"/>
  <c r="B3" i="1"/>
  <c r="B2" i="1"/>
  <c r="B1" i="1"/>
  <c r="AH17" i="3" l="1"/>
  <c r="AF17" i="3"/>
  <c r="N17" i="3"/>
  <c r="H31" i="3"/>
  <c r="J31" i="3"/>
  <c r="T31" i="3"/>
  <c r="J17" i="3"/>
  <c r="T17" i="3"/>
  <c r="F31" i="3"/>
  <c r="AD31" i="3"/>
  <c r="Z31" i="3"/>
  <c r="H17" i="3"/>
  <c r="P17" i="3"/>
  <c r="AB17" i="3"/>
  <c r="X31" i="3"/>
  <c r="AF31" i="3"/>
  <c r="AD25" i="3"/>
  <c r="AF25" i="3"/>
  <c r="Z25" i="3"/>
  <c r="L27" i="3"/>
  <c r="R30" i="3"/>
  <c r="N27" i="3"/>
  <c r="J27" i="3"/>
  <c r="AF21" i="3"/>
  <c r="J36" i="3"/>
  <c r="Z36" i="3"/>
  <c r="V36" i="3"/>
  <c r="R36" i="3"/>
  <c r="AD36" i="3"/>
  <c r="V26" i="3"/>
  <c r="P22" i="3"/>
  <c r="P36" i="3"/>
  <c r="T36" i="3"/>
  <c r="Z33" i="3"/>
  <c r="AB30" i="3"/>
  <c r="X33" i="3"/>
  <c r="T26" i="3"/>
  <c r="AH36" i="3"/>
  <c r="F36" i="3"/>
  <c r="P30" i="3"/>
  <c r="R21" i="3"/>
  <c r="X26" i="3"/>
  <c r="AB21" i="3"/>
  <c r="AF24" i="3"/>
  <c r="L22" i="3"/>
  <c r="AH33" i="3"/>
  <c r="AH24" i="3"/>
  <c r="X36" i="3"/>
  <c r="AB36" i="3"/>
  <c r="T30" i="3"/>
  <c r="N22" i="3"/>
  <c r="V33" i="3"/>
  <c r="AD21" i="3"/>
  <c r="AF29" i="3"/>
  <c r="AD29" i="3"/>
  <c r="AB29" i="3"/>
  <c r="T29" i="3"/>
  <c r="N29" i="3"/>
  <c r="R29" i="3"/>
  <c r="H29" i="3"/>
  <c r="J29" i="3"/>
  <c r="X29" i="3"/>
  <c r="V29" i="3"/>
  <c r="L29" i="3"/>
  <c r="AH29" i="3"/>
  <c r="P29" i="3"/>
  <c r="Z29" i="3"/>
  <c r="F29" i="3"/>
  <c r="AD20" i="3"/>
  <c r="AB20" i="3"/>
  <c r="Z20" i="3"/>
  <c r="P20" i="3"/>
  <c r="F20" i="3"/>
  <c r="X20" i="3"/>
  <c r="V20" i="3"/>
  <c r="T20" i="3"/>
  <c r="R20" i="3"/>
  <c r="H20" i="3"/>
  <c r="N20" i="3"/>
  <c r="L20" i="3"/>
  <c r="J20" i="3"/>
  <c r="AF20" i="3"/>
  <c r="AH20" i="3"/>
  <c r="L23" i="3"/>
  <c r="R23" i="3"/>
  <c r="P23" i="3"/>
  <c r="N23" i="3"/>
  <c r="T23" i="3"/>
  <c r="L34" i="3"/>
  <c r="R34" i="3"/>
  <c r="AD34" i="3"/>
  <c r="P34" i="3"/>
  <c r="Z34" i="3"/>
  <c r="L33" i="3"/>
  <c r="T33" i="3"/>
  <c r="AD33" i="3"/>
  <c r="AF33" i="3"/>
  <c r="Z21" i="3"/>
  <c r="F21" i="3"/>
  <c r="H21" i="3"/>
  <c r="T34" i="3"/>
  <c r="X34" i="3"/>
  <c r="AF36" i="3"/>
  <c r="H36" i="3"/>
  <c r="L36" i="3"/>
  <c r="R22" i="3"/>
  <c r="AB33" i="3"/>
  <c r="F33" i="3"/>
  <c r="H33" i="3"/>
  <c r="AH21" i="3"/>
  <c r="L21" i="3"/>
  <c r="N21" i="3"/>
  <c r="P21" i="3"/>
  <c r="H34" i="3"/>
  <c r="N19" i="3"/>
  <c r="AB34" i="3"/>
  <c r="F34" i="3"/>
  <c r="J34" i="3"/>
  <c r="J33" i="3"/>
  <c r="R33" i="3"/>
  <c r="N33" i="3"/>
  <c r="J21" i="3"/>
  <c r="T21" i="3"/>
  <c r="V21" i="3"/>
  <c r="R18" i="3"/>
  <c r="H18" i="3"/>
  <c r="F18" i="3"/>
  <c r="AB18" i="3"/>
  <c r="AF18" i="3"/>
  <c r="AD18" i="3"/>
  <c r="T18" i="3"/>
  <c r="AH18" i="3"/>
  <c r="X18" i="3"/>
  <c r="V18" i="3"/>
  <c r="L18" i="3"/>
  <c r="Z18" i="3"/>
  <c r="N18" i="3"/>
  <c r="J18" i="3"/>
  <c r="AH27" i="3"/>
  <c r="AF27" i="3"/>
  <c r="F27" i="3"/>
  <c r="AB27" i="3"/>
  <c r="Z27" i="3"/>
  <c r="X27" i="3"/>
  <c r="AD27" i="3"/>
  <c r="T27" i="3"/>
  <c r="R27" i="3"/>
  <c r="P27" i="3"/>
  <c r="V27" i="3"/>
  <c r="R26" i="3"/>
  <c r="P26" i="3"/>
  <c r="N26" i="3"/>
  <c r="L26" i="3"/>
  <c r="J26" i="3"/>
  <c r="H26" i="3"/>
  <c r="F26" i="3"/>
  <c r="AH26" i="3"/>
  <c r="AF26" i="3"/>
  <c r="AD26" i="3"/>
  <c r="AB26" i="3"/>
  <c r="X25" i="3"/>
  <c r="V25" i="3"/>
  <c r="T25" i="3"/>
  <c r="R25" i="3"/>
  <c r="P25" i="3"/>
  <c r="N25" i="3"/>
  <c r="L25" i="3"/>
  <c r="J25" i="3"/>
  <c r="H25" i="3"/>
  <c r="F25" i="3"/>
  <c r="AH25" i="3"/>
  <c r="T19" i="3"/>
  <c r="R19" i="3"/>
  <c r="P19" i="3"/>
  <c r="F19" i="3"/>
  <c r="L19" i="3"/>
  <c r="J19" i="3"/>
  <c r="H19" i="3"/>
  <c r="AD19" i="3"/>
  <c r="AH19" i="3"/>
  <c r="AF19" i="3"/>
  <c r="V19" i="3"/>
  <c r="X19" i="3"/>
  <c r="AB19" i="3"/>
  <c r="AD24" i="3"/>
  <c r="AB24" i="3"/>
  <c r="Z24" i="3"/>
  <c r="X24" i="3"/>
  <c r="V24" i="3"/>
  <c r="T24" i="3"/>
  <c r="R24" i="3"/>
  <c r="P24" i="3"/>
  <c r="N24" i="3"/>
  <c r="L24" i="3"/>
  <c r="J24" i="3"/>
  <c r="H24" i="3"/>
  <c r="AD28" i="3"/>
  <c r="Z28" i="3"/>
  <c r="L28" i="3"/>
  <c r="H28" i="3"/>
  <c r="V28" i="3"/>
  <c r="N28" i="3"/>
  <c r="AH28" i="3"/>
  <c r="AF28" i="3"/>
  <c r="AB28" i="3"/>
  <c r="F28" i="3"/>
  <c r="R28" i="3"/>
  <c r="P28" i="3"/>
  <c r="T28" i="3"/>
  <c r="X28" i="3"/>
  <c r="J28" i="3"/>
  <c r="F30" i="3"/>
  <c r="N30" i="3"/>
  <c r="X30" i="3"/>
  <c r="Z30" i="3"/>
  <c r="V23" i="3"/>
  <c r="X23" i="3"/>
  <c r="Z23" i="3"/>
  <c r="AB23" i="3"/>
  <c r="T22" i="3"/>
  <c r="V22" i="3"/>
  <c r="X22" i="3"/>
  <c r="Z22" i="3"/>
  <c r="N34" i="3"/>
  <c r="V34" i="3"/>
  <c r="AF34" i="3"/>
  <c r="V30" i="3"/>
  <c r="AD30" i="3"/>
  <c r="AF30" i="3"/>
  <c r="AH30" i="3"/>
  <c r="AD23" i="3"/>
  <c r="AF23" i="3"/>
  <c r="AH23" i="3"/>
  <c r="AB22" i="3"/>
  <c r="AD22" i="3"/>
  <c r="AF22" i="3"/>
  <c r="AH22" i="3"/>
  <c r="L30" i="3"/>
  <c r="H30" i="3"/>
  <c r="F23" i="3"/>
  <c r="H23" i="3"/>
  <c r="J23" i="3"/>
  <c r="F22" i="3"/>
  <c r="H22" i="3"/>
  <c r="AD14" i="3"/>
  <c r="V14" i="3"/>
  <c r="N14" i="3"/>
  <c r="F14" i="3"/>
  <c r="AB14" i="3"/>
  <c r="T14" i="3"/>
  <c r="L14" i="3"/>
  <c r="H14" i="3"/>
  <c r="AH14" i="3"/>
  <c r="Z14" i="3"/>
  <c r="R14" i="3"/>
  <c r="J14" i="3"/>
  <c r="AF14" i="3"/>
  <c r="X14" i="3"/>
  <c r="P14" i="3"/>
  <c r="F11" i="3"/>
  <c r="N11" i="3"/>
  <c r="V11" i="3"/>
  <c r="AD11" i="3"/>
  <c r="H11" i="3"/>
  <c r="P11" i="3"/>
  <c r="X11" i="3"/>
  <c r="AF11" i="3"/>
  <c r="J11" i="3"/>
  <c r="R11" i="3"/>
  <c r="Z11" i="3"/>
  <c r="AH11" i="3"/>
  <c r="L11" i="3"/>
  <c r="T11" i="3"/>
  <c r="AB11" i="3"/>
  <c r="AH15" i="3"/>
  <c r="Z15" i="3"/>
  <c r="R15" i="3"/>
  <c r="J15" i="3"/>
  <c r="AF15" i="3"/>
  <c r="X15" i="3"/>
  <c r="P15" i="3"/>
  <c r="H15" i="3"/>
  <c r="AB15" i="3"/>
  <c r="L15" i="3"/>
  <c r="V15" i="3"/>
  <c r="F15" i="3"/>
  <c r="T15" i="3"/>
  <c r="AD15" i="3"/>
  <c r="N15" i="3"/>
  <c r="AD32" i="3"/>
  <c r="V32" i="3"/>
  <c r="N32" i="3"/>
  <c r="F32" i="3"/>
  <c r="AB32" i="3"/>
  <c r="T32" i="3"/>
  <c r="L32" i="3"/>
  <c r="AH32" i="3"/>
  <c r="R32" i="3"/>
  <c r="AF32" i="3"/>
  <c r="P32" i="3"/>
  <c r="Z32" i="3"/>
  <c r="J32" i="3"/>
  <c r="H32" i="3"/>
  <c r="X32" i="3"/>
  <c r="AH39" i="3"/>
  <c r="Z39" i="3"/>
  <c r="R39" i="3"/>
  <c r="J39" i="3"/>
  <c r="AF39" i="3"/>
  <c r="X39" i="3"/>
  <c r="P39" i="3"/>
  <c r="H39" i="3"/>
  <c r="AD39" i="3"/>
  <c r="N39" i="3"/>
  <c r="AB39" i="3"/>
  <c r="L39" i="3"/>
  <c r="V39" i="3"/>
  <c r="F39" i="3"/>
  <c r="T39" i="3"/>
  <c r="AB13" i="3"/>
  <c r="T13" i="3"/>
  <c r="L13" i="3"/>
  <c r="AD13" i="3"/>
  <c r="AH13" i="3"/>
  <c r="Z13" i="3"/>
  <c r="R13" i="3"/>
  <c r="J13" i="3"/>
  <c r="AF13" i="3"/>
  <c r="X13" i="3"/>
  <c r="P13" i="3"/>
  <c r="H13" i="3"/>
  <c r="V13" i="3"/>
  <c r="N13" i="3"/>
  <c r="F13" i="3"/>
  <c r="AB16" i="3"/>
  <c r="T16" i="3"/>
  <c r="L16" i="3"/>
  <c r="AH16" i="3"/>
  <c r="Z16" i="3"/>
  <c r="R16" i="3"/>
  <c r="J16" i="3"/>
  <c r="AD16" i="3"/>
  <c r="N16" i="3"/>
  <c r="X16" i="3"/>
  <c r="H16" i="3"/>
  <c r="V16" i="3"/>
  <c r="F16" i="3"/>
  <c r="AF16" i="3"/>
  <c r="P16" i="3"/>
  <c r="H9" i="1"/>
  <c r="I9" i="1" s="1"/>
  <c r="I10" i="1" s="1"/>
  <c r="D12" i="2" s="1"/>
  <c r="I676" i="1" l="1"/>
  <c r="D10" i="3"/>
  <c r="AB10" i="3" l="1"/>
  <c r="AB52" i="3" s="1"/>
  <c r="AF10" i="3"/>
  <c r="AF52" i="3" s="1"/>
  <c r="AD10" i="3"/>
  <c r="AD52" i="3" s="1"/>
  <c r="Z10" i="3"/>
  <c r="Z52" i="3" s="1"/>
  <c r="R10" i="3"/>
  <c r="J10" i="3"/>
  <c r="X10" i="3"/>
  <c r="X52" i="3" s="1"/>
  <c r="P10" i="3"/>
  <c r="H10" i="3"/>
  <c r="N10" i="3"/>
  <c r="AH10" i="3"/>
  <c r="AH52" i="3" s="1"/>
  <c r="L10" i="3"/>
  <c r="V10" i="3"/>
  <c r="V52" i="3" s="1"/>
  <c r="F10" i="3"/>
  <c r="T10" i="3"/>
  <c r="T52" i="3" s="1"/>
  <c r="A55" i="2"/>
  <c r="D54" i="2" l="1"/>
  <c r="D52" i="3"/>
  <c r="AA52" i="3" s="1"/>
  <c r="AC52" i="3" l="1"/>
  <c r="AG52" i="3"/>
  <c r="AE52" i="3"/>
  <c r="C47" i="3"/>
  <c r="C51" i="3"/>
  <c r="C43" i="3"/>
  <c r="C42" i="3"/>
  <c r="C48" i="3"/>
  <c r="C49" i="3"/>
  <c r="C50" i="3"/>
  <c r="C41" i="3"/>
  <c r="C44" i="3"/>
  <c r="C45" i="3"/>
  <c r="C46" i="3"/>
  <c r="C40" i="3"/>
  <c r="C51" i="2"/>
  <c r="C53" i="2"/>
  <c r="C49" i="2"/>
  <c r="C52" i="2"/>
  <c r="C50" i="2"/>
  <c r="C42" i="2"/>
  <c r="C46" i="2"/>
  <c r="C43" i="2"/>
  <c r="C47" i="2"/>
  <c r="C48" i="2"/>
  <c r="C44" i="2"/>
  <c r="C45" i="2"/>
  <c r="C30" i="3"/>
  <c r="C23" i="3"/>
  <c r="C32" i="3"/>
  <c r="C37" i="3"/>
  <c r="C21" i="3"/>
  <c r="C26" i="3"/>
  <c r="C35" i="3"/>
  <c r="C19" i="3"/>
  <c r="C28" i="3"/>
  <c r="C33" i="3"/>
  <c r="C17" i="3"/>
  <c r="C22" i="3"/>
  <c r="C31" i="3"/>
  <c r="C24" i="3"/>
  <c r="C29" i="3"/>
  <c r="C34" i="3"/>
  <c r="C18" i="3"/>
  <c r="C27" i="3"/>
  <c r="C36" i="3"/>
  <c r="C20" i="3"/>
  <c r="C25" i="3"/>
  <c r="C33" i="2"/>
  <c r="C37" i="2"/>
  <c r="C35" i="2"/>
  <c r="C39" i="2"/>
  <c r="C38" i="2"/>
  <c r="C36" i="2"/>
  <c r="C34" i="2"/>
  <c r="S52" i="3"/>
  <c r="Y52" i="3"/>
  <c r="U52" i="3"/>
  <c r="W52" i="3"/>
  <c r="C39" i="3"/>
  <c r="C16" i="3"/>
  <c r="C15" i="3"/>
  <c r="C13" i="3"/>
  <c r="C14" i="3"/>
  <c r="C41" i="2"/>
  <c r="C19" i="2"/>
  <c r="C28" i="2"/>
  <c r="C16" i="2"/>
  <c r="C31" i="2"/>
  <c r="C17" i="2"/>
  <c r="C21" i="2"/>
  <c r="C25" i="2"/>
  <c r="C32" i="2"/>
  <c r="C27" i="2"/>
  <c r="C30" i="2"/>
  <c r="C24" i="2"/>
  <c r="C18" i="2"/>
  <c r="C22" i="2"/>
  <c r="C26" i="2"/>
  <c r="C29" i="2"/>
  <c r="C23" i="2"/>
  <c r="C13" i="2"/>
  <c r="C20" i="2"/>
  <c r="L52" i="3"/>
  <c r="C12" i="2"/>
  <c r="F52" i="3"/>
  <c r="P52" i="3"/>
  <c r="C11" i="3"/>
  <c r="H52" i="3"/>
  <c r="N52" i="3"/>
  <c r="R52" i="3"/>
  <c r="C15" i="2"/>
  <c r="J52" i="3"/>
  <c r="C10" i="3"/>
  <c r="Q52" i="3" l="1"/>
  <c r="O52" i="3"/>
  <c r="M52" i="3"/>
  <c r="E52" i="3"/>
  <c r="I52" i="3"/>
  <c r="G52" i="3"/>
  <c r="K52" i="3"/>
  <c r="C52" i="3"/>
  <c r="F53" i="3" l="1"/>
  <c r="H53" i="3" s="1"/>
  <c r="J53" i="3" s="1"/>
  <c r="L53" i="3" s="1"/>
  <c r="N53" i="3" s="1"/>
  <c r="P53" i="3" s="1"/>
  <c r="R53" i="3" s="1"/>
  <c r="E53" i="3"/>
  <c r="G53" i="3" s="1"/>
  <c r="I53" i="3" s="1"/>
  <c r="K53" i="3" s="1"/>
  <c r="M53" i="3" s="1"/>
  <c r="O53" i="3" s="1"/>
  <c r="Q53" i="3" s="1"/>
  <c r="S53" i="3" l="1"/>
  <c r="U53" i="3" s="1"/>
  <c r="W53" i="3" s="1"/>
  <c r="Y53" i="3" s="1"/>
  <c r="AA53" i="3" s="1"/>
  <c r="AC53" i="3" s="1"/>
  <c r="AE53" i="3" s="1"/>
  <c r="AG53" i="3" s="1"/>
  <c r="T53" i="3"/>
  <c r="V53" i="3" s="1"/>
  <c r="X53" i="3" s="1"/>
  <c r="Z53" i="3" s="1"/>
  <c r="AB53" i="3" l="1"/>
  <c r="AD53" i="3" s="1"/>
  <c r="AF53" i="3" s="1"/>
  <c r="AH53" i="3" s="1"/>
  <c r="AI52" i="3" s="1"/>
</calcChain>
</file>

<file path=xl/sharedStrings.xml><?xml version="1.0" encoding="utf-8"?>
<sst xmlns="http://schemas.openxmlformats.org/spreadsheetml/2006/main" count="34562" uniqueCount="13835">
  <si>
    <t>ITEM</t>
  </si>
  <si>
    <t>REF.</t>
  </si>
  <si>
    <t>COD.</t>
  </si>
  <si>
    <t>DESCRIÇÃO</t>
  </si>
  <si>
    <t>UND</t>
  </si>
  <si>
    <t>P. UNT</t>
  </si>
  <si>
    <t>P. UNT COM BDI</t>
  </si>
  <si>
    <t>P. TOTAL</t>
  </si>
  <si>
    <t>M2</t>
  </si>
  <si>
    <t>SINAPI</t>
  </si>
  <si>
    <t>1.0</t>
  </si>
  <si>
    <t>QNT.</t>
  </si>
  <si>
    <t>ADMINISTRAÇÃO DE OBRAS</t>
  </si>
  <si>
    <t>M3</t>
  </si>
  <si>
    <t>2.0</t>
  </si>
  <si>
    <t>COBERTURA</t>
  </si>
  <si>
    <t>M</t>
  </si>
  <si>
    <t>7.0</t>
  </si>
  <si>
    <t>8.0</t>
  </si>
  <si>
    <t>PRAZO DE EXECUÇÃO:</t>
  </si>
  <si>
    <t>BDI DIFERENCIADO:</t>
  </si>
  <si>
    <t>BDI:</t>
  </si>
  <si>
    <t>DATA BASE DO ORÇAMENTO:</t>
  </si>
  <si>
    <t>REF.:</t>
  </si>
  <si>
    <t>OBRA:</t>
  </si>
  <si>
    <t>UNIDADE:</t>
  </si>
  <si>
    <t>MUNICÍPIO:</t>
  </si>
  <si>
    <t>ENDEREÇO:</t>
  </si>
  <si>
    <t>9.0</t>
  </si>
  <si>
    <t>10.0</t>
  </si>
  <si>
    <t>%</t>
  </si>
  <si>
    <t>PLANILHA RESUMO</t>
  </si>
  <si>
    <t>5.0</t>
  </si>
  <si>
    <t>6.0</t>
  </si>
  <si>
    <t>11.0</t>
  </si>
  <si>
    <t>12.0</t>
  </si>
  <si>
    <t>13.0</t>
  </si>
  <si>
    <t>14.0</t>
  </si>
  <si>
    <t>TOTAL GLOBAL</t>
  </si>
  <si>
    <t>PRAZO DE EXEC.:</t>
  </si>
  <si>
    <t>BDI DIF.:</t>
  </si>
  <si>
    <t>DATA BASE:</t>
  </si>
  <si>
    <t>VALOR</t>
  </si>
  <si>
    <t>MÊS 01</t>
  </si>
  <si>
    <t>MÊS 02</t>
  </si>
  <si>
    <t>MÊS 03</t>
  </si>
  <si>
    <t>MÊS 04</t>
  </si>
  <si>
    <t>MÊS 05</t>
  </si>
  <si>
    <t>CRONOGRAMA FÍSICO-FINANCEIRO</t>
  </si>
  <si>
    <t>VALOR TOTAL</t>
  </si>
  <si>
    <t>VALOR ACUMULADO</t>
  </si>
  <si>
    <t>TOTAL (%)</t>
  </si>
  <si>
    <t>PLANILHA ORÇAMENTARIA SINTÉTICA</t>
  </si>
  <si>
    <t>DADOS DA OBRA</t>
  </si>
  <si>
    <t>DADOS DO ORÇAMENTO</t>
  </si>
  <si>
    <t>RESPONSAVEL TÉCNICO</t>
  </si>
  <si>
    <t>_____________________________________</t>
  </si>
  <si>
    <t>KG</t>
  </si>
  <si>
    <t>ENCARGOS:</t>
  </si>
  <si>
    <t>DESONERADO</t>
  </si>
  <si>
    <t>15.0</t>
  </si>
  <si>
    <t>ESQUADRIAS</t>
  </si>
  <si>
    <t>16.0</t>
  </si>
  <si>
    <t>17.0</t>
  </si>
  <si>
    <t>18.0</t>
  </si>
  <si>
    <t>20.0</t>
  </si>
  <si>
    <t>21.0</t>
  </si>
  <si>
    <t>22.0</t>
  </si>
  <si>
    <t>REVISÃO:</t>
  </si>
  <si>
    <t>DOUGLAS FEIJÓ DE OLIVEIRA</t>
  </si>
  <si>
    <t>Engenheiro Civil | Orçamentista</t>
  </si>
  <si>
    <t>CREA MT035779</t>
  </si>
  <si>
    <t>ITENS RELATIVOS À ADMINISTRAÇÃO CENTRAL</t>
  </si>
  <si>
    <t>% SOBRE PV</t>
  </si>
  <si>
    <t>AC - Administração Central</t>
  </si>
  <si>
    <t>DF - Custos Financeiros</t>
  </si>
  <si>
    <t>Sub-total</t>
  </si>
  <si>
    <t>TAXAS E IMPOSTOS</t>
  </si>
  <si>
    <t>F - PIS</t>
  </si>
  <si>
    <t>G - COFINS</t>
  </si>
  <si>
    <t>H - ISSQN</t>
  </si>
  <si>
    <t>BDI COM IMPOSTOS</t>
  </si>
  <si>
    <t>Localidade / alíquota ISSQN</t>
  </si>
  <si>
    <t>Para Mão de Obra</t>
  </si>
  <si>
    <t>40% sobre alíquota</t>
  </si>
  <si>
    <t>L - Lucro Bruto</t>
  </si>
  <si>
    <t>R - Riscos</t>
  </si>
  <si>
    <t>SG - Seguros e Garantias Contratuais</t>
  </si>
  <si>
    <t>CPRB -Contribuição Previdenciária - Lei N° 13.161/15</t>
  </si>
  <si>
    <t>COMPOSIÇÃO DA PARCELA DE BDI</t>
  </si>
  <si>
    <t>CÓDIGO DA COMPOSIÇÃO</t>
  </si>
  <si>
    <t>DESCRIÇÃO DA COMPOSIÇÃO</t>
  </si>
  <si>
    <t>Referência da Composição:</t>
  </si>
  <si>
    <t>Revisão:</t>
  </si>
  <si>
    <t>Responsável Técnico: Eng Douglas Feijó</t>
  </si>
  <si>
    <t>Criada em:</t>
  </si>
  <si>
    <t>Data:</t>
  </si>
  <si>
    <t>TABELA</t>
  </si>
  <si>
    <t>CÓDIGO</t>
  </si>
  <si>
    <t>COEFICIENTE</t>
  </si>
  <si>
    <t>CUSTO UNT.</t>
  </si>
  <si>
    <t>CUSTO TOTAL</t>
  </si>
  <si>
    <t>H</t>
  </si>
  <si>
    <t>SINAPI / MPMT</t>
  </si>
  <si>
    <t>PEDREIRO COM ENCARGOS COMPLEMENTARES</t>
  </si>
  <si>
    <t>SERVENTE COM ENCARGOS COMPLEMENTARES</t>
  </si>
  <si>
    <t>Gerente de Projetos - DENGE</t>
  </si>
  <si>
    <t>EQUIPAMENTO</t>
  </si>
  <si>
    <t>ORIGEM</t>
  </si>
  <si>
    <t>DESTINO</t>
  </si>
  <si>
    <t>VIAGENS</t>
  </si>
  <si>
    <t>DISTANCIA (KM)</t>
  </si>
  <si>
    <t>PREÇO UNT.</t>
  </si>
  <si>
    <t>PREÇO TOTAL</t>
  </si>
  <si>
    <t>FONTE DO PREÇO</t>
  </si>
  <si>
    <t>CAMINHÃO TOCO, PBT 16.000 KG, CARGA ÚTIL MÁX. 10.685 KG, DIST. ENTRE EIXOS 4,8 M, POTÊNCIA 189 CV, INCLUSIVE CARROCERIA FIXA ABERTA DE MADEIRA P/ TRANSPORTE GERAL DE CARGA SECA, DIMEN. APROX. 2,5 X 7,00 X 0,50 M - CHP DIURNO. AF_06/2014</t>
  </si>
  <si>
    <t>TON</t>
  </si>
  <si>
    <t>QNT</t>
  </si>
  <si>
    <t>UND DE MEDIÇÃO</t>
  </si>
  <si>
    <t>T X KM</t>
  </si>
  <si>
    <t>TRANSPORTE COMERCIAL DE CARGA SECA COM CAMINHAO CARROCERIA 9 T, RODOVIA PAVIMENTADA, REFERENTE À MOBILIZAÇÃO DE EQUIPAMENTOS E CANTEIRO DE OBRAS</t>
  </si>
  <si>
    <t>TOTAL MOBILIZAÇÃO (SEM BDI)</t>
  </si>
  <si>
    <t>COM DESONERAÇÃO</t>
  </si>
  <si>
    <t>HORISTA (%)</t>
  </si>
  <si>
    <t>MENSALISTA (%)</t>
  </si>
  <si>
    <t>GRUPO A</t>
  </si>
  <si>
    <t>A1</t>
  </si>
  <si>
    <t>INSS</t>
  </si>
  <si>
    <t>A2</t>
  </si>
  <si>
    <t>SESI</t>
  </si>
  <si>
    <t>A3</t>
  </si>
  <si>
    <t>SENAI</t>
  </si>
  <si>
    <t>A4</t>
  </si>
  <si>
    <t>INCRA</t>
  </si>
  <si>
    <t>A5</t>
  </si>
  <si>
    <t>SEBRAE</t>
  </si>
  <si>
    <t>A6</t>
  </si>
  <si>
    <t>Salario Educação</t>
  </si>
  <si>
    <t>A7</t>
  </si>
  <si>
    <t>Seguro Contra Acidentes de Trabalho</t>
  </si>
  <si>
    <t>A8</t>
  </si>
  <si>
    <t>FGTS</t>
  </si>
  <si>
    <t>A9</t>
  </si>
  <si>
    <t>SECONCI</t>
  </si>
  <si>
    <t>A</t>
  </si>
  <si>
    <t>Total</t>
  </si>
  <si>
    <t>GRUPO B</t>
  </si>
  <si>
    <t>B1</t>
  </si>
  <si>
    <t>Repouso Semanal Remunerado</t>
  </si>
  <si>
    <t>Não incide</t>
  </si>
  <si>
    <t>B2</t>
  </si>
  <si>
    <t>Feriados</t>
  </si>
  <si>
    <t>B3</t>
  </si>
  <si>
    <t>Auxilio - Enfermidade</t>
  </si>
  <si>
    <t>B4</t>
  </si>
  <si>
    <t>13º Salario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</si>
  <si>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</si>
  <si>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</si>
  <si>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</si>
  <si>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</si>
  <si>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</si>
  <si>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</si>
  <si>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</si>
  <si>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</si>
  <si>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</si>
  <si>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</si>
  <si>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</si>
  <si>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</si>
  <si>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</si>
  <si>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</si>
  <si>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</si>
  <si>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</si>
  <si>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</si>
  <si>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</si>
  <si>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</si>
  <si>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</si>
  <si>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</si>
  <si>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</si>
  <si>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</si>
  <si>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</si>
  <si>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</si>
  <si>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</si>
  <si>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</si>
  <si>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</si>
  <si>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</si>
  <si>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</si>
  <si>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</si>
  <si>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 (A+B+C+D)</t>
  </si>
  <si>
    <t>DETALHAMENTO DE ENCARGOS SOCIAIS</t>
  </si>
  <si>
    <t>MÊS 06</t>
  </si>
  <si>
    <t>MÊS 07</t>
  </si>
  <si>
    <t>INSTALAÇÕES HIDROSSANITÁRIAS</t>
  </si>
  <si>
    <t>Sede das Promotorias</t>
  </si>
  <si>
    <t>(COMPOSIÇÃO REPRESENTATIVA) DO SERVIÇO DE ALVENARIA DE VEDAÇÃO DE BLOCOS VAZADOS DE CERÂMICA DE 9X19X19CM (ESPESSURA 9CM), PARA EDIFICAÇÃO HABITACIONAL MULTIFAMILIAR (PRÉDIO). AF_11/2014</t>
  </si>
  <si>
    <t>MP-MT</t>
  </si>
  <si>
    <t>(COMPOSIÇÃO REPRESENTATIVA) DO SERVIÇO DE ALVENARIA DE VEDAÇÃO DE BLOCOS VAZADOS DE CONCRETO DE 14X19X39CM (ESPESSURA 14CM), PARA EDIFICAÇÃO HABITACIONAL UNIFAMILIAR (CASA) E EDIFICAÇÃO PÚBLICA PADRÃO. AF_12/2014</t>
  </si>
  <si>
    <t>VERGA MOLDADA IN LOCO EM CONCRETO PARA JANELAS COM ATÉ 1,5 M DE VÃO. AF_03/2016</t>
  </si>
  <si>
    <t>CONTRAVERGA MOLDADA IN LOCO EM CONCRETO PARA VÃOS DE ATÉ 1,5 M DE COMPRIMENTO.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</si>
  <si>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</si>
  <si>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</si>
  <si>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</si>
  <si>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FIXAÇÃO (ENCUNHAMENTO) DE ALVENARIA DE VEDAÇÃO COM ARGAMASSA APLICADA COM BISNAGA. AF_03/2016</t>
  </si>
  <si>
    <t>PINTURA EM VERNIZ SINTETICO BRILHANTE EM MADEIRA, TRES DEMAOS</t>
  </si>
  <si>
    <t>APLICAÇÃO DE FUNDO SELADOR ACRÍLICO EM PAREDES, UMA DEMÃO. AF_06/2014</t>
  </si>
  <si>
    <t>TEXTURA ACRÍLICA, APLICAÇÃO MANUAL EM PAREDE, UMA DEMÃO. AF_09/2016</t>
  </si>
  <si>
    <t>APLICAÇÃO MANUAL DE PINTURA COM TINTA LÁTEX ACRÍLICA EM PAREDES, DUAS DEMÃOS. AF_06/2014</t>
  </si>
  <si>
    <t>(COMPOSIÇÃO REPRESENTATIVA) DO SERVIÇO DE EMBOÇO/MASSA ÚNICA, APLICADO MANUALMENTE, TRAÇO 1:2:8, EM BETONEIRA DE 400L, PAREDES INTERNAS, COM EXECUÇÃO DE TALISCAS, EDIFICAÇÃO HABITACIONAL UNIFAMILIAR (CASAS) E EDIFICAÇÃO PÚBLICA PADRÃO. AF_12/2014</t>
  </si>
  <si>
    <t>EMBOÇO OU MASSA ÚNICA EM ARGAMASSA TRAÇO 1:2:8, PREPARO MECÂNICO COM BETONEIRA 400 L, APLICADA MANUALMENTE EM PANOS DE FACHADA COM PRESENÇA DE VÃOS, ESPESSURA DE 25 MM. AF_06/2014</t>
  </si>
  <si>
    <t>TOMADA BAIXA DE EMBUTIR (1 MÓDULO), 2P+T 10 A, INCLUINDO SUPORTE E PLACA - FORNECIMENTO E INSTALAÇÃO. AF_12/2015</t>
  </si>
  <si>
    <t>TOMADA MÉDIA DE EMBUTIR (1 MÓDULO), 2P+T 10 A, INCLUINDO SUPORTE E PLACA - FORNECIMENTO E INSTALAÇÃO. AF_12/2015</t>
  </si>
  <si>
    <t>TOMADA ALTA DE EMBUTIR (1 MÓDULO), 2P+T 10 A, INCLUINDO SUPORTE E PLACA - FORNECIMENTO E INSTALAÇÃO. AF_12/2015</t>
  </si>
  <si>
    <t>TOMADA BAIXA DE EMBUTIR (1 MÓDULO), 2P+T 20 A, INCLUINDO SUPORTE E PLACA - FORNECIMENTO E INSTALAÇÃO. AF_12/2015</t>
  </si>
  <si>
    <t>TOMADA ALTA DE EMBUTIR (1 MÓDULO), 2P+T 20 A, INCLUINDO SUPORTE E PLACA - FORNECIMENTO E INSTALAÇÃO. AF_12/2015</t>
  </si>
  <si>
    <t>INTERRUPTOR PARALELO (1 MÓDULO), 10A/250V, INCLUINDO SUPORTE E PLACA - FORNECIMENTO E INSTALAÇÃO. AF_12/2015</t>
  </si>
  <si>
    <t>INTERRUPTOR SIMPLES (1 MÓDULO), 10A/250V, INCLUINDO SUPORTE E PLACA - FORNECIMENTO E INSTALAÇÃO. AF_12/2015</t>
  </si>
  <si>
    <t>INTERRUPTOR PARALELO (2 MÓDULOS), 10A/250V, INCLUINDO SUPORTE E PLACA - FORNECIMENTO E INSTALAÇÃO. AF_12/2015</t>
  </si>
  <si>
    <t>INTERRUPTOR SIMPLES (3 MÓDULOS), 10A/250V, INCLUINDO SUPORTE E PLACA - FORNECIMENTO E INSTALAÇÃO. AF_12/2015</t>
  </si>
  <si>
    <t>TOMADA BAIXA DE EMBUTIR (2 MÓDULOS), 2P+T 10 A, INCLUINDO SUPORTE E PLACA - FORNECIMENTO E INSTALAÇÃO. AF_12/2015</t>
  </si>
  <si>
    <t>TOMADA ALTA DE EMBUTIR (1 MÓDULO), 2P+T 10 A, SEM SUPORTE E SEM PLACA - FORNECIMENTO E INSTALAÇÃO. AF_12/2015</t>
  </si>
  <si>
    <t>CAIXA DE PASSAGEM 30X30X40 COM TAMPA E DRENO BRITA</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</si>
  <si>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</si>
  <si>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</si>
  <si>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</si>
  <si>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</si>
  <si>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CURVA 90 GRAUS PARA ELETRODUTO, PVC, ROSCÁVEL, DN 25 MM (3/4"), PARA CIRCUITOS TERMINAIS, INSTALADA EM PAREDE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</si>
  <si>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</si>
  <si>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</si>
  <si>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</si>
  <si>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ELETRODUTO DE AÇO GALVANIZADO, CLASSE LEVE, DN 25 MM (1), APARENTE, INSTALADO EM TETO - FORNECIMENTO E INSTALAÇÃO. AF_11/2016_P</t>
  </si>
  <si>
    <t>LUVA DE EMENDA PARA ELETRODUTO, AÇO GALVANIZADO, DN 25 MM (1''), APARENTE, INSTALADA EM TETO - FORNECIMENTO E INSTALAÇÃO. AF_11/2016_P</t>
  </si>
  <si>
    <t>DISJUNTOR MONOPOLAR TIPO DIN, CORRENTE NOMINAL DE 20A - FORNECIMENTO E INSTALAÇÃO. AF_04/2016</t>
  </si>
  <si>
    <t>CABO DE COBRE FLEXÍVEL ISOLADO, 25 MM², ANTI-CHAMA 0,6/1,0 KV, PARA DISTRIBUIÇÃO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</si>
  <si>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</si>
  <si>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</si>
  <si>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</si>
  <si>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</si>
  <si>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</si>
  <si>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</si>
  <si>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</si>
  <si>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32A - FORNECIMENTO E INSTALAÇÃO. AF_04/2016</t>
  </si>
  <si>
    <t>DISJUNTOR TRIPOLAR TIPO DIN, CORRENTE NOMINAL DE 40A - FORNECIMENTO E INSTALAÇÃO. AF_04/2016</t>
  </si>
  <si>
    <t>DISJUNTOR TERMOMAGNETICO TRIPOLAR EM CAIXA MOLDADA 175 A 225A 240V, FORNECIMENTO E INSTALACAO</t>
  </si>
  <si>
    <t>MANOMETRO 0 A 200 PSI (0 A 14 KGF/CM2), D = 50MM - FORNECIMENTO E COLOCACAO</t>
  </si>
  <si>
    <t>TUBO DE AÇO GALVANIZADO COM COSTURA, CLASSE MÉDIA, CONEXÃO ROSQUEADA, DN 20 (3/4"), INSTALADO EM RAMAIS E SUB-RAMAIS DE GÁS - FORNECIMENTO E INSTALAÇÃO. AF_12/2015</t>
  </si>
  <si>
    <t>REATERRO MANUAL DE VALAS COM COMPACTAÇÃO MECANIZADA. AF_04/2016</t>
  </si>
  <si>
    <t>RASGO EM ALVENARIA PARA RAMAIS/ DISTRIBUIÇÃO COM DIAMETROS MENORES OU IGUAIS A 40 MM. AF_05/2015</t>
  </si>
  <si>
    <t>LUVA SOLDÁVEL E COM ROSCA, PVC, SOLDÁVEL, DN 25MM X 3/4, INSTALADO EM RAMAL OU SUB-RAMAL DE ÁGUA - FORNECIMENTO E INSTALAÇÃO. AF_12/2014</t>
  </si>
  <si>
    <t>JOELHO 45 GRAUS, PVC, SOLDÁVEL, DN 25MM, INSTALADO EM RAMAL OU SUB-RAMAL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</si>
  <si>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</si>
  <si>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</si>
  <si>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</si>
  <si>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90 GRAUS, PVC, SOLDÁVEL, DN 25MM, INSTALADO EM RAMAL OU SUB-RAMAL DE ÁGUA - FORNECIMENTO E INSTALAÇÃO. AF_12/2014</t>
  </si>
  <si>
    <t>JOELHO 90 GRAUS, PVC, SOLDÁVEL, DN 50MM, INSTALADO EM PRUMADA DE ÁGUA - FORNECIMENTO E INSTALAÇÃO. AF_12/2014</t>
  </si>
  <si>
    <t>LUVA, PVC, SOLDÁVEL, DN 50MM, INSTALADO EM PRUMADA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</si>
  <si>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</si>
  <si>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</si>
  <si>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50MM,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</si>
  <si>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</si>
  <si>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</si>
  <si>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TE, PVC, SOLDÁVEL, DN 25MM, INSTALADO EM RAMAL OU SUB-RAMAL DE ÁGUA - FORNECIMENTO E INSTALAÇÃO. AF_12/2014</t>
  </si>
  <si>
    <t>TE, PVC, SOLDÁVEL, DN 50MM, INSTALADO EM PRUMADA DE ÁGUA - FORNECIMENTO E INSTALAÇÃO. AF_12/2014</t>
  </si>
  <si>
    <t>TE, PVC, SOLDÁVEL, DN 85MM,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</si>
  <si>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</si>
  <si>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</si>
  <si>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UNIÃO, PVC, SOLDÁVEL, DN 40MM, INSTALADO EM PRUMADA DE ÁGUA - FORNECIMENTO E INSTALAÇÃO. AF_12/2014</t>
  </si>
  <si>
    <t>JOELHO 90 GRAUS COM BUCHA DE LATÃO, PVC, SOLDÁVEL, DN 25MM, X 3/4 INSTALADO EM RAMAL OU SUB-RAMAL DE ÁGUA - FORNECIMENTO E INSTALAÇÃO. AF_12/2014</t>
  </si>
  <si>
    <t>JOELHO 90 GRAUS COM BUCHA DE LATÃO, PVC, SOLDÁVEL, DN 25MM, X 1/2 INSTALADO EM RAMAL OU SUB-RAMAL DE ÁGUA - FORNECIMENTO E INSTALAÇÃO. AF_12/2014</t>
  </si>
  <si>
    <t>TÊ COM BUCHA DE LATÃO NA BOLSA CENTRAL, PVC, SOLDÁVEL, DN 25MM X 1/2, INSTALADO EM RAMAL OU SUB-RAMAL DE ÁGUA - FORNECIMENTO E INSTALAÇÃO.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</si>
  <si>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</si>
  <si>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</si>
  <si>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</si>
  <si>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</si>
  <si>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</si>
  <si>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</si>
  <si>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CHAVE DE BOIA AUTOMÁTICA SUPERIOR 10A/250V - FORNECIMENTO E INSTALACAO</t>
  </si>
  <si>
    <t>CAIXA SIFONADA, PVC, DN 150 X 185 X 75 MM, JUNTA ELÁSTICA, FORNECIDA E INSTALADA EM RAMAL DE DESCARGA OU EM RAMAL DE ESGOTO SANITÁRIO. AF_12/2014</t>
  </si>
  <si>
    <t>JOELHO 45 GRAUS, PVC, SERIE NORMAL, ESGOTO PREDIAL, DN 100 MM, JUNTA ELÁSTICA, FORNECIDO E INSTALADO EM RAMAL DE DESCARGA OU RAMAL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</si>
  <si>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</si>
  <si>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</si>
  <si>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</si>
  <si>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</si>
  <si>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</si>
  <si>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</si>
  <si>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</si>
  <si>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</si>
  <si>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</si>
  <si>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LUVA SIMPLES, PVC, SERIE NORMAL, ESGOTO PREDIAL, DN 100 MM, JUNTA ELÁSTICA,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</si>
  <si>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</si>
  <si>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</si>
  <si>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TUBO PVC, SERIE NORMAL, ESGOTO PREDIAL, DN 100 MM, FORNECIDO E INSTALADO EM RAMAL DE DESCARGA OU RAMAL DE ESGOTO SANITÁRIO. AF_12/2014</t>
  </si>
  <si>
    <t>TUBO PVC, SERIE NORMAL, ESGOTO PREDIAL, DN 150 MM, FORNECIDO E INSTALADO EM SUBCOLETOR AÉREO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</si>
  <si>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</si>
  <si>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</si>
  <si>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</si>
  <si>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JUNÇÃO SIMPLES, PVC, SERIE NORMAL, ESGOTO PREDIAL, DN 40 MM, JUNTA SOLDÁVEL, FORNECIDO E INSTALADO EM RAMAL DE DESCARGA OU RAMAL DE ESGOTO SANITÁRIO. AF_12/2014</t>
  </si>
  <si>
    <t>TUBO DE CONCRETO (SIMPLES) PARA REDES COLETORAS DE ÁGUAS PLUVIAIS, DIÂMETRO DE 500 MM, JUNTA RÍGIDA,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</si>
  <si>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</si>
  <si>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JOELHO 45 GRAUS, PVC, SERIE R, ÁGUA PLUVIAL, DN 150 MM, JUNTA ELÁSTICA, FORNECIDO E INSTALADO EM CONDUTORES VERTICAIS DE ÁGUAS PLUVIAIS. AF_12/2014</t>
  </si>
  <si>
    <t>JOELHO 90 GRAUS, PVC, SERIE R, ÁGUA PLUVIAL, DN 100 MM, JUNTA ELÁSTICA, FORNECIDO E INSTALADO EM RAMAL DE ENCAMINHAMENTO. AF_12/2014</t>
  </si>
  <si>
    <t>JOELHO 90 GRAUS, PVC, SERIE R, ÁGUA PLUVIAL, DN 150 MM, JUNTA ELÁSTICA, FORNECIDO E INSTALADO EM CONDUTORES VERTICAIS DE ÁGUAS PLUVIAIS. AF_12/2014</t>
  </si>
  <si>
    <t>JOELHO 90 GRAUS, PVC, SERIE R, ÁGUA PLUVIAL, DN 75 MM, JUNTA ELÁSTICA, FORNECIDO E INSTALADO EM RAMAL DE ENCAMINHAMENTO. AF_12/2014</t>
  </si>
  <si>
    <t>JOELHO 90 GRAUS, PVC, SERIE R, ÁGUA PLUVIAL, DN 50 MM, JUNTA ELÁSTICA, FORNECIDO E INSTALADO EM RAMAL DE ENCAMINHAMENTO.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</si>
  <si>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</si>
  <si>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</si>
  <si>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LUVA SIMPLES, PVC, SERIE R, ÁGUA PLUVIAL, DN 150 MM, JUNTA ELÁSTICA, FORNECIDO E INSTALADO EM CONDUTORES VERTICAIS DE ÁGUAS PLUVIAIS. AF_12/2014</t>
  </si>
  <si>
    <t>LUVA SIMPLES, PVC, SERIE R, ÁGUA PLUVIAL, DN 100 MM, JUNTA ELÁSTICA,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</si>
  <si>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</si>
  <si>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</si>
  <si>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TUBO PVC, SÉRIE R, ÁGUA PLUVIAL, DN 50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</si>
  <si>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</si>
  <si>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</si>
  <si>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</si>
  <si>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JOELHO 45 GRAUS, PVC, SERIE R, ÁGUA PLUVIAL, DN 75 MM, JUNTA ELÁSTICA, FORNECIDO E INSTALADO EM RAMAL DE ENCAMINHAMENTO. AF_12/2014</t>
  </si>
  <si>
    <t>REDUÇÃO EXCÊNTRICA, PVC, SERIE R, ÁGUA PLUVIAL, DN 100 X 75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</si>
  <si>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</si>
  <si>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</si>
  <si>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TÊ, PVC, SERIE R, ÁGUA PLUVIAL, DN 75 X 75 MM, JUNTA ELÁSTICA, FORNECIDO E INSTALADO EM CONDUTORES VERTICAIS DE ÁGUAS PLUVIAIS. AF_12/2014</t>
  </si>
  <si>
    <t>JOELHO 45 GRAUS, PVC, SOLDÁVEL, DN 25MM, INSTALADO EM DRENO DE AR-CONDICIONADO - FORNECIMENTO E INSTALAÇÃO. AF_12/2014</t>
  </si>
  <si>
    <t>JOELHO 90 GRAUS, PVC, SOLDÁVEL, DN 25MM, INSTALADO EM DRENO DE AR-CONDICIONADO - FORNECIMENTO E INSTALAÇÃO. AF_12/2014</t>
  </si>
  <si>
    <t>TUBO, PVC, SOLDÁVEL, DN 25MM, INSTALADO EM DRENO DE AR-CONDICIONADO - FORNECIMENTO E INSTALAÇÃO. AF_12/2014</t>
  </si>
  <si>
    <t>EXTINTOR DE PQS 4KG - FORNECIMENTO E INSTALACAO</t>
  </si>
  <si>
    <t>EXECUÇÃO DE PÁTIO/ESTACIONAMENTO EM PISO INTERTRAVADO, COM BLOCO RETANGULAR COLORIDO DE 20 X 10 CM, ESPESSURA 8 CM. AF_12/2015</t>
  </si>
  <si>
    <t>EXTINTOR DE CO2 6KG - FORNECIMENTO E INSTALACAO</t>
  </si>
  <si>
    <t>TUBO DE AÇO GALVANIZADO COM COSTURA, CLASSE MÉDIA,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</si>
  <si>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</si>
  <si>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TÊ, EM FERRO GALVANIZADO, CONEXÃO ROSQUEADA, DN 65 (2 1/2"), INSTALADO EM REDE DE ALIMENTAÇÃO PARA HIDRANTE - FORNECIMENTO E INSTALAÇÃO. AF_12/2015</t>
  </si>
  <si>
    <t>LUVA, EM FERRO GALVANIZADO, DN 65 (2 1/2"), CONEXÃO ROSQUEADA, INSTALADO EM REDE DE ALIMENTAÇÃO PARA HIDRANTE - FORNECIMENTO E INSTALAÇÃO. AF_12/2015</t>
  </si>
  <si>
    <t>NIPLE, EM FERRO GALVANIZADO, DN 65 (2 1/2"), CONEXÃO ROSQUEADA, INSTALADO EM REDE DE ALIMENTAÇÃO PARA HIDRANTE - FORNECIMENTO E INSTALAÇÃO. AF_12/2015</t>
  </si>
  <si>
    <t>JOELHO 90 GRAUS, PVC, SOLDÁVEL, DN 75MM, INSTALADO EM PRUMADA DE ÁGUA - FORNECIMENTO E INSTALAÇÃO. AF_12/2014</t>
  </si>
  <si>
    <t>TE, PVC, SOLDÁVEL, DN 75MM, INSTALADO EM PRUMADA DE ÁGUA - FORNECIMENTO E INSTALAÇÃO. AF_12/2014</t>
  </si>
  <si>
    <t>ELETRODUTO DE AÇO GALVANIZADO, CLASSE LEVE, DN 25 MM (1), APARENTE, INSTALADO EM PAREDE - FORNECIMENTO E INSTALAÇÃO. AF_11/2016_P</t>
  </si>
  <si>
    <t>ELETRODUTO FLEXÍVEL CORRUGADO, PVC, DN 25 MM (3/4"), PARA CIRCUITOS TERMINAIS, INSTALADO EM PAREDE - FORNECIMENTO E INSTALAÇÃO. AF_12/2015</t>
  </si>
  <si>
    <t>CONDULETE DE ALUMÍNIO, TIPO T, PARA ELETRODUTO DE AÇO GALVANIZADO DN 25 MM (1''), APARENTE - FORNECIMENTO E INSTALAÇÃO. AF_11/2016_P</t>
  </si>
  <si>
    <t>EXTINTOR INCENDIO TP PO QUIMICO 6KG - FORNECIMENTO E INSTALACAO</t>
  </si>
  <si>
    <t>JOELHO 45 GRAUS, EM FERRO GALVANIZADO, DN 65 (2 1/2"), CONEXÃO ROSQUEADA, INSTALADO EM REDE DE ALIMENTAÇÃO PARA HIDRANTE - FORNECIMENTO E INSTALAÇÃO. AF_12/2015</t>
  </si>
  <si>
    <t>ASSENTAMENTO DE GUIA (MEIO-FIO) EM TRECHO CURVO, CONFECCIONADA EM CONCRETO PRÉ-FABRICADO, DIMENSÕES 100X15X13X30 CM (COMPRIMENTO X BASE INFERIOR X BASE SUPERIOR X ALTURA), PARA VIAS URBANAS (USO VIÁRIO). AF_06/2016</t>
  </si>
  <si>
    <t>REVESTIMENTO CERÂMICO PARA PAREDES INTERNAS COM PLACAS TIPO ESMALTADA EXTRA DE DIMENSÕES 20X20 CM APLICADAS EM AMBIENTES DE ÁREA MAIOR QUE 5 M² NA ALTURA INTEIRA DAS PAREDES. AF_06/2014</t>
  </si>
  <si>
    <t>TEXTURA ACRÍLICA, APLICAÇÃO MANUAL EM TETO, UMA DEMÃO. AF_09/2016</t>
  </si>
  <si>
    <t>APLICAÇÃO E LIXAMENTO DE MASSA LÁTEX EM PAREDES, DUAS DEMÃOS. AF_06/2014</t>
  </si>
  <si>
    <t>CONDULETE DE ALUMÍNIO, TIPO C, PARA ELETRODUTO DE AÇO GALVANIZADO DN 25 MM (1''), APARENTE - FORNECIMENTO E INSTALAÇÃO. AF_11/2016_P</t>
  </si>
  <si>
    <t>CAIXA RETANGULAR 4" X 2" ALTA (2,00 M DO PISO), PVC, INSTALADA EM PAREDE - FORNECIMENTO E INSTALAÇÃO. AF_12/2015</t>
  </si>
  <si>
    <t>RELE FOTOELETRICO P/ COMANDO DE ILUMINACAO EXTERNA 220V/1000W - FORNECIMENTO E INSTALACAO</t>
  </si>
  <si>
    <t>DISJUNTOR MONOPOLAR TIPO DIN, CORRENTE NOMINAL DE 10A - FORNECIMENTO E INSTALAÇÃO. AF_04/2016</t>
  </si>
  <si>
    <t>DISJUNTOR BIPOLAR TIPO DIN, CORRENTE NOMINAL DE 10A - FORNECIMENTO E INSTALAÇÃO. AF_04/2016</t>
  </si>
  <si>
    <t>DISJUNTOR TRIPOLAR TIPO DIN, CORRENTE NOMINAL DE 50A - FORNECIMENTO E INSTALAÇÃO. AF_04/2016</t>
  </si>
  <si>
    <t>FIXAÇÃO DE TUBOS VERTICAIS DE PPR DIÂMETROS MENORES OU IGUAIS A 40 MM COM ABRAÇADEIRA METÁLICA RÍGIDA TIPO D 1/2", FIXADA EM PERFILADO EM ALVENARIA. AF_05/2015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</si>
  <si>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</si>
  <si>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</si>
  <si>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INTERRUPTOR SIMPLES (2 MÓDULOS), 10A/250V, INCLUINDO SUPORTE E PLACA - FORNECIMENTO E INSTALAÇÃO. AF_12/2015</t>
  </si>
  <si>
    <t>TOMADA BAIXA DE EMBUTIR (3 MÓDULOS), 2P+T 10 A, SEM SUPORTE E SEM PLACA - FORNECIMENTO E INSTALAÇÃO. AF_12/2015</t>
  </si>
  <si>
    <t>EMBOÇO OU MASSA ÚNICA EM ARGAMASSA TRAÇO 1:2:8, PREPARO MECÂNICO COM BETONEIRA 400 L, APLICADA MANUALMENTE EM PANOS CEGOS DE FACHADA (SEM PRESENÇA DE VÃOS), ESPESSURA DE 25 MM. AF_06/2014</t>
  </si>
  <si>
    <t>(COMPOSIÇÃO REPRESENTATIVA) DO SERVIÇO DE ALVENARIA DE VEDAÇÃO DE BLOCOS VAZADOS DE CERÂMICA DE 9X19X19CM (ESPESSURA 9CM), PARA EDIFICAÇÃO HABITACIONAL UNIFAMILIAR (CASA) E EDIFICAÇÃO PÚBLICA PADRÃO. AF_11/2014</t>
  </si>
  <si>
    <t>CONTRAVERGA MOLDADA IN LOCO EM CONCRETO PARA VÃOS DE MAIS DE 1,5 M DE COMPRIMENTO. AF_03/2016</t>
  </si>
  <si>
    <t>ASSENTAMENTO DE GUIA (MEIO-FIO) EM TRECHO RETO, CONFECCIONADA EM CONCRETO PRÉ-FABRICADO, DIMENSÕES 100X15X13X30 CM (COMPRIMENTO X BASE INFERIOR X BASE SUPERIOR X ALTURA), PARA VIAS URBANAS (USO VIÁRIO). AF_06/2016</t>
  </si>
  <si>
    <t>GRAUTE FGK=15 MPA; TRAÇO 1:2,0:2,4 (CIMENTO/ AREIA GROSSA/ BRITA 0/ ADITIVO) - PREPARO MECÂNICO COM BETONEIRA 400 L. AF_02/2015</t>
  </si>
  <si>
    <t>CONTRAPISO EM ARGAMASSA TRAÇO 1:4 (CIMENTO E AREIA), PREPARO MECÂNICO COM BETONEIRA 400 L, APLICADO EM ÁREAS MOLHADAS SOBRE IMPERMEABILIZAÇÃO, ESPESSURA 4CM. AF_06/2014</t>
  </si>
  <si>
    <t>CONTRAPISO EM ARGAMASSA TRAÇO 1:4 (CIMENTO E AREIA), PREPARO MECÂNICO COM BETONEIRA 400 L, APLICADO EM ÁREAS SECAS SOBRE LAJE, ADERIDO, ESPESSURA 4CM. AF_06/2014</t>
  </si>
  <si>
    <t>CONTRAPISO EM ARGAMASSA TRAÇO 1:4 (CIMENTO E AREIA), PREPARO MECÂNICO COM BETONEIRA 400 L, APLICADO EM ÁREAS SECAS SOBRE LAJE, NÃO ADERIDO, ESPESSURA 5CM. AF_06/2014</t>
  </si>
  <si>
    <t>CHAPISCO APLICADO NO TETO, COM ROLO PARA TEXTURA ACRÍLICA. ARGAMASSA TRAÇO 1:4 E EMULSÃO POLIMÉRICA (ADESIVO) COM PREPARO EM BETONEIRA 400L. AF_06/2014</t>
  </si>
  <si>
    <t>MASSA ÚNICA, PARA RECEBIMENTO DE PINTURA, EM ARGAMASSA TRAÇO 1:2:8, PREPARO MECÂNICO COM BETONEIRA 400L, APLICADA MANUALMENTE EM TETO, ESPESSURA DE 20MM, COM EXECUÇÃO DE TALISCAS. AF_03/2015</t>
  </si>
  <si>
    <t>APLICAÇÃO DE FUNDO SELADOR ACRÍLICO EM TETO, UMA DEMÃO. AF_06/2014</t>
  </si>
  <si>
    <t>APLICAÇÃO MANUAL DE PINTURA COM TINTA LÁTEX ACRÍLICA EM TETO, DUAS DEMÃOS. AF_06/2014</t>
  </si>
  <si>
    <t>APLICAÇÃO E LIXAMENTO DE MASSA LÁTEX EM TETO, DUAS DEMÃOS. AF_06/2014</t>
  </si>
  <si>
    <t>REVESTIMENTO CERÂMICO PARA PISO COM PLACAS TIPO ESMALTADA EXTRA DE DIMENSÕES 60X60 CM APLICADA EM AMBIENTES DE ÁREA MAIOR QUE 10 M2. AF_06/2014</t>
  </si>
  <si>
    <t>REGISTRO DE GAVETA BRUTO, LATÃO, ROSCÁVEL, 1 1/2, COM ACABAMENTO E CANOPLA CROMADOS, INSTALADO EM RESERVAÇÃO DE ÁGUA DE EDIFICAÇÃO QUE POSSUA RESERVATÓRIO DE FIBRA/FIBROCIMENTO  FORNECIMENTO E INSTALAÇÃO. AF_06/2016</t>
  </si>
  <si>
    <t>REGISTRO DE GAVETA BRUTO, LATÃO, ROSCÁVEL, 3/4", COM ACABAMENTO E CANOPLA CROMADOS. FORNECIDO E INSTALADO EM RAMAL DE ÁGUA. AF_12/2014</t>
  </si>
  <si>
    <t>REGISTRO DE PRESSÃO BRUTO, LATÃO, ROSCÁVEL, 3/4", COM ACABAMENTO E CANOPLA CROMADOS. FORNECIDO E INSTALADO EM RAMAL DE ÁGUA. AF_12/2014</t>
  </si>
  <si>
    <t>JOELHO 90 GRAUS, PVC, SOLDÁVEL, DN 85MM, INSTALADO EM PRUMADA DE ÁGUA - FORNECIMENTO E INSTALAÇÃO. AF_12/2014</t>
  </si>
  <si>
    <t>LUVA, PVC, SOLDÁVEL, DN 85MM, INSTALADO EM PRUMADA DE ÁGUA - FORNECIMENTO E INSTALAÇÃO. AF_12/2014</t>
  </si>
  <si>
    <t>TÊ DE REDUÇÃO, PVC, SOLDÁVEL, DN 25MM X 20MM, INSTALADO EM PRUMADA DE ÁGUA - FORNECIMENTO E INSTALAÇÃO. AF_12/2014</t>
  </si>
  <si>
    <t>REGISTRO DE GAVETA BRUTO, LATÃO, ROSCÁVEL, 3/4", FORNECIDO E INSTALADO EM RAMAL DE ÁGUA. AF_12/2014</t>
  </si>
  <si>
    <t>ADAPTADOR CURTO COM BOLSA E ROSCA PARA REGISTRO, PVC, SOLDÁVEL, DN 25MM X 3/4, INSTALADO EM RAMAL DE DISTRIBUIÇÃO DE ÁGUA - FORNECIMENTO E INSTALAÇÃO. AF_12/2014</t>
  </si>
  <si>
    <t>RALO SIFONADO, PVC, DN 100 X 40 MM, JUNTA SOLDÁVEL, FORNECIDO E INSTALADO EM RAMAL DE DESCARGA OU EM RAMAL DE ESGOTO SANITÁRIO.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</si>
  <si>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</si>
  <si>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</si>
  <si>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50 X 50 MM, JUNTA ELÁSTICA, FORNECIDO E INSTALADO EM RAMAL DE DESCARGA OU RAMAL DE ESGOTO SANITÁRIO. AF_12/2014</t>
  </si>
  <si>
    <t>TUBO, PVC, SOLDÁVEL, DN 25MM, INSTALADO EM RAMAL DE DISTRIBUIÇÃO DE ÁGUA - FORNECIMENTO E INSTALAÇÃO. AF_12/2014</t>
  </si>
  <si>
    <t>TUBO, PVC, SOLDÁVEL, DN 32MM, INSTALADO EM RAMAL DE DISTRIBUIÇÃO DE ÁGUA - FORNECIMENTO E INSTALAÇÃO. AF_12/2014</t>
  </si>
  <si>
    <t>JOELHO 45 GRAUS, PVC, SOLDÁVEL, DN 32MM, INSTALADO EM RAMAL DE DISTRIBUIÇÃO DE ÁGUA - FORNECIMENTO E INSTALAÇÃO. AF_12/2014</t>
  </si>
  <si>
    <t>TE, PVC, SOLDÁVEL, DN 32MM, INSTALADO EM RAMAL DE DISTRIBUIÇÃO DE ÁGUA - FORNECIMENTO E INSTALAÇÃO. AF_12/2014</t>
  </si>
  <si>
    <t>UNIÃO, PVC, SOLDÁVEL, DN 32MM, INSTALADO EM RAMAL DE DISTRIBUIÇÃO DE ÁGUA - FORNECIMENTO E INSTALAÇÃO. AF_12/2014</t>
  </si>
  <si>
    <t>JOELHO 90 GRAUS, PVC, SOLDÁVEL, DN 25MM, INSTALADO EM RAMAL DE DISTRIBUIÇÃO DE ÁGUA - FORNECIMENTO E INSTALAÇÃO. AF_12/2014</t>
  </si>
  <si>
    <t>EXECUÇÃO DE PASSEIO (CALÇADA) OU PISO DE CONCRETO COM CONCRETO MOLDADO IN LOCO, USINADO, ACABAMENTO CONVENCIONAL, NÃO ARMADO. AF_07/2016</t>
  </si>
  <si>
    <t>EXECUÇÃO DE PASSEIO (CALÇADA) OU PISO DE CONCRETO COM CONCRETO MOLDADO IN LOCO, USINADO, ACABAMENTO CONVENCIONAL, ESPESSURA 8 CM, ARMADO. AF_07/2016</t>
  </si>
  <si>
    <t>CAIXA RETANGULAR 4" X 2" MÉDIA (1,30 M DO PISO), PVC, INSTALADA EM PAREDE - FORNECIMENTO E INSTALAÇÃO. AF_12/2015</t>
  </si>
  <si>
    <t>CAIXA RETANGULAR 4" X 2" BAIXA (0,30 M DO PISO), PVC, INSTALADA EM PAREDE - FORNECIMENTO E INSTALAÇÃO. AF_12/2015</t>
  </si>
  <si>
    <t>ELETRODUTO DE AÇO GALVANIZADO, CLASSE LEVE, DN 20 MM (3/4), APARENTE, INSTALADO EM PAREDE - FORNECIMENTO E INSTALAÇÃO. AF_11/2016_P</t>
  </si>
  <si>
    <t>DISJUNTOR MONOPOLAR TIPO DIN, CORRENTE NOMINAL DE 32A - FORNECIMENTO E INSTALAÇÃO. AF_04/2016</t>
  </si>
  <si>
    <t>DISJUNTOR TRIPOLAR TIPO DIN, CORRENTE NOMINAL DE 16A - FORNECIMENTO E INSTALAÇÃO. AF_04/2016</t>
  </si>
  <si>
    <t>BOMBA RECALQUE D'AGUA TRIFASICA 1,5HP</t>
  </si>
  <si>
    <t>CONDULETE DE ALUMÍNIO, TIPO E, PARA ELETRODUTO DE AÇO GALVANIZADO DN 20 MM (3/4''), APARENTE - FORNECIMENTO E INSTALAÇÃO. AF_11/2016_P</t>
  </si>
  <si>
    <t>CONDULETE DE ALUMÍNIO, TIPO C, PARA ELETRODUTO DE AÇO GALVANIZADO DN 20 MM (3/4''), APARENTE - FORNECIMENTO E INSTALAÇÃO. AF_11/2016_P</t>
  </si>
  <si>
    <t>CONDULETE DE ALUMÍNIO, TIPO T, PARA ELETRODUTO DE AÇO GALVANIZADO DN 20 MM (3/4''), APARENTE - FORNECIMENTO E INSTALAÇÃO. AF_11/2016_P</t>
  </si>
  <si>
    <t>CONDULETE DE PVC, TIPO TB, PARA ELETRODUTO DE PVC SOLDÁVEL DN 25 MM (3/4''), APARENTE - FORNECIMENTO E INSTALAÇÃO. AF_11/2016</t>
  </si>
  <si>
    <t>LUVA DE EMENDA PARA ELETRODUTO, AÇO GALVANIZADO, DN 25 MM (1''), APARENTE, INSTALADA EM PAREDE - FORNECIMENTO E INSTALAÇÃO. AF_11/2016_P</t>
  </si>
  <si>
    <t>MONTAGEM E DESMONTAGEM DE FÔRMA DE PILARES RETANGULARES E ESTRUTURAS SIMILARES COM ÁREA MÉDIA DAS SEÇÕES MENOR OU IGUAL A 0,25 M², PÉ-DIREITO SIMPLES, EM CHAPA DE MADEIRA COMPENSADA RESINADA, 8 UTILIZAÇÕES. AF_12/2015</t>
  </si>
  <si>
    <t>MONTAGEM E DESMONTAGEM DE FÔRMA DE VIGA, ESCORAMENTO METÁLICO, PÉ-DIREITO SIMPLES, EM CHAPA DE MADEIRA RESINADA, 8 UTILIZAÇÕES. AF_12/2015</t>
  </si>
  <si>
    <t>MONTAGEM E DESMONTAGEM DE FÔRMA DE LAJE MACIÇA COM ÁREA MÉDIA MAIOR QUE 20 M², PÉ-DIREITO SIMPLES, EM CHAPA DE MADEIRA COMPENSADA RESINADA, 8 UTILIZAÇÕES. AF_12/2015</t>
  </si>
  <si>
    <t>COMPOSIÇÃO</t>
  </si>
  <si>
    <t>CARPINTEIRO DE FORMAS COM ENCARGOS COMPLEMENTARES</t>
  </si>
  <si>
    <t>INSUMO</t>
  </si>
  <si>
    <t>SARRAFO DE MADEIRA NAO APARELHADA *2,5 X 10 CM, MACARANDUBA, ANGELIM OU EQUIVALENTE DA REGIAO</t>
  </si>
  <si>
    <t>PREGO DE ACO POLIDO COM CABECA 18 X 30 (2 3/4 X 10)</t>
  </si>
  <si>
    <t>PECA DE MADEIRA NAO APARELHADA *7,5 X 7,5* CM (3 X 3 ") MACARANDUBA, ANGELIM OU EQUIVALENTE DA REGIAO</t>
  </si>
  <si>
    <t>FERROLHO / FECHO CHATO, DE SOBREPOR, EM FERRO ZINCADO, REFORCADO, 6", COM PORTA CADEADO, PARA PORTAO, PORTA E JANELA - INCLUI PARAFUSOS</t>
  </si>
  <si>
    <t>ENCANADOR OU BOMBEIRO HIDRÁULICO COM ENCARGOS COMPLEMENTARES</t>
  </si>
  <si>
    <t>AUXILIAR DE ENCANADOR OU BOMBEIRO HIDRÁULICO COM ENCARGOS COMPLEMENTARES</t>
  </si>
  <si>
    <t>ARGAMASSA INDUSTRIALIZADA MULTIUSO, PARA REVESTIMENTO INTERNO E EXTERNO E ASSENTAMENTO DE BLOCOS DIVERSOS</t>
  </si>
  <si>
    <t>BLOCO CERAMICO (ALVENARIA DE VEDACAO), 4 FUROS, DE 9 X 9 X 19 CM</t>
  </si>
  <si>
    <t>PREGO DE ACO POLIDO COM CABECA 15 X 15 (1 1/4 X 13)</t>
  </si>
  <si>
    <t>ADESIVO PLASTICO PARA PVC, FRASCO COM 850 GR</t>
  </si>
  <si>
    <t>HIDRÔMETRO DN 25 (¾ ), 5,0 M³/H FORNECIMENTO E INSTALAÇÃO. AF_11/2016</t>
  </si>
  <si>
    <t>FITA VEDA ROSCA EM ROLOS DE 18 MM X 50 M (L X C)</t>
  </si>
  <si>
    <t>TUBO PVC, SOLDAVEL, DN 25 MM, AGUA FRIA (NBR-5648)</t>
  </si>
  <si>
    <t>REJUNTE COLORIDO, CIMENTICIO</t>
  </si>
  <si>
    <t>PISO TATIL ALERTA OU DIRECIONAL, DE BORRACHA, COLORIDO, 25 X 25 CM, E = 5 MM, PARA COLA</t>
  </si>
  <si>
    <t>ADESIVO ACRILICO/COLA DE CONTATO</t>
  </si>
  <si>
    <t>LIXA EM FOLHA PARA PAREDE OU MADEIRA, NUMERO 120 (COR VERMELHA)</t>
  </si>
  <si>
    <t>AZULEJISTA OU LADRILHISTA COM ENCARGOS COMPLEMENTARES</t>
  </si>
  <si>
    <t>ARGAMASSA COLANTE AC I PARA CERAMICAS</t>
  </si>
  <si>
    <t>BLOCO CERAMICO (ALVENARIA DE VEDACAO), 8 FUROS, DE 9 X 19 X 19 CM</t>
  </si>
  <si>
    <t>MONTADOR DE ESTRUTURA METÁLICA COM ENCARGOS COMPLEMENTARES</t>
  </si>
  <si>
    <t>AJUDANTE ESPECIALIZADO COM ENCARGOS COMPLEMENTARES</t>
  </si>
  <si>
    <t>CHAPA DE GESSO ACARTONADO, STANDARD (ST), COR BRANCA, E = 12,5 MM, 1200 X 2400 MM (L X C)</t>
  </si>
  <si>
    <t>FITA DE PAPEL MICROPERFURADO, 50 X 150 MM, PARA TRATAMENTO DE JUNTAS DE CHAPA DE GESSO PARA DRYWALL</t>
  </si>
  <si>
    <t>PERFIL GUIA, FORMATO U, EM ACO ZINCADO, PARA ESTRUTURA PAREDE DRYWALL, E = 0,5 MM, 70 X 3000 MM (L X C)</t>
  </si>
  <si>
    <t>PAINEL DE LA DE VIDRO SEM REVESTIMENTO PSI 20, E = 50 MM, DE 1200 X 600 MM</t>
  </si>
  <si>
    <t>MASSA DE REJUNTE PRONTA PARA TRATAMENTO DE JUNTAS DE CHAPA DE GESSO PARA DRYWALL, SEM ADICAO DE AGUA</t>
  </si>
  <si>
    <t>PERFIL MONTANTE, FORMATO C, EM ACO ZINCADO, PARA ESTRUTURA PAREDE DRYWALL, E = 0,5 MM, 70 X 3000 MM (L X C)</t>
  </si>
  <si>
    <t>PARAFUSO DRY WALL, EM ACO ZINCADO, CABECA LENTILHA E PONTA AGULHA (LA), LARGURA 4,2 MM, COMPRIMENTO 13 MM</t>
  </si>
  <si>
    <t>PARAFUSO DRY WALL, EM ACO FOSFATIZADO, CABECA TROMBETA E PONTA AGULHA (TA), COMPRIMENTO 35 MM</t>
  </si>
  <si>
    <t>MARMORISTA/GRANITEIRO COM ENCARGOS COMPLEMENTARES</t>
  </si>
  <si>
    <t>CIMENTO BRANCO</t>
  </si>
  <si>
    <t>TELHADISTA COM ENCARGOS COMPLEMENTARES</t>
  </si>
  <si>
    <t>GUINDASTE HIDRÁULICO AUTOPROPELIDO, COM LANÇA TELESCÓPICA 40 M, CAPACIDADE MÁXIMA 60 T, POTÊNCIA 260 KW - CHP DIURNO. AF_03/2016</t>
  </si>
  <si>
    <t>CHP</t>
  </si>
  <si>
    <t>GUINDASTE HIDRÁULICO AUTOPROPELIDO, COM LANÇA TELESCÓPICA 40 M, CAPACIDADE MÁXIMA 60 T, POTÊNCIA 260 KW - CHI DIURNO. AF_03/2016</t>
  </si>
  <si>
    <t>CHI</t>
  </si>
  <si>
    <t>HASTE RETA PARA GANCHO DE FERRO GALVANIZADO, COM ROSCA 1/4 " X 30 CM PARA FIXACAO DE TELHA METALICA, INCLUI PORCA E ARRUELAS DE VEDACAO</t>
  </si>
  <si>
    <t>AREIA MEDIA - POSTO JAZIDA/FORNECEDOR (RETIRADO NA JAZIDA, SEM TRANSPORTE)</t>
  </si>
  <si>
    <t>CIMENTO PORTLAND COMPOSTO CP II-32</t>
  </si>
  <si>
    <t>CAL HIDRATADA CH-I PARA ARGAMASSAS</t>
  </si>
  <si>
    <t>SERRALHEIRO COM ENCARGOS COMPLEMENTARES</t>
  </si>
  <si>
    <t>AUXILIAR DE SERRALHEIRO COM ENCARGOS COMPLEMENTARES</t>
  </si>
  <si>
    <t>GESSEIRO COM ENCARGOS COMPLEMENTARES</t>
  </si>
  <si>
    <t>TIRANTE COM ELO, EM ARAME GALVANIZADO RIGIDO, NUMERO 10, COMPRIMENTO 2000 MM, PARA PENDURAL DE FORRO REMOVIVEL</t>
  </si>
  <si>
    <t>PERFIL TIPO CANTONEIRA EM L, EM ACO GALVANIZADO, BRANCO, PARA FORRO REMOVIVEL, *23* X 3000 MM (L X C)</t>
  </si>
  <si>
    <t>PERFIL LONGARINA (PRINCIPAL), T CLICADO, EM ACO, BRANCO, PARA FORRO REMOVIVEL, 24 X 3750 MM (L X C)</t>
  </si>
  <si>
    <t>PERFIL TRAVESSA (SECUNDARIO), T CLICADO, EM ACO GALVANIZADO , BRANCO, PARA FORRO REMOVIVEL, 24 X 1250 MM (L X C)</t>
  </si>
  <si>
    <t>FORRO DE FIBRA MINERAL EM PLACAS DE 1250 X 625 MM, E = 15 MM, BORDA RETA, COM PINTURA ANTIMOFO, APOIADO EM PERFIL DE ACO GALVANIZADO COM 24 MM DE BASE - INSTALADO</t>
  </si>
  <si>
    <t>CHAPA DE GESSO ACARTONADO, RESISTENTE A UMIDADE (RU), COR VERDE, E = 12,5 MM, 1200 X 2400 MM (L X C)</t>
  </si>
  <si>
    <t>CARPINTEIRO DE ESQUADRIA COM ENCARGOS COMPLEMENTARES</t>
  </si>
  <si>
    <t>PREGO DE ACO POLIDO COM CABECA 12 X 12</t>
  </si>
  <si>
    <t>FIXAÇÃO UTILIZANDO PARAFUSO E BUCHA DE NYLON, SOMENTE MÃO DE OBRA. AF_10/2016</t>
  </si>
  <si>
    <t>PINTOR COM ENCARGOS COMPLEMENTARES</t>
  </si>
  <si>
    <t>L</t>
  </si>
  <si>
    <t>PERFIL "U" DE ACO LAMINADO, "U" 102 X 9,3</t>
  </si>
  <si>
    <t>PEDRA BRITADA N. 1 (9,5 a 19 MM) POSTO PEDREIRA/FORNECEDOR, SEM FRETE</t>
  </si>
  <si>
    <t>CALCETEIRO COM ENCARGOS COMPLEMENTARES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</si>
  <si>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</si>
  <si>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</si>
  <si>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</si>
  <si>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</si>
  <si>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PO DE PEDRA (POSTO PEDREIRA/FORNECEDOR, SEM FRETE)</t>
  </si>
  <si>
    <t>FITA VEDA ROSCA EM ROLOS DE 18 MM X 10 M (L X C)</t>
  </si>
  <si>
    <t>ENGATE/RABICHO FLEXIVEL PLASTICO (PVC OU ABS) BRANCO 1/2 " X 40 CM</t>
  </si>
  <si>
    <t>SIFAO PLASTICO TIPO COPO PARA PIA OU LAVATORIO, 1 X 1.1/2 "</t>
  </si>
  <si>
    <t>LAVATORIO/CUBA DE EMBUTIR OVAL LOUCA BRANCA SEM LADRAO *50 X 35* CM</t>
  </si>
  <si>
    <t>TORNEIRA CROMADA DE PAREDE PARA COZINHA COM AREJADOR, PADRAO POPULAR, 1/2 " OU 3/4 " (REF 1159)</t>
  </si>
  <si>
    <t>CUBA ACO INOX (AISI 304) DE EMBUTIR COM VALVULA 3 1/2 ", DE *46 X 30 X 12* CM</t>
  </si>
  <si>
    <t>JARDINEIRO COM ENCARGOS COMPLEMENTARES</t>
  </si>
  <si>
    <t>TERRA VEGETAL (GRANEL)</t>
  </si>
  <si>
    <t>FERTILIZANTE NPK - 10:10:10</t>
  </si>
  <si>
    <t>FERTILIZANTE ORGANICO COMPOSTO, CLASSE A</t>
  </si>
  <si>
    <t>TUBO DE CONCRETO SIMPLES, CLASSE- PS2, PB, DN 600 MM, PARA AGUAS PLUVIAIS (NBR 8890)</t>
  </si>
  <si>
    <t>PREGO DE ACO POLIDO COM CABECA 18 X 27 (2 1/2 X 10)</t>
  </si>
  <si>
    <t>CALCARIO DOLOMITICO A (POSTO PEDREIRA/FORNECEDOR, SEM FRETE)</t>
  </si>
  <si>
    <t>ARGILA EXPANDIDA, GRANULOMETRIA 2215</t>
  </si>
  <si>
    <t>PERFIL "U" SIMPLES DE ACO GALVANIZADO DOBRADO 75 X *40* MM, E = 2,65 MM</t>
  </si>
  <si>
    <t>ELETRODO REVESTIDO AWS - E6013, DIAMETRO IGUAL A 4,00 MM</t>
  </si>
  <si>
    <t>FECHO / TRINCO / FERROLHO FIO REDONDO, DE SOBREPOR, 4", EM ACO GALVANIZADO / ZINCADO</t>
  </si>
  <si>
    <t>PORTAO DE CORRER EM CHAPA TIPO PAINEL LAMBRIL QUADRADO, COM PORTA SOCIAL COMPLETA INCLUIDA, COM REQUADRO, ACABAMENTO NATURAL, COM TRILHOS E ROLDANAS</t>
  </si>
  <si>
    <t>FABRICAÇÃO DE FÔRMA PARA VIGAS, EM CHAPA DE MADEIRA COMPENSADA PLASTIFICADA, E = 18 MM. AF_12/2015</t>
  </si>
  <si>
    <t>MASSA PLASTICA PARA MARMORE/GRANITO</t>
  </si>
  <si>
    <t>BUCHA DE NYLON SEM ABA S10, COM PARAFUSO DE 6,10 X 65 MM EM ACO ZINCADO COM ROSCA SOBERBA, CABECA CHATA E FENDA PHILLIPS</t>
  </si>
  <si>
    <t>REJUNTE EPOXI BRANCO</t>
  </si>
  <si>
    <t>SUPORTE MAO-FRANCESA EM ACO, ABAS IGUAIS 40 CM, CAPACIDADE MINIMA 70 KG, BRANCO</t>
  </si>
  <si>
    <t>PARAFUSO ROSCA SOBERBA ZINCADO CABECA CHATA FENDA SIMPLES 5,5 X 65 MM (2.1/2 ")</t>
  </si>
  <si>
    <t>DOBRADICA EM LATAO, 3 " X 2 1/2 ", E= 1,9 A 2 MM, COM ANEL, CROMADO, TAMPA BOLA, COM PARAFUSOS</t>
  </si>
  <si>
    <t>PILAR DE MADEIRA NAO APARELHADA *10 X 10* CM, MACARANDUBA, ANGELIM OU EQUIVALENTE DA REGIAO</t>
  </si>
  <si>
    <t>VIDRO COMUM LAMINADO, LISO, INCOLOR, DUPLO, ESPESSURA TOTAL 6 MM (CADA CAMADA E= 3 MM) - COLOCADO</t>
  </si>
  <si>
    <t>PORTA DE MADEIRA, FOLHA MEDIA (NBR 15930) DE 70 X 210 CM, E = 35 MM, NUCLEO SARRAFEADO, CAPA LISA EM HDF, ACABAMENTO EM LAMINADO NATURAL PARA VERNIZ</t>
  </si>
  <si>
    <t>PORTA DE MADEIRA, FOLHA MEDIA (NBR 15930) DE 100 X 210 CM, E = 35 MM, NUCLEO SARRAFEADO, CAPA LISA EM HDF, ACABAMENTO EM LAMINADO NATURAL PARA VERNIZ</t>
  </si>
  <si>
    <t>BARRA ANTIPANICO DUPLA, CEGA LADO OPOSTO, COR CINZA</t>
  </si>
  <si>
    <t>CHAPA DE ACO GALVANIZADA BITOLA GSG 18, E = 1,25 MM (10,00 KG/M2)</t>
  </si>
  <si>
    <t>PARAFUSO DE ACO TIPO CHUMBADOR PARABOLT, DIAMETRO 3/8", COMPRIMENTO 75 MM</t>
  </si>
  <si>
    <t>REBITE DE ALUMINIO VAZADO DE REPUXO, 3,2 X 8 MM (1KG = 1025 UNIDADES)</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</si>
  <si>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</si>
  <si>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</si>
  <si>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</si>
  <si>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CONCRETO ARMADO, CLASSE PA-1, PB, DN 1100 MM, PARA AGUAS PLUVIAIS (NBR 8890)</t>
  </si>
  <si>
    <t>VIBRADOR DE IMERSÃO, DIÂMETRO DE PONTEIRA 45MM, MOTOR ELÉTRICO TRIFÁSICO POTÊNCIA DE 2 CV - CHP DIURNO. AF_06/2015</t>
  </si>
  <si>
    <t>VIBRADOR DE IMERSÃO, DIÂMETRO DE PONTEIRA 45MM, MOTOR ELÉTRICO TRIFÁSICO POTÊNCIA DE 2 CV - CHI DIURNO. AF_06/2015</t>
  </si>
  <si>
    <t>CONCRETO USINADO BOMBEAVEL, CLASSE DE RESISTENCIA C30, COM BRITA 0 E 1, SLUMP = 100 +/- 20 MM, INCLUI SERVICO DE BOMBEAMENTO (NBR 8953)</t>
  </si>
  <si>
    <t>CANTONEIRA ACO ABAS IGUAIS (QUALQUER BITOLA), ESPESSURA ENTRE 1/8" E 1/4"</t>
  </si>
  <si>
    <t>AUXILIAR DE ELETRICISTA COM ENCARGOS COMPLEMENTARES</t>
  </si>
  <si>
    <t>ELETRICISTA COM ENCARGOS COMPLEMENTARES</t>
  </si>
  <si>
    <t>LUMINARIA TIPO TARTARUGA PARA AREA EXTERNA EM ALUMINIO, COM GRADE, PARA 1 LAMPADA, BASE E27, POTENCIA MAXIMA 40/60 W (NAO INCLUI LAMPADA)</t>
  </si>
  <si>
    <t>FITA ISOLANTE ADESIVA ANTICHAMA, USO ATE 750 V, EM ROLO DE 19 MM X 5 M</t>
  </si>
  <si>
    <t>TERMINAL A COMPRESSAO EM COBRE ESTANHADO PARA CABO 2,5 MM2, 1 FURO E 1 COMPRESSAO, PARA PARAFUSO DE FIXACAO M5</t>
  </si>
  <si>
    <t>DISPOSITIVO DPS CLASSE II, 1 POLO, TENSAO MAXIMA DE 175 V, CORRENTE MAXIMA DE *45* KA (TIPO AC)</t>
  </si>
  <si>
    <t>LASTRO COM PREPARO DE FUNDO, LARGURA MAIOR OU IGUAL A 1,5 M, COM CAMADA DE BRITA, LANÇAMENTO MANUAL, EM LOCAL COM NÍVEL BAIXO DE INTERFERÊNCIA. AF_06/2016</t>
  </si>
  <si>
    <t>LANÇAMENTO COM USO DE BALDES, ADENSAMENTO E ACABAMENTO DE CONCRETO EM ESTRUTURAS. AF_12/2015</t>
  </si>
  <si>
    <t>BUCHA DE NYLON SEM ABA S8, COM PARAFUSO DE 4,80 X 50 MM EM ACO ZINCADO COM ROSCA SOBERBA, CABECA CHATA E FENDA PHILLIPS</t>
  </si>
  <si>
    <t>ABRACADEIRA EM ACO PARA AMARRACAO DE ELETRODUTOS, TIPO D, COM 3/4" E CUNHA DE FIXACAO</t>
  </si>
  <si>
    <t>CURVA 90 GRAUS DE FERRO GALVANIZADO, COM ROSCA BSP FEMEA, DE 1"</t>
  </si>
  <si>
    <t>CONDULETE DE ALUMINIO TIPO LR, PARA ELETRODUTO ROSCAVEL DE 1", COM TAMPA CEGA</t>
  </si>
  <si>
    <t>BUCHA DE NYLON SEM ABA S6, COM PARAFUSO DE 4,20 X 40 MM EM ACO ZINCADO COM ROSCA SOBERBA, CABECA CHATA E FENDA PHILLIPS</t>
  </si>
  <si>
    <t>CAIXA DE PASSAGEM METALICA DE SOBREPOR COM TAMPA PARAFUSADA, DIMENSOES 20 X 20 X 10 CM</t>
  </si>
  <si>
    <t>ABRACADEIRA EM ACO PARA AMARRACAO DE ELETRODUTOS, TIPO D, COM 1" E PARAFUSO DE FIXACAO</t>
  </si>
  <si>
    <t>TERMINAL A COMPRESSAO EM COBRE ESTANHADO PARA CABO 16 MM2, 1 FURO E 1 COMPRESSAO, PARA PARAFUSO DE FIXACAO M6</t>
  </si>
  <si>
    <t>DISJUNTOR TIPO DIN/IEC, TRIPOLAR 63 A</t>
  </si>
  <si>
    <t>LAMPADA LED 10 W BIVOLT BRANCA, FORMATO TRADICIONAL (BASE E27)</t>
  </si>
  <si>
    <t>ARRUELA EM ALUMINIO, COM ROSCA, DE 3/8", PARA ELETRODUTO</t>
  </si>
  <si>
    <t>FITA METALICA PERFURADA, L = *18* MM, ROLO DE 30 M, CARGA RECOMENDADA = *30* KGF</t>
  </si>
  <si>
    <t>PORCA ZINCADA, SEXTAVADA, DIAMETRO 1/2"</t>
  </si>
  <si>
    <t>PERFILADO PERFURADO 19 X 38 MM, CHAPA 22</t>
  </si>
  <si>
    <t>LAMPADA LED TUBULAR BIVOLT 18/20 W, BASE G13</t>
  </si>
  <si>
    <t>TAMPA CEGA EM PVC PARA CONDULETE 4 X 2"</t>
  </si>
  <si>
    <t>DISJUNTOR TERMOMAGNETICO TRIPOLAR 125A</t>
  </si>
  <si>
    <t>TERMINAL A COMPRESSAO EM COBRE ESTANHADO PARA CABO 35 MM2, 1 FURO E 1 COMPRESSAO, PARA PARAFUSO DE FIXACAO M8</t>
  </si>
  <si>
    <t>TERMINAL A COMPRESSAO EM COBRE ESTANHADO PARA CABO 50 MM2, 1 FURO E 1 COMPRESSAO, PARA PARAFUSO DE FIXACAO M8</t>
  </si>
  <si>
    <t>BUCHA DE NYLON SEM ABA S8</t>
  </si>
  <si>
    <t>ARRUELA EM ALUMINIO, COM ROSCA, DE 3/4", PARA ELETRODUTO</t>
  </si>
  <si>
    <t>PARAFUSO DE ACO ZINCADO COM ROSCA SOBERBA, CABECA CHATA E FENDA SIMPLES, DIAMETRO 4,2 MM, COMPRIMENTO * 32 * MM</t>
  </si>
  <si>
    <t>SINALIZADOR NOTURNO SIMPLES PARA PARA-RAIOS, SEM RELE FOTOELETRICO</t>
  </si>
  <si>
    <t>PARA-RAIOS TIPO FRANKLIN 350 MM, EM LATAO CROMADO, DUAS DESCIDAS, PARA PROTECAO DE EDIFICACOES CONTRA DESCARGAS ATMOSFERICAS</t>
  </si>
  <si>
    <t>LUVA PARA ELETRODUTO, EM ACO GALVANIZADO ELETROLITICO, DIAMETRO DE 25 MM (1")</t>
  </si>
  <si>
    <t>TUBO DRENO, CORRUGADO, ESPIRALADO, FLEXIVEL, PERFURADO, EM POLIETILENO DE ALTA DENSIDADE (PEAD), DN 100 MM, (4") PARA DRENAGEM - EM ROLO (NORMA DNIT 093/2006 - E.M)</t>
  </si>
  <si>
    <t>QUADRO DE DISTRIBUICAO COM BARRAMENTO TRIFASICO, DE SOBREPOR, EM CHAPA DE ACO GALVANIZADO, PARA 18 DISJUNTORES DIN, 100 A</t>
  </si>
  <si>
    <t>QUADRO DE DISTRIBUICAO COM BARRAMENTO TRIFASICO, DE EMBUTIR, EM CHAPA DE ACO GALVANIZADO, PARA 30 DISJUNTORES DIN, 150 A</t>
  </si>
  <si>
    <t>LUMINARIA LED REFLETOR RETANGULAR BIVOLT, LUZ BRANCA, 10 W</t>
  </si>
  <si>
    <t>LUMINARIA LED REFLETOR RETANGULAR BIVOLT, LUZ BRANCA, 30 W</t>
  </si>
  <si>
    <t>ANEL BORRACHA PARA TUBO ESGOTO PREDIAL DN 50 MM (NBR 5688)</t>
  </si>
  <si>
    <t>TERMINAL DE VENTILACAO, 50 MM, SERIE NORMAL, ESGOTO PREDIAL</t>
  </si>
  <si>
    <t>VALVULA EM METAL CROMADO PARA LAVATORIO, 1 " SEM LADRAO</t>
  </si>
  <si>
    <t>SIFAO PLASTICO FLEXIVEL SAIDA VERTICAL PARA COLUNA LAVATORIO, 1 X 1.1/2 "</t>
  </si>
  <si>
    <t>TE DE REDUCAO, PVC, SOLDAVEL, 90 GRAUS, 50 MM X 25 MM, PARA AGUA FRIA PREDIAL</t>
  </si>
  <si>
    <t>SOLUCAO LIMPADORA PARA PVC, FRASCO COM 1000 CM3</t>
  </si>
  <si>
    <t>LIXA D'AGUA EM FOLHA, GRAO 100</t>
  </si>
  <si>
    <t>ANEL BORRACHA PARA TUBO ESGOTO PREDIAL, DN 100 MM (NBR 5688)</t>
  </si>
  <si>
    <t>JUNCAO SIMPLES, PVC, DN 100 X 50 MM, SERIE NORMAL PARA ESGOTO PREDIAL</t>
  </si>
  <si>
    <t>CONJUNTO DE LIGACAO PARA BACIA SANITARIA AJUSTAVEL, EM PLASTICO BRANCO, COM TUBO, CANOPLA E ESPUDE</t>
  </si>
  <si>
    <t>TORNEIRA CROMADA COM BICO PARA JARDIM/TANQUE 1/2 " OU 3/4 " (REF 1153)</t>
  </si>
  <si>
    <t>PARAFUSO NIQUELADO COM ACABAMENTO CROMADO PARA FIXAR PECA SANITARIA, INCLUI PORCA CEGA, ARRUELA E BUCHA DE NYLON TAMANHO S-10</t>
  </si>
  <si>
    <t>VEDACAO PVC, 100 MM, PARA SAIDA VASO SANITARIO</t>
  </si>
  <si>
    <t>BUCHA DE REDUCAO DE PVC, SOLDAVEL, CURTA, COM 110 X 85 MM, PARA AGUA FRIA PREDIAL</t>
  </si>
  <si>
    <t>BUCHA DE REDUCAO DE PVC, SOLDAVEL, CURTA, COM 32 X 25 MM, PARA AGUA FRIA PREDIAL</t>
  </si>
  <si>
    <t>BUCHA DE REDUCAO DE PVC, SOLDAVEL, CURTA, COM 60 X 50 MM, PARA AGUA FRIA PREDIAL</t>
  </si>
  <si>
    <t>BUCHA DE REDUCAO DE PVC, SOLDAVEL, CURTA, COM 85 X 75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</si>
  <si>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</si>
  <si>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</si>
  <si>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</si>
  <si>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</si>
  <si>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40 MM, PARA AGUA FRIA PREDIAL</t>
  </si>
  <si>
    <t>BUCHA DE REDUCAO DE PVC, SOLDAVEL, LONGA, COM 75 X 50 MM, PARA AGUA FRIA PREDIAL</t>
  </si>
  <si>
    <t>TE DE REDUCAO, PVC PBA, BBB, JE, DN 100 X 75 / DE 110 X 85 MM, PARA REDE AGUA (NBR 10351)</t>
  </si>
  <si>
    <t>ADESIVO PLASTICO PARA PVC, FRASCO COM 175 GR</t>
  </si>
  <si>
    <t>TE DE REDUCAO, PVC, SOLDAVEL, 90 GRAUS, 50 MM X 32 MM, PARA AGUA FRIA PREDIAL</t>
  </si>
  <si>
    <t>ANEL BORRACHA PARA TUBO ESGOTO PREDIAL DN 75 MM (NBR 5688)</t>
  </si>
  <si>
    <t>CAIXA SIFONADA PVC, 150 X 150 X 50 MM, COM GRELHA REDONDA BRANCA</t>
  </si>
  <si>
    <t>REDUCAO EXCENTRICA PVC P/ ESG PREDIAL DN 100 X 50MM</t>
  </si>
  <si>
    <t>REDUCAO EXCENTRICA PVC P/ ESG PREDIAL DN 75 X 50MM</t>
  </si>
  <si>
    <t>TUBO COLETOR DE ESGOTO PVC, JEI, DN 200 MM (NBR 7362)</t>
  </si>
  <si>
    <t>TUBO COLETOR DE ESGOTO PVC, JEI, DN 250 MM (NBR 7362)</t>
  </si>
  <si>
    <t>TUBO COLETOR DE ESGOTO PVC, JEI, DN 300 MM (NBR 7362)</t>
  </si>
  <si>
    <t>TUBO COLETOR DE ESGOTO PVC, JEI, DN 400 MM (NBR 7362)</t>
  </si>
  <si>
    <t>RALO FOFO SEMIESFERICO, 75 MM, PARA LAJES/ CALHAS</t>
  </si>
  <si>
    <t>RALO FOFO SEMIESFERICO, 100 MM, PARA LAJES/ CALHAS</t>
  </si>
  <si>
    <t>RALO FOFO SEMIESFERICO, 150 MM, PARA LAJES/ CALHAS</t>
  </si>
  <si>
    <t>CURVA PVC LONGA 45 GRAUS, 100 MM, PARA ESGOTO PREDIAL</t>
  </si>
  <si>
    <t>CURVA PVC LONGA 45G, DN 75 MM, PARA ESGOTO PREDIAL</t>
  </si>
  <si>
    <t>TE, PVC, 90 GRAUS, BBB, JE, DN 150 MM, PARA REDE COLETORA ESGOTO (NBR 10569)</t>
  </si>
  <si>
    <t>TE SANITARIO, PVC, DN 100 X 50 MM, SERIE NORMAL, PARA ESGOTO PREDIAL</t>
  </si>
  <si>
    <t>TE SANITARIO, PVC, DN 50 X 50 MM, SERIE NORMAL, PARA ESGOTO PREDIAL</t>
  </si>
  <si>
    <t>TE SANITARIO, PVC, DN 75 X 50 MM, SERIE NORMAL PARA ESGOTO PREDIAL</t>
  </si>
  <si>
    <t>PREPARO DE FUNDO DE VALA COM LARGURA MENOR QUE 1,5 M, EM LOCAL COM NÍVEL BAIXO DE INTERFERÊNCIA. AF_06/2016</t>
  </si>
  <si>
    <t>BUCHA DE REDUCAO DE PVC, SOLDAVEL, CURTA, COM 40 X 32 MM, PARA AGUA FRIA PREDIAL</t>
  </si>
  <si>
    <t>JOELHO, PVC SOLDAVEL, 45 GRAUS, 40 MM, PARA AGUA FRIA PREDIAL</t>
  </si>
  <si>
    <t>JOELHO PVC, SOLDAVEL, 90 GRAUS, 32 MM, PARA AGUA FRIA PREDIAL</t>
  </si>
  <si>
    <t>JOELHO PVC, SOLDAVEL, 90 GRAUS, 40 MM, PARA AGUA FRIA PREDIAL</t>
  </si>
  <si>
    <t>LUVA PVC SOLDAVEL, 32 MM, PARA AGUA FRIA PREDIAL</t>
  </si>
  <si>
    <t>LUVA PVC SOLDAVEL, 40 MM, PARA AGUA FRIA PREDIAL</t>
  </si>
  <si>
    <t>TUBO PVC, SOLDAVEL, DN 32 MM, AGUA FRIA (NBR-5648)</t>
  </si>
  <si>
    <t>TUBO PVC, SOLDAVEL, DN 40 MM, AGUA FRIA (NBR-5648)</t>
  </si>
  <si>
    <t>TE SOLDAVEL, PVC, 90 GRAUS, 32 MM, PARA AGUA FRIA PREDIAL (NBR 5648)</t>
  </si>
  <si>
    <t>TE SOLDAVEL, PVC, 90 GRAUS, 40 MM, PARA AGUA FRIA PREDIAL (NBR 5648)</t>
  </si>
  <si>
    <t>TE DE REDUCAO, PVC, SOLDAVEL, 90 GRAUS, 32 MM X 25 MM, PARA AGUA FRIA PREDIAL</t>
  </si>
  <si>
    <t>TE DE REDUCAO, PVC, SOLDAVEL, 90 GRAUS, 40 MM X 32 MM, PARA AGUA FRIA PREDIAL</t>
  </si>
  <si>
    <t>AJUDANTE DE PEDREIRO COM ENCARGOS COMPLEMENTARES</t>
  </si>
  <si>
    <t>ESTOPA</t>
  </si>
  <si>
    <t>FUNDO ANTICORROSIVO PARA METAIS FERROSOS (ZARCAO)</t>
  </si>
  <si>
    <t>VALVULA DE DESCARGA METALICA, BASE 1 1/2 " E ACABAMENTO METALICO CROMADO</t>
  </si>
  <si>
    <t>ANEL BORRACHA, DN 150 MM, PARA TUBO SERIE REFORCADA ESGOTO PREDIAL</t>
  </si>
  <si>
    <t>LUVA SIMPLES, PVC, SOLDAVEL, DN 150 MM, SERIE NORMAL, PARA ESGOTO PREDIAL</t>
  </si>
  <si>
    <t>ANEL BORRACHA, DN 50 MM, PARA TUBO SERIE REFORCADA ESGOTO PREDIAL</t>
  </si>
  <si>
    <t>BUCHA DE REDUCAO DE PVC, SOLDAVEL, LONGA, 50 X 40 MM, PARA ESGOTO PREDIAL</t>
  </si>
  <si>
    <t>TERMINAL DE VENTILACAO, 75 MM, SERIE NORMAL, ESGOTO PREDIAL</t>
  </si>
  <si>
    <t>TERMINAL DE VENTILACAO, 100 MM, SERIE NORMAL, ESGOTO PREDIAL</t>
  </si>
  <si>
    <t>TAMPAO FOFO ARTICULADO, CLASSE B125 CARGA MAX 12,5 T, REDONDO TAMPA 600 MM, REDE PLUVIAL/ESGOTO</t>
  </si>
  <si>
    <t>ANEL DE CONCRETO ARMADO, D = 0,60 M, H = 0,30 M</t>
  </si>
  <si>
    <t>ANEL DE CONCRETO ARMADO, D = 0,60 M, H = 0,10 M</t>
  </si>
  <si>
    <t>ANEL BORRACHA, PARA TUBO PVC, REDE COLETOR ESGOTO, DN 100 MM (NBR 7362)</t>
  </si>
  <si>
    <t>LUVA SIMPLES, PVC, SOLDAVEL, DN 100 MM, SERIE NORMAL, PARA ESGOTO PREDIAL</t>
  </si>
  <si>
    <t>ANEL BORRACHA, PARA TUBO/CONEXAO PVC PBA, DN 100 MM, PARA REDE AGUA</t>
  </si>
  <si>
    <t>BUCHA DE REDUCAO DE PVC, SOLDAVEL, LONGA, COM 110 X 75 MM, PARA AGUA FRIA PREDIAL</t>
  </si>
  <si>
    <t>COLAR TOMADA PVC, COM TRAVAS, SAIDA COM ROSCA, DE 75 MM X 1/2" OU 75 MM X 3/4", PARA LIGACAO PREDIAL DE AGUA</t>
  </si>
  <si>
    <t>HIDROMETRO WOLTMANN, VAZAO MAXIMA DE 50,0 M3/H, DE 2"</t>
  </si>
  <si>
    <t>KIT CAVALETE PARA MEDIÇÃO DE ÁGUA - ENTRADA PRINCIPAL, EM AÇO GALVANIZADO DN 50 (2)  FORNECIMENTO E INSTALAÇÃO (EXCLUSIVE HIDRÔMETRO). AF_11/2016</t>
  </si>
  <si>
    <t>TORNEIRA METAL AMARELO COM BICO PARA JARDIM, PADRAO POPULAR, 1/2 " OU 3/4 " (REF 1128)</t>
  </si>
  <si>
    <t>TAMPA DE CONCRETO PARA PV OU CAIXA DE INSPECAO, DIMENSOES 600 X 600 X 50 MM</t>
  </si>
  <si>
    <t>TUBO PVC SERIE NORMAL, DN 75 MM, PARA ESGOTO PREDIAL (NBR 5688)</t>
  </si>
  <si>
    <t>JOELHO, PVC SOLDAVEL, 45 GRAUS, 32 MM, PARA AGUA FRIA PREDIAL</t>
  </si>
  <si>
    <t>REGISTRO OU REGULADOR DE GAS COZINHA, VAZAO DE 2 KG/H, 2,8 KPA</t>
  </si>
  <si>
    <t>VALVULA DE ESFERA BRUTA EM BRONZE, BITOLA 3/4 " (REF 1552-B)</t>
  </si>
  <si>
    <t>NIPLE DE REDUCAO DE FERRO GALVANIZADO, COM ROSCA BSP, DE 3/4" X 1/2"</t>
  </si>
  <si>
    <t>PLACA DE SINALIZACAO DE SEGURANCA CONTRA INCENDIO, FOTOLUMINESCENTE, RETANGULAR, *13 X 26* CM, EM PVC *2* MM ANTI-CHAMAS (SIMBOLOS, CORES E PICTOGRAMAS CONFORME NBR 13434)</t>
  </si>
  <si>
    <t>LUMINARIA DE EMERGENCIA 30 LEDS, POTENCIA 2 W, BATERIA DE LITIO, AUTONOMIA DE 6 HORAS</t>
  </si>
  <si>
    <t>CAIXA DE INCENDIO/ABRIGO PARA MANGUEIRA, DE EMBUTIR/INTERNA, COM 75 X 45 X 17 CM, EM CHAPA DE ACO, PORTA COM VENTILACAO, VISOR COM A INSCRICAO "INCENDIO", SUPORTE/CESTA INTERNA PARA A MANGUEIRA, PINTURA ELETROSTATICA VERMELHA</t>
  </si>
  <si>
    <t>ESGUICHO TIPO JATO SOLIDO, EM LATAO, ENGATE RAPIDO 1 1/2" X 13 MM, PARA MANGUEIRA EM INSTALACAO PREDIAL COMBATE A INCENDIO</t>
  </si>
  <si>
    <t>REGISTRO OU VALVULA GLOBO ANGULAR EM LATAO, PARA HIDRANTES EM INSTALACAO PREDIAL DE INCENDIO, 45 GRAUS, DIAMETRO DE 2 1/2", COM VOLANTE, CLASSE DE PRESSAO DE ATE 200 PSI</t>
  </si>
  <si>
    <t>REDUCAO FIXA TIPO STORZ, ENGATE RAPIDO 2.1/2" X 1.1/2", EM LATAO, PARA INSTALACAO PREDIAL COMBATE A INCENDIO PREDIAL</t>
  </si>
  <si>
    <t>CHAVE DUPLA PARA CONEXOES TIPO STORZ, ENGATE RAPIDO 1 1/2" X 2 1/2", EM LATAO, PARA INSTALACAO PREDIAL COMBATE A INCENDIO</t>
  </si>
  <si>
    <t>TAMPAO COM CORRENTE, EM LATAO, ENGATE RAPIDO 2 1/2", PARA INSTALACAO PREDIAL DE COMBATE A INCENDIO</t>
  </si>
  <si>
    <t>MANGUEIRA DE INCENDIO, TIPO 1, DE 1 1/2", COMPRIMENTO = 15 M, TECIDO EM FIO DE POLIESTER E TUBO INTERNO EM BORRACHA SINTETICA, COM UNIOES ENGATE RAPIDO</t>
  </si>
  <si>
    <t>(COMPOSIÇÃO REPRESENTATIVA) DO SERVIÇO DE ALVENARIA DE VEDAÇÃO DE BLOCOS VAZADOS DE CERÂMICA DE 14X9X19CM (ESPESSURA 14CM, BLOCO DEITADO), PARA EDIFICAÇÃO HABITACIONAL UNIFAMILIAR (CASA) E EDIFICAÇÃO PÚBLICA PADRÃO. AF_12/2014</t>
  </si>
  <si>
    <t>TUBO PVC PBA JEI, CLASSE 20, DN 75 MM, PARA REDE DE AGUA (NBR 5647)</t>
  </si>
  <si>
    <t>PLACA DE SINALIZACAO DE SEGURANCA CONTRA INCENDIO, FOTOLUMINESCENTE, QUADRADA, *20 X 20* CM, EM PVC *2* MM ANTI-CHAMAS (SIMBOLOS, CORES E PICTOGRAMAS CONFORME NBR 13434)</t>
  </si>
  <si>
    <t>BARRA DE APOIO RETA, EM ACO INOX POLIDO, COMPRIMENTO 60CM, DIAMETRO MINIMO 3 CM</t>
  </si>
  <si>
    <t>BARRA DE APOIO RETA, EM ACO INOX POLIDO, COMPRIMENTO 70CM, DIAMETRO MINIMO 3 CM</t>
  </si>
  <si>
    <t>BARRA DE APOIO RETA, EM ACO INOX POLIDO, COMPRIMENTO 80CM, DIAMETRO MINIMO 3 CM</t>
  </si>
  <si>
    <t>TOALHEIRO PLASTICO TIPO DISPENSER PARA PAPEL TOALHA INTERFOLHADO</t>
  </si>
  <si>
    <t>BANCO ARTICULADO PARA BANHO, EM ACO INOX POLIDO, 70* CM X 45* CM</t>
  </si>
  <si>
    <t>PAPELEIRA PLASTICA TIPO DISPENSER PARA PAPEL HIGIENICO ROLAO</t>
  </si>
  <si>
    <t>TUBO ACO GALVANIZADO COM COSTURA, CLASSE MEDIA, DN 1.1/4", E = *3,25* MM, PESO *3,14* KG/M (NBR 5580)</t>
  </si>
  <si>
    <t>ENGENHEIRO CIVIL DE OBRA PLENO COM ENCARGOS COMPLEMENTARES</t>
  </si>
  <si>
    <t>ENCARREGADO GERAL DE OBRAS COM ENCARGOS COMPLEMENTARES</t>
  </si>
  <si>
    <t>MESTRE DE OBRAS COM ENCARGOS COMPLEMENTARES</t>
  </si>
  <si>
    <t>ALMOXARIFE COM ENCARGOS COMPLEMENTARES</t>
  </si>
  <si>
    <t>VIGIA NOTURNO COM ENCARGOS COMPLEMENTARES</t>
  </si>
  <si>
    <t>M3XKM</t>
  </si>
  <si>
    <t>MASSA ÚNICA, PARA RECEBIMENTO DE PINTURA, EM ARGAMASSA TRAÇO 1:2:8, PREPARO MECÂNICO COM BETONEIRA 400L, APLICADA MANUALMENTE EM TETO, ESPESSURA DE 10MM, COM EXECUÇÃO DE TALISCAS. AF_03/2015</t>
  </si>
  <si>
    <t>CARGA E DESCARGA MECANIZADAS DE ENTULHO EM CAMINHAO BASCULANTE 6 M3</t>
  </si>
  <si>
    <t>MONTAGEM E DESMONTAGEM DE FÔRMA DE PILARES RETANGULARES E ESTRUTURAS SIMILARES COM ÁREA MÉDIA DAS SEÇÕES MENOR OU IGUAL A 0,25 M², PÉ-DIREITO SIMPLES, EM CHAPA DE MADEIRA COMPENSADA RESINADA, 4 UTILIZAÇÕES. AF_12/2015</t>
  </si>
  <si>
    <t>MONTAGEM E DESMONTAGEM DE FÔRMA DE LAJE MACIÇA COM ÁREA MÉDIA MENOR OU IGUAL A 20 M², PÉ-DIREITO SIMPLES, EM CHAPA DE MADEIRA COMPENSADA PLASTIFICADA, 10 UTILIZAÇÕES. AF_12/2015</t>
  </si>
  <si>
    <t>MONTAGEM E DESMONTAGEM DE FÔRMA DE VIGA, ESCORAMENTO COM PONTALETE DE MADEIRA, PÉ-DIREITO SIMPLES, EM MADEIRA SERRADA, 4 UTILIZAÇÕES. AF_12/2015</t>
  </si>
  <si>
    <t>AJUDANTE DE CARPINTEIRO COM ENCARGOS COMPLEMENTARES</t>
  </si>
  <si>
    <t>PREGO DE ACO POLIDO COM CABECA 17 X 21 (2 X 11)</t>
  </si>
  <si>
    <t>PREGO DE ACO POLIDO COM CABECA 17 X 27 (2 1/2 X 11)</t>
  </si>
  <si>
    <t>DESMOLDANTE PROTETOR PARA FORMAS DE MADEIRA, DE BASE OLEOSA EMULSIONADA EM AGUA</t>
  </si>
  <si>
    <t>POLIESTIRENO EXPANDIDO/EPS (ISOPOR), TIPO 2F, BLOCO</t>
  </si>
  <si>
    <t>AJUDANTE DE ARMADOR COM ENCARGOS COMPLEMENTARES</t>
  </si>
  <si>
    <t>ARMADOR COM ENCARGOS COMPLEMENTARES</t>
  </si>
  <si>
    <t>ESPACADOR / DISTANCIADOR CIRCULAR COM ENTRADA LATERAL, EM PLASTICO, PARA VERGALHAO *4,2 A 12,5* MM, COBRIMENTO 20 MM</t>
  </si>
  <si>
    <t>FITA ACO INOX PARA CINTAR POSTE, L = 19 MM, E = 0,5 MM (ROLO DE 30M)</t>
  </si>
  <si>
    <t>CABO DE COBRE NU 35 MM2 MEIO-DURO</t>
  </si>
  <si>
    <t>FIO DE COBRE, SOLIDO, CLASSE 1, ISOLACAO EM PVC/A, ANTICHAMA BWF-B, 450/750V, SECAO NOMINAL 10 MM2</t>
  </si>
  <si>
    <t>ARMACAO VERTICAL COM HASTE E CONTRA-PINO, EM CHAPA DE ACO GALVANIZADO 3/16", COM 4 ESTRIBOS E 4 ISOLADORES</t>
  </si>
  <si>
    <t>CONECTOR METALICO TIPO PARAFUSO FENDIDO (SPLIT BOLT), PARA CABOS ATE 16 MM2</t>
  </si>
  <si>
    <t>LUVA EM PVC RIGIDO ROSCAVEL, DE 1", PARA ELETRODUTO</t>
  </si>
  <si>
    <t>DISJUNTOR TIPO NEMA, TRIPOLAR 60 ATE 100 A, TENSAO MAXIMA DE 415 V</t>
  </si>
  <si>
    <t>ELETRODUTO DE PVC RIGIDO ROSCAVEL DE 1 ", SEM LUVA</t>
  </si>
  <si>
    <t>MADEIRA ROLICA TRATADA, EUCALIPTO OU EQUIVALENTE DA REGIAO, H = 12 M, D = 20 A 24 CM (PARA POSTE)</t>
  </si>
  <si>
    <t>PARAFUSO DE FERRO POLIDO, SEXTAVADO, COM ROSCA PARCIAL, DIAMETRO 5/8", COMPRIMENTO 6", COM PORCA E ARRUELA DE PRESSAO MEDIA</t>
  </si>
  <si>
    <t>ARRUELA REDONDA DE LATAO, DIAMETRO EXTERNO = 34 MM, ESPESSURA = 2,5 MM, DIAMETRO DO FURO = 17 MM</t>
  </si>
  <si>
    <t>CURVA 180 GRAUS, DE PVC RIGIDO ROSCAVEL, DE 3/4", PARA ELETRODUTO</t>
  </si>
  <si>
    <t>BUCHA EM ALUMINIO, COM ROSCA, DE 1", PARA ELETRODUTO</t>
  </si>
  <si>
    <t>ARRUELA EM ALUMINIO, COM ROSCA, DE 1", PARA ELETRODUTO</t>
  </si>
  <si>
    <t>MONTAGEM E DESMONTAGEM DE FÔRMA PARA ESCADAS, COM 2 LANCES, EM CHAPA DE MADEIRA COMPENSADA RESINADA, 4 UTILIZAÇÕES.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</si>
  <si>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</si>
  <si>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</si>
  <si>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</si>
  <si>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</si>
  <si>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CA-60 DE 5,0 MM - MONTAGEM. AF_01/2017</t>
  </si>
  <si>
    <t>EXECUÇÃO DE ALMOXARIFADO EM CANTEIRO DE OBRA EM ALVENARIA, INCLUSO PRATELEIRAS. AF_02/2016</t>
  </si>
  <si>
    <t>EXECUÇÃO DE CENTRAL DE ARMADURA EM CANTEIRO DE OBRA, NÃO INCLUSO MOBILIÁRIO E EQUIPAMENTOS. AF_04/2016</t>
  </si>
  <si>
    <t>EXECUÇÃO DE CENTRAL DE FÔRMAS, PRODUÇÃO DE ARGAMASSA OU CONCRETO EM CANTEIRO DE OBRA, NÃO INCLUSO MOBILIÁRIO E EQUIPAMENTOS. AF_04/2016</t>
  </si>
  <si>
    <t>SERVIÇOS PRELIMINARES E CANTEIRO DE OBRAS</t>
  </si>
  <si>
    <t>EXECUÇÃO DE ESCRITÓRIO EM CANTEIRO DE OBRA EM ALVENARIA, NÃO INCLUSO MOBILIÁRIO E EQUIPAMENTOS. AF_02/2016</t>
  </si>
  <si>
    <t>EXECUÇÃO DE REFEITÓRIO EM CANTEIRO DE OBRA EM ALVENARIA, NÃO INCLUSO MOBILIÁRIO E EQUIPAMENTOS. AF_02/2016</t>
  </si>
  <si>
    <t>EXECUÇÃO DE DEPÓSITO EM CANTEIRO DE OBRA EM CHAPA DE MADEIRA COMPENSADA, NÃO INCLUSO MOBILIÁRIO. AF_04/2016</t>
  </si>
  <si>
    <t>DESENHISTA COPISTA COM ENCARGOS COMPLEMENTARES</t>
  </si>
  <si>
    <t>RETROESCAVADEIRA SOBRE RODAS COM CARREGADEIRA, TRAÇÃO 4X4, POTÊNCIA LÍQ. 88 HP, CAÇAMBA CARREG. CAP. MÍN. 1 M3, CAÇAMBA RETRO CAP. 0,26 M3, PESO OPERACIONAL MÍN. 6.674 KG, PROFUNDIDADE ESCAVAÇÃO MÁX. 4,37 M - CHP DIURNO. AF_06/2014</t>
  </si>
  <si>
    <t>23.0</t>
  </si>
  <si>
    <t>24.0</t>
  </si>
  <si>
    <t>25.0</t>
  </si>
  <si>
    <t>26.0</t>
  </si>
  <si>
    <t>27.0</t>
  </si>
  <si>
    <t>28.0</t>
  </si>
  <si>
    <t>29.0</t>
  </si>
  <si>
    <t>30.0</t>
  </si>
  <si>
    <t>31.0</t>
  </si>
  <si>
    <t>32.0</t>
  </si>
  <si>
    <t>RASGO EM ALVENARIA PARA RAMAIS/ DISTRIBUIÇÃO COM DIÂMETROS MAIORES QUE 40 MM E MENORES OU IGUAIS A 75 MM. AF_05/2015</t>
  </si>
  <si>
    <t>MARCENEIRO COM ENCARGOS COMPLEMENTARES</t>
  </si>
  <si>
    <t>BLOCO DE ESPUMA MULTIUSO *23 X 13 X 8* CM</t>
  </si>
  <si>
    <t>ADESIVO LIQUIDO A BASE DE RESINAS PARA COLAGEM DE ESPUMA DE ISOLAMENTO TERMICO FLEXIVEL</t>
  </si>
  <si>
    <t>(COMPOSIÇÃO REPRESENTATIVA) DE ALVENARIA DE BLOCOS DE CONCRETO ESTRUTURAL 14X19X39 CM, (ESPESSURA 14 CM), FBK = 4,5 MPA, UTILIZANDO PALHETA, PARA EDIFICAÇÃO HABITACIONAL. AF_10/2015</t>
  </si>
  <si>
    <t>MOLA AEREA FECHA PORTA, PARA PORTAS COM LARGURA ATE 110 CM</t>
  </si>
  <si>
    <t>EXECUÇÃO DE SANITÁRIO E VESTIÁRIO EM CANTEIRO DE OBRA EM ALVENARIA, NÃO INCLUSO MOBILIÁRIO. AF_02/2016</t>
  </si>
  <si>
    <t>MÊS 08</t>
  </si>
  <si>
    <t>MÊS 09</t>
  </si>
  <si>
    <t>MÊS 10</t>
  </si>
  <si>
    <t>MÊS 11</t>
  </si>
  <si>
    <t>MÊS 12</t>
  </si>
  <si>
    <t>HORISTA:</t>
  </si>
  <si>
    <t>MENSALISTA:</t>
  </si>
  <si>
    <t>REGIÃO:</t>
  </si>
  <si>
    <t>MATO GROSSO</t>
  </si>
  <si>
    <t>UNIDADE</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</si>
  <si>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</si>
  <si>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</si>
  <si>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</si>
  <si>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</si>
  <si>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</si>
  <si>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</si>
  <si>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</si>
  <si>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</si>
  <si>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</si>
  <si>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</si>
  <si>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</si>
  <si>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</si>
  <si>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</si>
  <si>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</si>
  <si>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</si>
  <si>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</si>
  <si>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</si>
  <si>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</si>
  <si>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</si>
  <si>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</si>
  <si>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</si>
  <si>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</si>
  <si>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</si>
  <si>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</si>
  <si>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</si>
  <si>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</si>
  <si>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</si>
  <si>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</si>
  <si>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</si>
  <si>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</si>
  <si>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</si>
  <si>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</si>
  <si>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</si>
  <si>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</si>
  <si>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</si>
  <si>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</si>
  <si>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</si>
  <si>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</si>
  <si>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</si>
  <si>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</si>
  <si>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</si>
  <si>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</si>
  <si>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</si>
  <si>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</si>
  <si>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</si>
  <si>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</si>
  <si>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</si>
  <si>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</si>
  <si>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</si>
  <si>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</si>
  <si>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</si>
  <si>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</si>
  <si>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</si>
  <si>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</si>
  <si>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</si>
  <si>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</si>
  <si>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</si>
  <si>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</si>
  <si>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</si>
  <si>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</si>
  <si>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</si>
  <si>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</si>
  <si>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</si>
  <si>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</si>
  <si>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</si>
  <si>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</si>
  <si>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</si>
  <si>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</si>
  <si>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</si>
  <si>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</si>
  <si>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</si>
  <si>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</si>
  <si>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</si>
  <si>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</si>
  <si>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</si>
  <si>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</si>
  <si>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</si>
  <si>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</si>
  <si>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</si>
  <si>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</si>
  <si>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</si>
  <si>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</si>
  <si>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</si>
  <si>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</si>
  <si>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</si>
  <si>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</si>
  <si>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</si>
  <si>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</si>
  <si>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</si>
  <si>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</si>
  <si>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</si>
  <si>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</si>
  <si>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</si>
  <si>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</si>
  <si>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</si>
  <si>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</si>
  <si>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</si>
  <si>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</si>
  <si>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</si>
  <si>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</si>
  <si>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</si>
  <si>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</si>
  <si>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</si>
  <si>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</si>
  <si>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</si>
  <si>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</si>
  <si>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</si>
  <si>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</si>
  <si>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</si>
  <si>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</si>
  <si>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</si>
  <si>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</si>
  <si>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</si>
  <si>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</si>
  <si>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</si>
  <si>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</si>
  <si>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</si>
  <si>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</si>
  <si>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</si>
  <si>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</si>
  <si>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</si>
  <si>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</si>
  <si>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</si>
  <si>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</si>
  <si>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</si>
  <si>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</si>
  <si>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</si>
  <si>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</si>
  <si>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</si>
  <si>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</si>
  <si>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</si>
  <si>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</si>
  <si>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</si>
  <si>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</si>
  <si>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</si>
  <si>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</si>
  <si>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</si>
  <si>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</si>
  <si>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</si>
  <si>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</si>
  <si>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</si>
  <si>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</si>
  <si>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</si>
  <si>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</si>
  <si>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</si>
  <si>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</si>
  <si>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</si>
  <si>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</si>
  <si>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</si>
  <si>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</si>
  <si>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</si>
  <si>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</si>
  <si>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</si>
  <si>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</si>
  <si>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</si>
  <si>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</si>
  <si>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</si>
  <si>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</si>
  <si>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</si>
  <si>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</si>
  <si>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</si>
  <si>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</si>
  <si>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</si>
  <si>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</si>
  <si>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</si>
  <si>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</si>
  <si>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</si>
  <si>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</si>
  <si>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</si>
  <si>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</si>
  <si>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</si>
  <si>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</si>
  <si>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</si>
  <si>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</si>
  <si>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</si>
  <si>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</si>
  <si>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</si>
  <si>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</si>
  <si>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</si>
  <si>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</si>
  <si>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</si>
  <si>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</si>
  <si>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</si>
  <si>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</si>
  <si>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</si>
  <si>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</si>
  <si>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</si>
  <si>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</si>
  <si>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</si>
  <si>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</si>
  <si>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</si>
  <si>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</si>
  <si>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</si>
  <si>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</si>
  <si>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</si>
  <si>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</si>
  <si>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</si>
  <si>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</si>
  <si>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</si>
  <si>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</si>
  <si>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</si>
  <si>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</si>
  <si>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</si>
  <si>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</si>
  <si>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</si>
  <si>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</si>
  <si>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</si>
  <si>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</si>
  <si>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</si>
  <si>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</si>
  <si>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</si>
  <si>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</si>
  <si>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</si>
  <si>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</si>
  <si>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</si>
  <si>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</si>
  <si>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</si>
  <si>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</si>
  <si>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</si>
  <si>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</si>
  <si>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</si>
  <si>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</si>
  <si>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</si>
  <si>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</si>
  <si>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</si>
  <si>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</si>
  <si>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</si>
  <si>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</si>
  <si>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</si>
  <si>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</si>
  <si>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</si>
  <si>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</si>
  <si>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</si>
  <si>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</si>
  <si>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</si>
  <si>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</si>
  <si>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CHAPA DE MADEIRA COMPENSADA, NÃO INCLUSO MOBILIÁRIO E EQUIPAMENTOS. AF_02/2016</t>
  </si>
  <si>
    <t>EXECUÇÃO DE ALMOXARIFADO EM CANTEIRO DE OBRA EM CHAPA DE MADEIRA COMPENSADA, INCLUSO PRATELEIRAS. AF_02/2016</t>
  </si>
  <si>
    <t>EXECUÇÃO DE REFEITÓRIO EM CANTEIRO DE OBRA EM CHAPA DE MADEIRA COMPENSADA, NÃO INCLUSO MOBILIÁRIO E EQUIPAMENTOS. AF_02/2016</t>
  </si>
  <si>
    <t>EXECUÇÃO DE SANITÁRIO E VESTIÁRIO EM CANTEIRO DE OBRA EM CHAPA DE MADEIRA COMPENSADA,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</si>
  <si>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</si>
  <si>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</si>
  <si>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</si>
  <si>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</si>
  <si>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</si>
  <si>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</si>
  <si>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</si>
  <si>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</si>
  <si>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</si>
  <si>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</si>
  <si>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</si>
  <si>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</si>
  <si>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</si>
  <si>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</si>
  <si>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</si>
  <si>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</si>
  <si>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</si>
  <si>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</si>
  <si>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</si>
  <si>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</si>
  <si>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</si>
  <si>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</si>
  <si>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</si>
  <si>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</si>
  <si>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</si>
  <si>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</si>
  <si>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</si>
  <si>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</si>
  <si>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</si>
  <si>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</si>
  <si>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</si>
  <si>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</si>
  <si>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</si>
  <si>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</si>
  <si>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</si>
  <si>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</si>
  <si>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</si>
  <si>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</si>
  <si>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</si>
  <si>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</si>
  <si>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</si>
  <si>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</si>
  <si>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</si>
  <si>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</si>
  <si>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</si>
  <si>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</si>
  <si>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</si>
  <si>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</si>
  <si>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</si>
  <si>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</si>
  <si>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</si>
  <si>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</si>
  <si>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</si>
  <si>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</si>
  <si>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</si>
  <si>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</si>
  <si>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</si>
  <si>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</si>
  <si>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</si>
  <si>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</si>
  <si>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</si>
  <si>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</si>
  <si>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</si>
  <si>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</si>
  <si>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</si>
  <si>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</si>
  <si>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</si>
  <si>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</si>
  <si>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</si>
  <si>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</si>
  <si>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</si>
  <si>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</si>
  <si>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</si>
  <si>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</si>
  <si>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</si>
  <si>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</si>
  <si>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</si>
  <si>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</si>
  <si>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</si>
  <si>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</si>
  <si>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</si>
  <si>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</si>
  <si>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</si>
  <si>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</si>
  <si>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</si>
  <si>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</si>
  <si>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</si>
  <si>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</si>
  <si>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</si>
  <si>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</si>
  <si>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</si>
  <si>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</si>
  <si>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</si>
  <si>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</si>
  <si>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</si>
  <si>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</si>
  <si>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</si>
  <si>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</si>
  <si>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</si>
  <si>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</si>
  <si>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</si>
  <si>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</si>
  <si>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</si>
  <si>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</si>
  <si>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</si>
  <si>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</si>
  <si>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</si>
  <si>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</si>
  <si>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</si>
  <si>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</si>
  <si>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</si>
  <si>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</si>
  <si>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</si>
  <si>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</si>
  <si>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</si>
  <si>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</si>
  <si>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</si>
  <si>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</si>
  <si>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</si>
  <si>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</si>
  <si>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</si>
  <si>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</si>
  <si>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</si>
  <si>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</si>
  <si>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</si>
  <si>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</si>
  <si>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</si>
  <si>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</si>
  <si>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</si>
  <si>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</si>
  <si>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</si>
  <si>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</si>
  <si>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</si>
  <si>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</si>
  <si>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</si>
  <si>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</si>
  <si>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</si>
  <si>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</si>
  <si>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</si>
  <si>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</si>
  <si>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</si>
  <si>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</si>
  <si>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</si>
  <si>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</si>
  <si>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</si>
  <si>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</si>
  <si>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</si>
  <si>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</si>
  <si>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</si>
  <si>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</si>
  <si>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</si>
  <si>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</si>
  <si>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</si>
  <si>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</si>
  <si>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</si>
  <si>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</si>
  <si>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</si>
  <si>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</si>
  <si>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</si>
  <si>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</si>
  <si>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</si>
  <si>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</si>
  <si>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</si>
  <si>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</si>
  <si>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</si>
  <si>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</si>
  <si>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</si>
  <si>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</si>
  <si>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</si>
  <si>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</si>
  <si>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</si>
  <si>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</si>
  <si>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</si>
  <si>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</si>
  <si>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</si>
  <si>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</si>
  <si>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</si>
  <si>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</si>
  <si>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</si>
  <si>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</si>
  <si>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</si>
  <si>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</si>
  <si>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</si>
  <si>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</si>
  <si>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</si>
  <si>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</si>
  <si>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</si>
  <si>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</si>
  <si>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</si>
  <si>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</si>
  <si>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</si>
  <si>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</si>
  <si>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</si>
  <si>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</si>
  <si>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</si>
  <si>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</si>
  <si>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</si>
  <si>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</si>
  <si>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</si>
  <si>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</si>
  <si>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</si>
  <si>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</si>
  <si>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</si>
  <si>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</si>
  <si>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</si>
  <si>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</si>
  <si>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</si>
  <si>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</si>
  <si>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</si>
  <si>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</si>
  <si>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</si>
  <si>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</si>
  <si>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</si>
  <si>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</si>
  <si>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</si>
  <si>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</si>
  <si>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</si>
  <si>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</si>
  <si>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</si>
  <si>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</si>
  <si>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</si>
  <si>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</si>
  <si>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</si>
  <si>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</si>
  <si>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</si>
  <si>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</si>
  <si>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</si>
  <si>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</si>
  <si>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</si>
  <si>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</si>
  <si>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</si>
  <si>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</si>
  <si>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</si>
  <si>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</si>
  <si>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</si>
  <si>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</si>
  <si>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</si>
  <si>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</si>
  <si>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</si>
  <si>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</si>
  <si>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</si>
  <si>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</si>
  <si>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</si>
  <si>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</si>
  <si>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</si>
  <si>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</si>
  <si>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</si>
  <si>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</si>
  <si>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</si>
  <si>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</si>
  <si>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</si>
  <si>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</si>
  <si>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</si>
  <si>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</si>
  <si>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</si>
  <si>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</si>
  <si>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</si>
  <si>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</si>
  <si>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</si>
  <si>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</si>
  <si>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</si>
  <si>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</si>
  <si>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</si>
  <si>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</si>
  <si>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</si>
  <si>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</si>
  <si>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</si>
  <si>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</si>
  <si>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</si>
  <si>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</si>
  <si>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</si>
  <si>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</si>
  <si>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</si>
  <si>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</si>
  <si>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</si>
  <si>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</si>
  <si>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</si>
  <si>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</si>
  <si>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</si>
  <si>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</si>
  <si>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</si>
  <si>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</si>
  <si>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</si>
  <si>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</si>
  <si>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</si>
  <si>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</si>
  <si>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</si>
  <si>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</si>
  <si>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</si>
  <si>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</si>
  <si>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</si>
  <si>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</si>
  <si>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</si>
  <si>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</si>
  <si>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</si>
  <si>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</si>
  <si>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</si>
  <si>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</si>
  <si>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</si>
  <si>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</si>
  <si>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</si>
  <si>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</si>
  <si>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</si>
  <si>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</si>
  <si>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</si>
  <si>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</si>
  <si>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</si>
  <si>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</si>
  <si>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</si>
  <si>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</si>
  <si>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</si>
  <si>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</si>
  <si>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</si>
  <si>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</si>
  <si>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</si>
  <si>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</si>
  <si>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</si>
  <si>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</si>
  <si>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</si>
  <si>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</si>
  <si>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</si>
  <si>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</si>
  <si>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</si>
  <si>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</si>
  <si>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</si>
  <si>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</si>
  <si>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</si>
  <si>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</si>
  <si>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</si>
  <si>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</si>
  <si>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</si>
  <si>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</si>
  <si>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</si>
  <si>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</si>
  <si>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</si>
  <si>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</si>
  <si>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</si>
  <si>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</si>
  <si>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</si>
  <si>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</si>
  <si>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</si>
  <si>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</si>
  <si>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</si>
  <si>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</si>
  <si>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</si>
  <si>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</si>
  <si>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</si>
  <si>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</si>
  <si>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</si>
  <si>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</si>
  <si>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</si>
  <si>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</si>
  <si>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</si>
  <si>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</si>
  <si>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</si>
  <si>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</si>
  <si>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</si>
  <si>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</si>
  <si>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</si>
  <si>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</si>
  <si>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</si>
  <si>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</si>
  <si>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</si>
  <si>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</si>
  <si>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</si>
  <si>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</si>
  <si>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</si>
  <si>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</si>
  <si>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</si>
  <si>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</si>
  <si>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</si>
  <si>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</si>
  <si>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</si>
  <si>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</si>
  <si>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</si>
  <si>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</si>
  <si>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</si>
  <si>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</si>
  <si>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</si>
  <si>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</si>
  <si>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</si>
  <si>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</si>
  <si>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</si>
  <si>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</si>
  <si>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</si>
  <si>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</si>
  <si>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</si>
  <si>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</si>
  <si>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</si>
  <si>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</si>
  <si>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</si>
  <si>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</si>
  <si>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</si>
  <si>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</si>
  <si>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</si>
  <si>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</si>
  <si>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</si>
  <si>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</si>
  <si>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</si>
  <si>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</si>
  <si>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</si>
  <si>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</si>
  <si>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</si>
  <si>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</si>
  <si>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</si>
  <si>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</si>
  <si>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</si>
  <si>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</si>
  <si>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</si>
  <si>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</si>
  <si>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</si>
  <si>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</si>
  <si>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</si>
  <si>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</si>
  <si>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</si>
  <si>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</si>
  <si>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</si>
  <si>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</si>
  <si>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</si>
  <si>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</si>
  <si>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</si>
  <si>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</si>
  <si>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</si>
  <si>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</si>
  <si>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</si>
  <si>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</si>
  <si>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</si>
  <si>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</si>
  <si>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</si>
  <si>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</si>
  <si>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</si>
  <si>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</si>
  <si>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</si>
  <si>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</si>
  <si>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</si>
  <si>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</si>
  <si>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</si>
  <si>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</si>
  <si>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</si>
  <si>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</si>
  <si>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</si>
  <si>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</si>
  <si>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</si>
  <si>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</si>
  <si>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</si>
  <si>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</si>
  <si>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</si>
  <si>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</si>
  <si>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</si>
  <si>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</si>
  <si>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</si>
  <si>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</si>
  <si>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</si>
  <si>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</si>
  <si>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</si>
  <si>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</si>
  <si>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</si>
  <si>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</si>
  <si>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</si>
  <si>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</si>
  <si>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</si>
  <si>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</si>
  <si>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</si>
  <si>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</si>
  <si>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</si>
  <si>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</si>
  <si>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</si>
  <si>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</si>
  <si>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</si>
  <si>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</si>
  <si>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</si>
  <si>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</si>
  <si>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</si>
  <si>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</si>
  <si>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</si>
  <si>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</si>
  <si>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</si>
  <si>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</si>
  <si>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</si>
  <si>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</si>
  <si>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</si>
  <si>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</si>
  <si>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</si>
  <si>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</si>
  <si>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</si>
  <si>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</si>
  <si>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</si>
  <si>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</si>
  <si>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</si>
  <si>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</si>
  <si>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</si>
  <si>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</si>
  <si>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</si>
  <si>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</si>
  <si>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</si>
  <si>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</si>
  <si>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</si>
  <si>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</si>
  <si>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</si>
  <si>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</si>
  <si>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</si>
  <si>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</si>
  <si>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</si>
  <si>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</si>
  <si>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</si>
  <si>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</si>
  <si>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</si>
  <si>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</si>
  <si>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</si>
  <si>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</si>
  <si>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</si>
  <si>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</si>
  <si>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</si>
  <si>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</si>
  <si>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</si>
  <si>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</si>
  <si>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</si>
  <si>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</si>
  <si>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</si>
  <si>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</si>
  <si>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</si>
  <si>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</si>
  <si>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</si>
  <si>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</si>
  <si>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</si>
  <si>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</si>
  <si>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</si>
  <si>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</si>
  <si>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</si>
  <si>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</si>
  <si>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</si>
  <si>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</si>
  <si>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</si>
  <si>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</si>
  <si>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</si>
  <si>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</si>
  <si>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</si>
  <si>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</si>
  <si>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</si>
  <si>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</si>
  <si>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</si>
  <si>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</si>
  <si>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</si>
  <si>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</si>
  <si>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</si>
  <si>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</si>
  <si>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</si>
  <si>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</si>
  <si>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</si>
  <si>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</si>
  <si>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</si>
  <si>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</si>
  <si>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</si>
  <si>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</si>
  <si>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</si>
  <si>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</si>
  <si>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</si>
  <si>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</si>
  <si>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</si>
  <si>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</si>
  <si>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</si>
  <si>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</si>
  <si>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</si>
  <si>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</si>
  <si>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</si>
  <si>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</si>
  <si>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</si>
  <si>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</si>
  <si>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</si>
  <si>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</si>
  <si>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</si>
  <si>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</si>
  <si>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</si>
  <si>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</si>
  <si>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</si>
  <si>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</si>
  <si>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</si>
  <si>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</si>
  <si>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</si>
  <si>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</si>
  <si>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</si>
  <si>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</si>
  <si>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</si>
  <si>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</si>
  <si>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</si>
  <si>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</si>
  <si>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</si>
  <si>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</si>
  <si>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</si>
  <si>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</si>
  <si>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</si>
  <si>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</si>
  <si>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</si>
  <si>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</si>
  <si>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</si>
  <si>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</si>
  <si>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</si>
  <si>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</si>
  <si>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</si>
  <si>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</si>
  <si>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</si>
  <si>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</si>
  <si>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</si>
  <si>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</si>
  <si>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</si>
  <si>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</si>
  <si>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</si>
  <si>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</si>
  <si>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</si>
  <si>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</si>
  <si>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</si>
  <si>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</si>
  <si>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</si>
  <si>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</si>
  <si>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</si>
  <si>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</si>
  <si>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</si>
  <si>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</si>
  <si>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</si>
  <si>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</si>
  <si>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</si>
  <si>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</si>
  <si>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</si>
  <si>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</si>
  <si>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</si>
  <si>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</si>
  <si>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</si>
  <si>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</si>
  <si>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</si>
  <si>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</si>
  <si>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</si>
  <si>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</si>
  <si>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</si>
  <si>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</si>
  <si>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</si>
  <si>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</si>
  <si>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</si>
  <si>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</si>
  <si>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</si>
  <si>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</si>
  <si>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</si>
  <si>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</si>
  <si>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</si>
  <si>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</si>
  <si>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</si>
  <si>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</si>
  <si>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</si>
  <si>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</si>
  <si>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</si>
  <si>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</si>
  <si>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</si>
  <si>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</si>
  <si>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</si>
  <si>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</si>
  <si>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</si>
  <si>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</si>
  <si>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</si>
  <si>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</si>
  <si>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</si>
  <si>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</si>
  <si>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</si>
  <si>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</si>
  <si>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</si>
  <si>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</si>
  <si>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</si>
  <si>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</si>
  <si>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</si>
  <si>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</si>
  <si>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</si>
  <si>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</si>
  <si>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</si>
  <si>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</si>
  <si>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</si>
  <si>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</si>
  <si>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</si>
  <si>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</si>
  <si>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</si>
  <si>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</si>
  <si>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</si>
  <si>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</si>
  <si>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</si>
  <si>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</si>
  <si>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</si>
  <si>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</si>
  <si>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</si>
  <si>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</si>
  <si>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</si>
  <si>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</si>
  <si>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</si>
  <si>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</si>
  <si>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</si>
  <si>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</si>
  <si>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</si>
  <si>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</si>
  <si>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</si>
  <si>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</si>
  <si>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</si>
  <si>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</si>
  <si>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</si>
  <si>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</si>
  <si>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</si>
  <si>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</si>
  <si>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</si>
  <si>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</si>
  <si>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</si>
  <si>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</si>
  <si>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</si>
  <si>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</si>
  <si>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</si>
  <si>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</si>
  <si>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</si>
  <si>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</si>
  <si>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</si>
  <si>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</si>
  <si>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</si>
  <si>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</si>
  <si>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</si>
  <si>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</si>
  <si>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</si>
  <si>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</si>
  <si>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</si>
  <si>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</si>
  <si>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</si>
  <si>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</si>
  <si>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</si>
  <si>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</si>
  <si>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</si>
  <si>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</si>
  <si>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</si>
  <si>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</si>
  <si>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</si>
  <si>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</si>
  <si>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</si>
  <si>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</si>
  <si>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</si>
  <si>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</si>
  <si>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</si>
  <si>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</si>
  <si>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</si>
  <si>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</si>
  <si>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</si>
  <si>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</si>
  <si>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</si>
  <si>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</si>
  <si>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</si>
  <si>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</si>
  <si>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</si>
  <si>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</si>
  <si>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</si>
  <si>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</si>
  <si>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</si>
  <si>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</si>
  <si>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</si>
  <si>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</si>
  <si>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</si>
  <si>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</si>
  <si>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</si>
  <si>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</si>
  <si>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</si>
  <si>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</si>
  <si>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</si>
  <si>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</si>
  <si>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</si>
  <si>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</si>
  <si>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</si>
  <si>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</si>
  <si>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</si>
  <si>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</si>
  <si>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</si>
  <si>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</si>
  <si>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</si>
  <si>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</si>
  <si>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</si>
  <si>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</si>
  <si>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</si>
  <si>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</si>
  <si>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</si>
  <si>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</si>
  <si>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</si>
  <si>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</si>
  <si>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</si>
  <si>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</si>
  <si>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</si>
  <si>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</si>
  <si>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</si>
  <si>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</si>
  <si>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</si>
  <si>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</si>
  <si>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</si>
  <si>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</si>
  <si>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</si>
  <si>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</si>
  <si>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</si>
  <si>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</si>
  <si>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</si>
  <si>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</si>
  <si>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</si>
  <si>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</si>
  <si>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</si>
  <si>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</si>
  <si>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</si>
  <si>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</si>
  <si>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</si>
  <si>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</si>
  <si>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</si>
  <si>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</si>
  <si>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</si>
  <si>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</si>
  <si>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</si>
  <si>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</si>
  <si>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</si>
  <si>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</si>
  <si>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</si>
  <si>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</si>
  <si>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</si>
  <si>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</si>
  <si>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</si>
  <si>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</si>
  <si>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</si>
  <si>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</si>
  <si>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</si>
  <si>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</si>
  <si>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</si>
  <si>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</si>
  <si>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</si>
  <si>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</si>
  <si>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</si>
  <si>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</si>
  <si>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</si>
  <si>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</si>
  <si>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</si>
  <si>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</si>
  <si>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</si>
  <si>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</si>
  <si>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</si>
  <si>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</si>
  <si>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</si>
  <si>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</si>
  <si>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</si>
  <si>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</si>
  <si>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</si>
  <si>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</si>
  <si>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</si>
  <si>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</si>
  <si>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</si>
  <si>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</si>
  <si>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</si>
  <si>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</si>
  <si>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</si>
  <si>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</si>
  <si>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</si>
  <si>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</si>
  <si>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</si>
  <si>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</si>
  <si>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</si>
  <si>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</si>
  <si>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</si>
  <si>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</si>
  <si>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</si>
  <si>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</si>
  <si>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</si>
  <si>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</si>
  <si>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</si>
  <si>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</si>
  <si>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</si>
  <si>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</si>
  <si>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</si>
  <si>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</si>
  <si>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</si>
  <si>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</si>
  <si>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</si>
  <si>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</si>
  <si>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</si>
  <si>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</si>
  <si>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</si>
  <si>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</si>
  <si>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</si>
  <si>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</si>
  <si>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</si>
  <si>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</si>
  <si>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</si>
  <si>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</si>
  <si>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</si>
  <si>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</si>
  <si>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</si>
  <si>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</si>
  <si>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</si>
  <si>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</si>
  <si>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</si>
  <si>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</si>
  <si>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</si>
  <si>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</si>
  <si>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</si>
  <si>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</si>
  <si>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</si>
  <si>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</si>
  <si>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</si>
  <si>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</si>
  <si>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</si>
  <si>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</si>
  <si>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</si>
  <si>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73816/1</t>
  </si>
  <si>
    <t>EXECUCAO DE DRENO COM TUBOS DE PVC CORRUGADO FLEXIVEL PERFURADO - DN 100</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</si>
  <si>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</si>
  <si>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</si>
  <si>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</si>
  <si>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</si>
  <si>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</si>
  <si>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</si>
  <si>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</si>
  <si>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</si>
  <si>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</si>
  <si>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</si>
  <si>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</si>
  <si>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</si>
  <si>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</si>
  <si>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</si>
  <si>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</si>
  <si>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</si>
  <si>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</si>
  <si>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</si>
  <si>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</si>
  <si>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</si>
  <si>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</si>
  <si>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</si>
  <si>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</si>
  <si>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</si>
  <si>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</si>
  <si>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</si>
  <si>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</si>
  <si>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</si>
  <si>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</si>
  <si>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</si>
  <si>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</si>
  <si>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</si>
  <si>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</si>
  <si>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</si>
  <si>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</si>
  <si>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</si>
  <si>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</si>
  <si>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</si>
  <si>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</si>
  <si>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</si>
  <si>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</si>
  <si>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</si>
  <si>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</si>
  <si>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</si>
  <si>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</si>
  <si>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</si>
  <si>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</si>
  <si>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</si>
  <si>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</si>
  <si>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</si>
  <si>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</si>
  <si>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</si>
  <si>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</si>
  <si>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</si>
  <si>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</si>
  <si>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</si>
  <si>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</si>
  <si>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</si>
  <si>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</si>
  <si>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</si>
  <si>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</si>
  <si>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</si>
  <si>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</si>
  <si>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</si>
  <si>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</si>
  <si>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</si>
  <si>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</si>
  <si>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</si>
  <si>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</si>
  <si>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</si>
  <si>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</si>
  <si>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</si>
  <si>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</si>
  <si>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</si>
  <si>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</si>
  <si>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</si>
  <si>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</si>
  <si>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</si>
  <si>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</si>
  <si>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</si>
  <si>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</si>
  <si>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</si>
  <si>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</si>
  <si>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</si>
  <si>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</si>
  <si>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</si>
  <si>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</si>
  <si>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</si>
  <si>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</si>
  <si>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</si>
  <si>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</si>
  <si>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</si>
  <si>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</si>
  <si>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</si>
  <si>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</si>
  <si>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</si>
  <si>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</si>
  <si>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</si>
  <si>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</si>
  <si>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</si>
  <si>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</si>
  <si>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</si>
  <si>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</si>
  <si>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</si>
  <si>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</si>
  <si>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</si>
  <si>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</si>
  <si>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</si>
  <si>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</si>
  <si>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</si>
  <si>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</si>
  <si>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</si>
  <si>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</si>
  <si>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</si>
  <si>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</si>
  <si>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</si>
  <si>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</si>
  <si>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</si>
  <si>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</si>
  <si>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</si>
  <si>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</si>
  <si>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</si>
  <si>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</si>
  <si>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</si>
  <si>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</si>
  <si>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</si>
  <si>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</si>
  <si>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</si>
  <si>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</si>
  <si>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</si>
  <si>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</si>
  <si>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</si>
  <si>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</si>
  <si>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</si>
  <si>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</si>
  <si>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</si>
  <si>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</si>
  <si>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</si>
  <si>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</si>
  <si>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</si>
  <si>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</si>
  <si>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</si>
  <si>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</si>
  <si>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</si>
  <si>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</si>
  <si>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</si>
  <si>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</si>
  <si>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</si>
  <si>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</si>
  <si>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</si>
  <si>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</si>
  <si>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</si>
  <si>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</si>
  <si>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</si>
  <si>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</si>
  <si>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</si>
  <si>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</si>
  <si>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</si>
  <si>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</si>
  <si>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</si>
  <si>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</si>
  <si>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</si>
  <si>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</si>
  <si>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</si>
  <si>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</si>
  <si>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</si>
  <si>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</si>
  <si>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</si>
  <si>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</si>
  <si>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</si>
  <si>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</si>
  <si>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</si>
  <si>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</si>
  <si>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</si>
  <si>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</si>
  <si>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</si>
  <si>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</si>
  <si>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</si>
  <si>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</si>
  <si>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</si>
  <si>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</si>
  <si>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</si>
  <si>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</si>
  <si>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</si>
  <si>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</si>
  <si>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</si>
  <si>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</si>
  <si>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</si>
  <si>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</si>
  <si>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</si>
  <si>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</si>
  <si>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</si>
  <si>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</si>
  <si>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</si>
  <si>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</si>
  <si>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</si>
  <si>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</si>
  <si>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</si>
  <si>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</si>
  <si>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</si>
  <si>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</si>
  <si>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</si>
  <si>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</si>
  <si>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</si>
  <si>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</si>
  <si>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</si>
  <si>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</si>
  <si>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</si>
  <si>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</si>
  <si>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</si>
  <si>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</si>
  <si>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</si>
  <si>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</si>
  <si>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</si>
  <si>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</si>
  <si>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</si>
  <si>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</si>
  <si>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</si>
  <si>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</si>
  <si>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</si>
  <si>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</si>
  <si>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</si>
  <si>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</si>
  <si>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</si>
  <si>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</si>
  <si>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</si>
  <si>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</si>
  <si>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</si>
  <si>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</si>
  <si>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</si>
  <si>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</si>
  <si>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</si>
  <si>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</si>
  <si>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</si>
  <si>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</si>
  <si>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</si>
  <si>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</si>
  <si>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</si>
  <si>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</si>
  <si>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</si>
  <si>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</si>
  <si>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</si>
  <si>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</si>
  <si>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</si>
  <si>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</si>
  <si>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</si>
  <si>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</si>
  <si>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</si>
  <si>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</si>
  <si>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</si>
  <si>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</si>
  <si>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</si>
  <si>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</si>
  <si>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</si>
  <si>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</si>
  <si>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</si>
  <si>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</si>
  <si>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</si>
  <si>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</si>
  <si>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</si>
  <si>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</si>
  <si>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</si>
  <si>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</si>
  <si>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</si>
  <si>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</si>
  <si>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</si>
  <si>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</si>
  <si>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</si>
  <si>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</si>
  <si>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</si>
  <si>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</si>
  <si>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</si>
  <si>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</si>
  <si>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</si>
  <si>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</si>
  <si>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</si>
  <si>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</si>
  <si>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</si>
  <si>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</si>
  <si>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</si>
  <si>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</si>
  <si>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</si>
  <si>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</si>
  <si>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</si>
  <si>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</si>
  <si>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</si>
  <si>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</si>
  <si>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</si>
  <si>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</si>
  <si>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</si>
  <si>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</si>
  <si>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</si>
  <si>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</si>
  <si>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</si>
  <si>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</si>
  <si>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</si>
  <si>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</si>
  <si>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</si>
  <si>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</si>
  <si>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</si>
  <si>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</si>
  <si>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</si>
  <si>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</si>
  <si>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</si>
  <si>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</si>
  <si>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</si>
  <si>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</si>
  <si>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</si>
  <si>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</si>
  <si>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</si>
  <si>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</si>
  <si>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</si>
  <si>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</si>
  <si>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</si>
  <si>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</si>
  <si>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</si>
  <si>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</si>
  <si>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</si>
  <si>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</si>
  <si>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</si>
  <si>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</si>
  <si>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</si>
  <si>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</si>
  <si>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</si>
  <si>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</si>
  <si>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</si>
  <si>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</si>
  <si>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</si>
  <si>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</si>
  <si>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</si>
  <si>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</si>
  <si>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</si>
  <si>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</si>
  <si>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</si>
  <si>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</si>
  <si>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</si>
  <si>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</si>
  <si>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</si>
  <si>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</si>
  <si>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</si>
  <si>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</si>
  <si>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</si>
  <si>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</si>
  <si>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</si>
  <si>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</si>
  <si>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</si>
  <si>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</si>
  <si>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</si>
  <si>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</si>
  <si>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</si>
  <si>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</si>
  <si>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</si>
  <si>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</si>
  <si>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</si>
  <si>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</si>
  <si>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</si>
  <si>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</si>
  <si>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</si>
  <si>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 TIPO MARINHEIRO EM ACO CA-50 9,52MM INCLUSO PINTURA COM FUNDO ANTICORROSIVO TIPO ZARCAO</t>
  </si>
  <si>
    <t>74194/1</t>
  </si>
  <si>
    <t>ESCADA TIPO MARINHEIRO EM TUBO ACO GALVANIZADO 1 1/2" 5 DEGRAUS</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</si>
  <si>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</si>
  <si>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</si>
  <si>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</si>
  <si>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</si>
  <si>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</si>
  <si>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</si>
  <si>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</si>
  <si>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</si>
  <si>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</si>
  <si>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</si>
  <si>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</si>
  <si>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</si>
  <si>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</si>
  <si>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</si>
  <si>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</si>
  <si>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</si>
  <si>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</si>
  <si>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</si>
  <si>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</si>
  <si>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</si>
  <si>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</si>
  <si>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</si>
  <si>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</si>
  <si>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</si>
  <si>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</si>
  <si>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</si>
  <si>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</si>
  <si>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</si>
  <si>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</si>
  <si>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</si>
  <si>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</si>
  <si>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</si>
  <si>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</si>
  <si>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</si>
  <si>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</si>
  <si>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</si>
  <si>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</si>
  <si>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</si>
  <si>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</si>
  <si>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</si>
  <si>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</si>
  <si>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</si>
  <si>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</si>
  <si>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</si>
  <si>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</si>
  <si>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</si>
  <si>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</si>
  <si>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</si>
  <si>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</si>
  <si>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</si>
  <si>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</si>
  <si>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</si>
  <si>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</si>
  <si>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</si>
  <si>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</si>
  <si>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</si>
  <si>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</si>
  <si>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</si>
  <si>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</si>
  <si>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</si>
  <si>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</si>
  <si>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</si>
  <si>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</si>
  <si>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</si>
  <si>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</si>
  <si>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</si>
  <si>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</si>
  <si>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</si>
  <si>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</si>
  <si>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</si>
  <si>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</si>
  <si>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</si>
  <si>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</si>
  <si>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</si>
  <si>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</si>
  <si>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</si>
  <si>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</si>
  <si>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</si>
  <si>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</si>
  <si>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</si>
  <si>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</si>
  <si>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</si>
  <si>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</si>
  <si>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</si>
  <si>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</si>
  <si>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</si>
  <si>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</si>
  <si>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</si>
  <si>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</si>
  <si>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</si>
  <si>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</si>
  <si>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</si>
  <si>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</si>
  <si>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</si>
  <si>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</si>
  <si>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</si>
  <si>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</si>
  <si>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</si>
  <si>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</si>
  <si>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</si>
  <si>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</si>
  <si>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</si>
  <si>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</si>
  <si>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</si>
  <si>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</si>
  <si>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</si>
  <si>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</si>
  <si>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</si>
  <si>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</si>
  <si>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</si>
  <si>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</si>
  <si>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</si>
  <si>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</si>
  <si>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</si>
  <si>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</si>
  <si>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</si>
  <si>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</si>
  <si>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</si>
  <si>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</si>
  <si>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</si>
  <si>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</si>
  <si>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</si>
  <si>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</si>
  <si>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</si>
  <si>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</si>
  <si>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</si>
  <si>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</si>
  <si>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</si>
  <si>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</si>
  <si>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</si>
  <si>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</si>
  <si>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</si>
  <si>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</si>
  <si>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</si>
  <si>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</si>
  <si>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</si>
  <si>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</si>
  <si>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</si>
  <si>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</si>
  <si>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</si>
  <si>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</si>
  <si>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</si>
  <si>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</si>
  <si>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</si>
  <si>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</si>
  <si>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</si>
  <si>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</si>
  <si>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</si>
  <si>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</si>
  <si>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</si>
  <si>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</si>
  <si>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</si>
  <si>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</si>
  <si>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</si>
  <si>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</si>
  <si>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</si>
  <si>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</si>
  <si>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</si>
  <si>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</si>
  <si>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</si>
  <si>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</si>
  <si>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</si>
  <si>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</si>
  <si>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</si>
  <si>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</si>
  <si>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</si>
  <si>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</si>
  <si>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</si>
  <si>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</si>
  <si>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</si>
  <si>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</si>
  <si>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</si>
  <si>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</si>
  <si>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</si>
  <si>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</si>
  <si>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</si>
  <si>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</si>
  <si>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</si>
  <si>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</si>
  <si>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</si>
  <si>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</si>
  <si>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</si>
  <si>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</si>
  <si>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</si>
  <si>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</si>
  <si>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</si>
  <si>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</si>
  <si>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</si>
  <si>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</si>
  <si>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</si>
  <si>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</si>
  <si>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</si>
  <si>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</si>
  <si>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</si>
  <si>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</si>
  <si>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</si>
  <si>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</si>
  <si>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</si>
  <si>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</si>
  <si>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</si>
  <si>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</si>
  <si>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</si>
  <si>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</si>
  <si>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</si>
  <si>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</si>
  <si>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</si>
  <si>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</si>
  <si>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</si>
  <si>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</si>
  <si>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</si>
  <si>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</si>
  <si>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</si>
  <si>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</si>
  <si>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</si>
  <si>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</si>
  <si>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</si>
  <si>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</si>
  <si>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</si>
  <si>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</si>
  <si>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</si>
  <si>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</si>
  <si>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</si>
  <si>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</si>
  <si>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</si>
  <si>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</si>
  <si>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</si>
  <si>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</si>
  <si>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</si>
  <si>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</si>
  <si>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</si>
  <si>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</si>
  <si>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</si>
  <si>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</si>
  <si>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</si>
  <si>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</si>
  <si>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</si>
  <si>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</si>
  <si>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</si>
  <si>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</si>
  <si>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</si>
  <si>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</si>
  <si>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</si>
  <si>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</si>
  <si>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</si>
  <si>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</si>
  <si>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</si>
  <si>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</si>
  <si>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</si>
  <si>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</si>
  <si>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</si>
  <si>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</si>
  <si>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</si>
  <si>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</si>
  <si>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</si>
  <si>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</si>
  <si>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</si>
  <si>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</si>
  <si>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</si>
  <si>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</si>
  <si>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</si>
  <si>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</si>
  <si>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</si>
  <si>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</si>
  <si>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</si>
  <si>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</si>
  <si>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</si>
  <si>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</si>
  <si>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</si>
  <si>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</si>
  <si>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</si>
  <si>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</si>
  <si>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</si>
  <si>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</si>
  <si>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</si>
  <si>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</si>
  <si>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</si>
  <si>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</si>
  <si>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</si>
  <si>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</si>
  <si>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</si>
  <si>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</si>
  <si>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</si>
  <si>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</si>
  <si>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</si>
  <si>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</si>
  <si>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</si>
  <si>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</si>
  <si>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</si>
  <si>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</si>
  <si>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</si>
  <si>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</si>
  <si>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</si>
  <si>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</si>
  <si>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</si>
  <si>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</si>
  <si>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</si>
  <si>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</si>
  <si>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</si>
  <si>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</si>
  <si>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</si>
  <si>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</si>
  <si>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</si>
  <si>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</si>
  <si>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</si>
  <si>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</si>
  <si>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</si>
  <si>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</si>
  <si>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</si>
  <si>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</si>
  <si>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</si>
  <si>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</si>
  <si>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</si>
  <si>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</si>
  <si>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</si>
  <si>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</si>
  <si>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</si>
  <si>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</si>
  <si>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</si>
  <si>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</si>
  <si>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</si>
  <si>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</si>
  <si>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</si>
  <si>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</si>
  <si>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</si>
  <si>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</si>
  <si>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</si>
  <si>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</si>
  <si>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</si>
  <si>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</si>
  <si>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</si>
  <si>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</si>
  <si>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</si>
  <si>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</si>
  <si>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</si>
  <si>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</si>
  <si>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</si>
  <si>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</si>
  <si>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</si>
  <si>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</si>
  <si>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</si>
  <si>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</si>
  <si>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</si>
  <si>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</si>
  <si>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</si>
  <si>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</si>
  <si>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</si>
  <si>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</si>
  <si>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</si>
  <si>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</si>
  <si>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</si>
  <si>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</si>
  <si>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</si>
  <si>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</si>
  <si>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</si>
  <si>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</si>
  <si>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</si>
  <si>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</si>
  <si>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</si>
  <si>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</si>
  <si>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</si>
  <si>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</si>
  <si>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</si>
  <si>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</si>
  <si>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</si>
  <si>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</si>
  <si>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</si>
  <si>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</si>
  <si>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</si>
  <si>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</si>
  <si>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</si>
  <si>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</si>
  <si>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</si>
  <si>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</si>
  <si>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</si>
  <si>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</si>
  <si>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</si>
  <si>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</si>
  <si>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</si>
  <si>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</si>
  <si>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</si>
  <si>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</si>
  <si>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</si>
  <si>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</si>
  <si>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</si>
  <si>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</si>
  <si>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</si>
  <si>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</si>
  <si>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</si>
  <si>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</si>
  <si>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</si>
  <si>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</si>
  <si>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</si>
  <si>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</si>
  <si>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</si>
  <si>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</si>
  <si>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</si>
  <si>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</si>
  <si>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</si>
  <si>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</si>
  <si>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</si>
  <si>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</si>
  <si>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</si>
  <si>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</si>
  <si>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</si>
  <si>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</si>
  <si>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</si>
  <si>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</si>
  <si>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</si>
  <si>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</si>
  <si>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</si>
  <si>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</si>
  <si>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</si>
  <si>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</si>
  <si>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</si>
  <si>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</si>
  <si>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</si>
  <si>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</si>
  <si>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</si>
  <si>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</si>
  <si>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</si>
  <si>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</si>
  <si>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</si>
  <si>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</si>
  <si>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</si>
  <si>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</si>
  <si>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</si>
  <si>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</si>
  <si>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</si>
  <si>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</si>
  <si>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</si>
  <si>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</si>
  <si>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</si>
  <si>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</si>
  <si>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</si>
  <si>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</si>
  <si>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</si>
  <si>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</si>
  <si>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</si>
  <si>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</si>
  <si>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</si>
  <si>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</si>
  <si>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</si>
  <si>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</si>
  <si>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</si>
  <si>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</si>
  <si>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</si>
  <si>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</si>
  <si>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</si>
  <si>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</si>
  <si>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</si>
  <si>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</si>
  <si>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</si>
  <si>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</si>
  <si>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</si>
  <si>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</si>
  <si>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</si>
  <si>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</si>
  <si>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</si>
  <si>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</si>
  <si>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</si>
  <si>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</si>
  <si>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</si>
  <si>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</si>
  <si>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</si>
  <si>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</si>
  <si>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</si>
  <si>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</si>
  <si>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</si>
  <si>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</si>
  <si>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</si>
  <si>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</si>
  <si>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</si>
  <si>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</si>
  <si>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</si>
  <si>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</si>
  <si>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</si>
  <si>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</si>
  <si>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</si>
  <si>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</si>
  <si>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</si>
  <si>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</si>
  <si>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</si>
  <si>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</si>
  <si>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</si>
  <si>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</si>
  <si>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</si>
  <si>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</si>
  <si>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</si>
  <si>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</si>
  <si>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</si>
  <si>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</si>
  <si>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</si>
  <si>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</si>
  <si>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</si>
  <si>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</si>
  <si>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</si>
  <si>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</si>
  <si>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</si>
  <si>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</si>
  <si>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</si>
  <si>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</si>
  <si>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</si>
  <si>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</si>
  <si>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</si>
  <si>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</si>
  <si>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</si>
  <si>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</si>
  <si>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</si>
  <si>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</si>
  <si>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</si>
  <si>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</si>
  <si>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</si>
  <si>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</si>
  <si>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</si>
  <si>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</si>
  <si>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</si>
  <si>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</si>
  <si>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</si>
  <si>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</si>
  <si>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</si>
  <si>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</si>
  <si>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</si>
  <si>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</si>
  <si>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</si>
  <si>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</si>
  <si>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</si>
  <si>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</si>
  <si>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</si>
  <si>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</si>
  <si>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</si>
  <si>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</si>
  <si>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</si>
  <si>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</si>
  <si>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</si>
  <si>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</si>
  <si>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</si>
  <si>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</si>
  <si>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</si>
  <si>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</si>
  <si>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</si>
  <si>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</si>
  <si>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</si>
  <si>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</si>
  <si>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</si>
  <si>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</si>
  <si>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</si>
  <si>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</si>
  <si>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</si>
  <si>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</si>
  <si>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</si>
  <si>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</si>
  <si>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</si>
  <si>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</si>
  <si>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</si>
  <si>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</si>
  <si>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</si>
  <si>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</si>
  <si>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</si>
  <si>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</si>
  <si>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</si>
  <si>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</si>
  <si>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</si>
  <si>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</si>
  <si>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</si>
  <si>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</si>
  <si>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</si>
  <si>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</si>
  <si>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</si>
  <si>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</si>
  <si>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</si>
  <si>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</si>
  <si>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</si>
  <si>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</si>
  <si>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</si>
  <si>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</si>
  <si>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</si>
  <si>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</si>
  <si>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</si>
  <si>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</si>
  <si>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</si>
  <si>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</si>
  <si>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</si>
  <si>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</si>
  <si>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</si>
  <si>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</si>
  <si>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</si>
  <si>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</si>
  <si>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</si>
  <si>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</si>
  <si>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</si>
  <si>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</si>
  <si>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</si>
  <si>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</si>
  <si>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</si>
  <si>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</si>
  <si>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</si>
  <si>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</si>
  <si>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</si>
  <si>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</si>
  <si>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</si>
  <si>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</si>
  <si>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</si>
  <si>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</si>
  <si>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</si>
  <si>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</si>
  <si>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</si>
  <si>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</si>
  <si>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</si>
  <si>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</si>
  <si>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</si>
  <si>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</si>
  <si>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</si>
  <si>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</si>
  <si>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</si>
  <si>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</si>
  <si>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</si>
  <si>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</si>
  <si>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</si>
  <si>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</si>
  <si>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</si>
  <si>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</si>
  <si>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</si>
  <si>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</si>
  <si>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</si>
  <si>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</si>
  <si>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</si>
  <si>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</si>
  <si>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</si>
  <si>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</si>
  <si>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</si>
  <si>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</si>
  <si>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</si>
  <si>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</si>
  <si>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</si>
  <si>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</si>
  <si>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</si>
  <si>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</si>
  <si>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</si>
  <si>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B,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</si>
  <si>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</si>
  <si>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</si>
  <si>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</si>
  <si>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</si>
  <si>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</si>
  <si>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</si>
  <si>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</si>
  <si>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</si>
  <si>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</si>
  <si>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</si>
  <si>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</si>
  <si>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</si>
  <si>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</si>
  <si>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</si>
  <si>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</si>
  <si>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</si>
  <si>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</si>
  <si>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</si>
  <si>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</si>
  <si>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</si>
  <si>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</si>
  <si>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</si>
  <si>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</si>
  <si>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</si>
  <si>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</si>
  <si>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</si>
  <si>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</si>
  <si>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</si>
  <si>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</si>
  <si>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</si>
  <si>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</si>
  <si>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</si>
  <si>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</si>
  <si>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</si>
  <si>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</si>
  <si>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</si>
  <si>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</si>
  <si>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</si>
  <si>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</si>
  <si>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</si>
  <si>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</si>
  <si>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</si>
  <si>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</si>
  <si>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</si>
  <si>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</si>
  <si>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</si>
  <si>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</si>
  <si>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</si>
  <si>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</si>
  <si>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</si>
  <si>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</si>
  <si>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</si>
  <si>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</si>
  <si>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</si>
  <si>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</si>
  <si>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</si>
  <si>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</si>
  <si>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</si>
  <si>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</si>
  <si>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</si>
  <si>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</si>
  <si>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</si>
  <si>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</si>
  <si>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</si>
  <si>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</si>
  <si>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</si>
  <si>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</si>
  <si>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</si>
  <si>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</si>
  <si>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</si>
  <si>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</si>
  <si>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16A - FORNECIMENTO E INSTALAÇÃO. AF_04/2016</t>
  </si>
  <si>
    <t>DISJUNTOR MONOPOLAR TIPO DIN, CORRENTE NOMINAL DE 25A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</si>
  <si>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</si>
  <si>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</si>
  <si>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16A - FORNECIMENTO E INSTALAÇÃO. AF_04/2016</t>
  </si>
  <si>
    <t>DISJUNTOR TRIPOLAR TIPO DIN, CORRENTE NOMINAL DE 10A - FORNECIMENTO E INSTALAÇÃO. AF_04/2016</t>
  </si>
  <si>
    <t>DISJUNTOR TRIPOLAR TIPO DIN, CORRENTE NOMINAL DE 20A - FORNECIMENTO E INSTALAÇÃO. AF_04/2016</t>
  </si>
  <si>
    <t>DISJUNTOR TRIPOLAR TIPO DIN, CORRENTE NOMINAL DE 25A - FORNECIMENTO E INSTALAÇÃO. AF_04/2016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</si>
  <si>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</si>
  <si>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</si>
  <si>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</si>
  <si>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</si>
  <si>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</si>
  <si>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</si>
  <si>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</si>
  <si>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</si>
  <si>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</si>
  <si>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</si>
  <si>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</si>
  <si>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PARALELO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</si>
  <si>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</si>
  <si>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</si>
  <si>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</si>
  <si>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</si>
  <si>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</si>
  <si>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</si>
  <si>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</si>
  <si>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</si>
  <si>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</si>
  <si>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</si>
  <si>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</si>
  <si>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</si>
  <si>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</si>
  <si>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</si>
  <si>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</si>
  <si>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</si>
  <si>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</si>
  <si>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</si>
  <si>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</si>
  <si>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</si>
  <si>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</si>
  <si>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</si>
  <si>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</si>
  <si>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</si>
  <si>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</si>
  <si>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</si>
  <si>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</si>
  <si>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</si>
  <si>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</si>
  <si>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</si>
  <si>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</si>
  <si>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</si>
  <si>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</si>
  <si>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</si>
  <si>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</si>
  <si>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</si>
  <si>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</si>
  <si>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</si>
  <si>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</si>
  <si>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</si>
  <si>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</si>
  <si>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</si>
  <si>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</si>
  <si>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</si>
  <si>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</si>
  <si>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</si>
  <si>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</si>
  <si>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</si>
  <si>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</si>
  <si>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</si>
  <si>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</si>
  <si>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</si>
  <si>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</si>
  <si>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</si>
  <si>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</si>
  <si>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</si>
  <si>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</si>
  <si>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</si>
  <si>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</si>
  <si>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</si>
  <si>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</si>
  <si>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</si>
  <si>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</si>
  <si>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</si>
  <si>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</si>
  <si>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</si>
  <si>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</si>
  <si>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</si>
  <si>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</si>
  <si>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</si>
  <si>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</si>
  <si>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</si>
  <si>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</si>
  <si>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</si>
  <si>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</si>
  <si>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</si>
  <si>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</si>
  <si>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</si>
  <si>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</si>
  <si>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</si>
  <si>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</si>
  <si>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</si>
  <si>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</si>
  <si>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</si>
  <si>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</si>
  <si>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</si>
  <si>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</si>
  <si>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</si>
  <si>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</si>
  <si>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</si>
  <si>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</si>
  <si>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</si>
  <si>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</si>
  <si>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</si>
  <si>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</si>
  <si>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</si>
  <si>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</si>
  <si>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</si>
  <si>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</si>
  <si>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</si>
  <si>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</si>
  <si>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</si>
  <si>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</si>
  <si>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</si>
  <si>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</si>
  <si>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</si>
  <si>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</si>
  <si>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</si>
  <si>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</si>
  <si>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</si>
  <si>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</si>
  <si>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</si>
  <si>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</si>
  <si>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</si>
  <si>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</si>
  <si>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</si>
  <si>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</si>
  <si>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</si>
  <si>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</si>
  <si>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</si>
  <si>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</si>
  <si>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</si>
  <si>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</si>
  <si>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</si>
  <si>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</si>
  <si>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</si>
  <si>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</si>
  <si>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</si>
  <si>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</si>
  <si>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</si>
  <si>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</si>
  <si>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</si>
  <si>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</si>
  <si>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</si>
  <si>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</si>
  <si>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</si>
  <si>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</si>
  <si>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</si>
  <si>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</si>
  <si>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</si>
  <si>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</si>
  <si>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</si>
  <si>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</si>
  <si>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</si>
  <si>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</si>
  <si>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</si>
  <si>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</si>
  <si>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</si>
  <si>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</si>
  <si>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</si>
  <si>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</si>
  <si>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</si>
  <si>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</si>
  <si>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</si>
  <si>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</si>
  <si>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</si>
  <si>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</si>
  <si>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</si>
  <si>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</si>
  <si>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</si>
  <si>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</si>
  <si>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</si>
  <si>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</si>
  <si>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</si>
  <si>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75X45X17CM, COM REGISTRO GLOBO ANGULAR 45º 2.1/2", ADAPTADOR STORZ 2.1/2", MANGUEIRA DE INCÊNDIO 15M, REDUÇÃO 2.1/2X1.1/2" E ESGUICHO EM LATÃO 1.1/2" - FORNECIMENTO E INSTALAÇÃO</t>
  </si>
  <si>
    <t>CAIXA DE INCÊNDIO 45X75X17CM - FORNECIMENTO E INSTALAÇÃO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</si>
  <si>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</si>
  <si>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</si>
  <si>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</si>
  <si>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</si>
  <si>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</si>
  <si>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</si>
  <si>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ABRIGO PARA HIDRANTE, 90X60X17CM, COM REGISTRO GLOBO ANGULAR 45 GRAUS 2 1/2", ADAPTADOR STORZ 2 1/2", MANGUEIRA DE INCÊNDIO 20M, REDUÇÃO 2 1/2 X 1 1/2" E ESGUICHO EM LATÃO 1 1/2" - FORNECIMENTO E INSTALAÇÃO. AF_08/2017</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</si>
  <si>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</si>
  <si>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</si>
  <si>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</si>
  <si>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</si>
  <si>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</si>
  <si>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</si>
  <si>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</si>
  <si>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</si>
  <si>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PINTURA ANTICORROSIVA DE DUTO METÁLICO. AF_04/2018</t>
  </si>
  <si>
    <t>74003/1</t>
  </si>
  <si>
    <t>INSTALACOES GAS CENTRAL P/ EDIFICIO RESIDENCIAL C/ 4 PAVTOS 16 UNID.  UMA CENTRAL POR BLOCO COM 16 PONTOS</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</si>
  <si>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</si>
  <si>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</si>
  <si>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</si>
  <si>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</si>
  <si>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</si>
  <si>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</si>
  <si>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</si>
  <si>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</si>
  <si>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</si>
  <si>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20MM,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</si>
  <si>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</si>
  <si>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</si>
  <si>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</si>
  <si>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60MM, INSTALADO EM PRUMADA DE ÁGUA - FORNECIMENTO E INSTALAÇÃO. AF_12/2014</t>
  </si>
  <si>
    <t>TUBO PVC, SÉRIE R, ÁGUA PLUVIAL, DN 40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</si>
  <si>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</si>
  <si>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</si>
  <si>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</si>
  <si>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</si>
  <si>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</si>
  <si>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</si>
  <si>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</si>
  <si>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</si>
  <si>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</si>
  <si>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</si>
  <si>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</si>
  <si>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</si>
  <si>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</si>
  <si>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</si>
  <si>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</si>
  <si>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</si>
  <si>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</si>
  <si>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</si>
  <si>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</si>
  <si>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</si>
  <si>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</si>
  <si>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</si>
  <si>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</si>
  <si>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</si>
  <si>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</si>
  <si>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</si>
  <si>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</si>
  <si>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</si>
  <si>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</si>
  <si>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</si>
  <si>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</si>
  <si>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</si>
  <si>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</si>
  <si>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</si>
  <si>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</si>
  <si>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</si>
  <si>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</si>
  <si>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</si>
  <si>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</si>
  <si>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</si>
  <si>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</si>
  <si>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</si>
  <si>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</si>
  <si>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</si>
  <si>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</si>
  <si>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</si>
  <si>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</si>
  <si>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</si>
  <si>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</si>
  <si>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</si>
  <si>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</si>
  <si>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</si>
  <si>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</si>
  <si>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</si>
  <si>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</si>
  <si>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</si>
  <si>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</si>
  <si>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</si>
  <si>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</si>
  <si>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</si>
  <si>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</si>
  <si>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</si>
  <si>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</si>
  <si>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</si>
  <si>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</si>
  <si>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</si>
  <si>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</si>
  <si>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</si>
  <si>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</si>
  <si>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</si>
  <si>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</si>
  <si>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</si>
  <si>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</si>
  <si>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</si>
  <si>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</si>
  <si>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</si>
  <si>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</si>
  <si>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</si>
  <si>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</si>
  <si>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</si>
  <si>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</si>
  <si>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</si>
  <si>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</si>
  <si>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</si>
  <si>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</si>
  <si>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</si>
  <si>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</si>
  <si>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</si>
  <si>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</si>
  <si>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</si>
  <si>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</si>
  <si>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</si>
  <si>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</si>
  <si>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</si>
  <si>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</si>
  <si>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</si>
  <si>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</si>
  <si>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</si>
  <si>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</si>
  <si>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</si>
  <si>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</si>
  <si>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</si>
  <si>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</si>
  <si>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</si>
  <si>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</si>
  <si>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</si>
  <si>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</si>
  <si>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</si>
  <si>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</si>
  <si>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</si>
  <si>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</si>
  <si>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</si>
  <si>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</si>
  <si>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</si>
  <si>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</si>
  <si>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</si>
  <si>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</si>
  <si>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</si>
  <si>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</si>
  <si>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</si>
  <si>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</si>
  <si>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</si>
  <si>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</si>
  <si>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</si>
  <si>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</si>
  <si>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</si>
  <si>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</si>
  <si>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</si>
  <si>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</si>
  <si>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</si>
  <si>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</si>
  <si>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</si>
  <si>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</si>
  <si>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</si>
  <si>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</si>
  <si>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</si>
  <si>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</si>
  <si>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</si>
  <si>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</si>
  <si>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</si>
  <si>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</si>
  <si>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</si>
  <si>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</si>
  <si>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</si>
  <si>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</si>
  <si>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</si>
  <si>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</si>
  <si>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</si>
  <si>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</si>
  <si>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</si>
  <si>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</si>
  <si>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</si>
  <si>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</si>
  <si>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</si>
  <si>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</si>
  <si>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</si>
  <si>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</si>
  <si>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</si>
  <si>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</si>
  <si>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</si>
  <si>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</si>
  <si>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</si>
  <si>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</si>
  <si>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</si>
  <si>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</si>
  <si>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</si>
  <si>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</si>
  <si>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</si>
  <si>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</si>
  <si>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</si>
  <si>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</si>
  <si>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</si>
  <si>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</si>
  <si>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</si>
  <si>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</si>
  <si>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</si>
  <si>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</si>
  <si>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</si>
  <si>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</si>
  <si>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</si>
  <si>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</si>
  <si>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</si>
  <si>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</si>
  <si>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</si>
  <si>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</si>
  <si>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</si>
  <si>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</si>
  <si>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</si>
  <si>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</si>
  <si>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</si>
  <si>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</si>
  <si>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</si>
  <si>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</si>
  <si>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</si>
  <si>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</si>
  <si>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</si>
  <si>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</si>
  <si>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</si>
  <si>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</si>
  <si>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</si>
  <si>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</si>
  <si>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</si>
  <si>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</si>
  <si>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</si>
  <si>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</si>
  <si>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</si>
  <si>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</si>
  <si>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</si>
  <si>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</si>
  <si>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</si>
  <si>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</si>
  <si>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</si>
  <si>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</si>
  <si>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</si>
  <si>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</si>
  <si>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</si>
  <si>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</si>
  <si>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</si>
  <si>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</si>
  <si>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</si>
  <si>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</si>
  <si>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</si>
  <si>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</si>
  <si>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</si>
  <si>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</si>
  <si>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</si>
  <si>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</si>
  <si>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</si>
  <si>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</si>
  <si>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</si>
  <si>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</si>
  <si>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</si>
  <si>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</si>
  <si>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</si>
  <si>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</si>
  <si>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</si>
  <si>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</si>
  <si>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</si>
  <si>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</si>
  <si>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</si>
  <si>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</si>
  <si>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</si>
  <si>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</si>
  <si>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</si>
  <si>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</si>
  <si>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</si>
  <si>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</si>
  <si>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</si>
  <si>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</si>
  <si>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</si>
  <si>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</si>
  <si>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</si>
  <si>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</si>
  <si>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</si>
  <si>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</si>
  <si>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</si>
  <si>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</si>
  <si>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</si>
  <si>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</si>
  <si>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</si>
  <si>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</si>
  <si>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</si>
  <si>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</si>
  <si>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</si>
  <si>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</si>
  <si>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</si>
  <si>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</si>
  <si>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</si>
  <si>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</si>
  <si>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</si>
  <si>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</si>
  <si>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</si>
  <si>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</si>
  <si>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</si>
  <si>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</si>
  <si>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</si>
  <si>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</si>
  <si>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</si>
  <si>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</si>
  <si>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</si>
  <si>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</si>
  <si>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</si>
  <si>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</si>
  <si>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</si>
  <si>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</si>
  <si>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</si>
  <si>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</si>
  <si>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</si>
  <si>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</si>
  <si>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</si>
  <si>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</si>
  <si>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</si>
  <si>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</si>
  <si>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</si>
  <si>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</si>
  <si>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</si>
  <si>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CURVA 45 GRAUS, PVC, SOLDÁVEL, DN 75MM, INSTALADO EM PRUMADA DE ÁGUA - FORNECIMENTO E INSTALAÇÃO. AF_12/2014</t>
  </si>
  <si>
    <t>JOELHO 45 GRAUS, PVC, SERIE R, ÁGUA PLUVIAL, DN 50 MM, JUNTA ELÁSTICA, FORNECIDO E INSTALADO EM RAMAL DE ENCAMINHAMENTO. AF_12/2014</t>
  </si>
  <si>
    <t>JOELHO 45 GRAUS, PVC, SOLDÁVEL, DN 85MM, INSTALADO EM PRUMADA DE ÁGUA - FORNECIMENTO E INSTALAÇÃO.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</si>
  <si>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</si>
  <si>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</si>
  <si>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</si>
  <si>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</si>
  <si>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</si>
  <si>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</si>
  <si>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</si>
  <si>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</si>
  <si>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</si>
  <si>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</si>
  <si>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</si>
  <si>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</si>
  <si>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</si>
  <si>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</si>
  <si>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</si>
  <si>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</si>
  <si>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BUCHA DE REDUÇÃO LONGA, PVC, SERIE R, ÁGUA PLUVIAL, DN 50 X 40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</si>
  <si>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</si>
  <si>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</si>
  <si>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</si>
  <si>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</si>
  <si>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</si>
  <si>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</si>
  <si>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CURVA DE TRANSPOSIÇÃO, PVC, SOLDÁVEL, DN 32MM, INSTALADO EM PRUMADA DE ÁGUA   FORNECIMENTO E INSTALAÇÃO. AF_12/2014</t>
  </si>
  <si>
    <t>LUVA DE CORRER, PVC, SERIE R, ÁGUA PLUVIAL, DN 100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</si>
  <si>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</si>
  <si>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</si>
  <si>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</si>
  <si>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</si>
  <si>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</si>
  <si>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</si>
  <si>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</si>
  <si>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</si>
  <si>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</si>
  <si>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</si>
  <si>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</si>
  <si>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</si>
  <si>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JUNÇÃO DUPLA, PVC, SERIE R, ÁGUA PLUVIAL, DN 100 X 100 X 100 MM, JUNTA ELÁSTICA, FORNECIDO E INSTALADO EM RAMAL DE ENCAMINHAMENTO.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</si>
  <si>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</si>
  <si>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</si>
  <si>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</si>
  <si>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</si>
  <si>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</si>
  <si>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</si>
  <si>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</si>
  <si>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</si>
  <si>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</si>
  <si>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</si>
  <si>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</si>
  <si>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</si>
  <si>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</si>
  <si>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</si>
  <si>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</si>
  <si>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</si>
  <si>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</si>
  <si>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</si>
  <si>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</si>
  <si>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</si>
  <si>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</si>
  <si>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</si>
  <si>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</si>
  <si>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</si>
  <si>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</si>
  <si>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</si>
  <si>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</si>
  <si>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</si>
  <si>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</si>
  <si>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</si>
  <si>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</si>
  <si>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</si>
  <si>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</si>
  <si>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</si>
  <si>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TE, PVC, SOLDÁVEL, DN 60MM,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</si>
  <si>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</si>
  <si>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</si>
  <si>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</si>
  <si>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</si>
  <si>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</si>
  <si>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</si>
  <si>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</si>
  <si>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</si>
  <si>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</si>
  <si>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</si>
  <si>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</si>
  <si>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</si>
  <si>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</si>
  <si>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</si>
  <si>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</si>
  <si>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</si>
  <si>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</si>
  <si>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</si>
  <si>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</si>
  <si>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</si>
  <si>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</si>
  <si>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</si>
  <si>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</si>
  <si>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</si>
  <si>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</si>
  <si>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</si>
  <si>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</si>
  <si>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</si>
  <si>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</si>
  <si>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</si>
  <si>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</si>
  <si>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</si>
  <si>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</si>
  <si>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</si>
  <si>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</si>
  <si>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</si>
  <si>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</si>
  <si>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</si>
  <si>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</si>
  <si>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</si>
  <si>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</si>
  <si>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</si>
  <si>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</si>
  <si>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</si>
  <si>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</si>
  <si>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</si>
  <si>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</si>
  <si>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</si>
  <si>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</si>
  <si>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</si>
  <si>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</si>
  <si>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</si>
  <si>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</si>
  <si>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</si>
  <si>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</si>
  <si>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</si>
  <si>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</si>
  <si>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</si>
  <si>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</si>
  <si>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</si>
  <si>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</si>
  <si>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</si>
  <si>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</si>
  <si>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</si>
  <si>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</si>
  <si>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</si>
  <si>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</si>
  <si>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</si>
  <si>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</si>
  <si>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</si>
  <si>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</si>
  <si>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45 GRAUS, CPVC, SOLDÁVEL, DN 28MM, INSTALADO EM RAMAL DE DISTRIBUIÇÃO DE ÁGUA   FORNECIMENTO E INSTALAÇÃO.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</si>
  <si>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</si>
  <si>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</si>
  <si>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</si>
  <si>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</si>
  <si>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</si>
  <si>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</si>
  <si>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</si>
  <si>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</si>
  <si>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LUVA DE CORRER, CPVC, SOLDÁVEL, DN 22MM, INSTALADO EM RAMAL DE DISTRIBUIÇÃO DE ÁGUA   FORNECIMENTO E INSTALAÇÃO.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</si>
  <si>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</si>
  <si>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</si>
  <si>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</si>
  <si>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</si>
  <si>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CONECTOR, CPVC, SOLDÁVEL, DN 22MM X 1/2 , INSTALADO EM RAMAL DE DISTRIBUIÇÃO DE ÁGUA   FORNECIMENTO E INSTALAÇÃO.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</si>
  <si>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</si>
  <si>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</si>
  <si>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</si>
  <si>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</si>
  <si>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</si>
  <si>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</si>
  <si>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</si>
  <si>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</si>
  <si>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</si>
  <si>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</si>
  <si>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</si>
  <si>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</si>
  <si>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</si>
  <si>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</si>
  <si>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</si>
  <si>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</si>
  <si>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</si>
  <si>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</si>
  <si>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</si>
  <si>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</si>
  <si>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</si>
  <si>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</si>
  <si>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</si>
  <si>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</si>
  <si>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</si>
  <si>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</si>
  <si>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</si>
  <si>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</si>
  <si>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</si>
  <si>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</si>
  <si>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</si>
  <si>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</si>
  <si>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</si>
  <si>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</si>
  <si>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</si>
  <si>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</si>
  <si>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</si>
  <si>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</si>
  <si>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</si>
  <si>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</si>
  <si>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</si>
  <si>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</si>
  <si>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</si>
  <si>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</si>
  <si>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</si>
  <si>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</si>
  <si>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</si>
  <si>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</si>
  <si>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</si>
  <si>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</si>
  <si>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</si>
  <si>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</si>
  <si>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</si>
  <si>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</si>
  <si>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</si>
  <si>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</si>
  <si>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</si>
  <si>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</si>
  <si>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</si>
  <si>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</si>
  <si>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</si>
  <si>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</si>
  <si>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</si>
  <si>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</si>
  <si>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</si>
  <si>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</si>
  <si>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</si>
  <si>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</si>
  <si>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</si>
  <si>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</si>
  <si>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</si>
  <si>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</si>
  <si>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</si>
  <si>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</si>
  <si>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</si>
  <si>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</si>
  <si>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</si>
  <si>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</si>
  <si>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</si>
  <si>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</si>
  <si>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</si>
  <si>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</si>
  <si>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</si>
  <si>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</si>
  <si>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</si>
  <si>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</si>
  <si>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</si>
  <si>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</si>
  <si>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</si>
  <si>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</si>
  <si>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</si>
  <si>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</si>
  <si>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</si>
  <si>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</si>
  <si>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</si>
  <si>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</si>
  <si>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</si>
  <si>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</si>
  <si>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</si>
  <si>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</si>
  <si>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</si>
  <si>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</si>
  <si>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</si>
  <si>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</si>
  <si>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</si>
  <si>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</si>
  <si>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</si>
  <si>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</si>
  <si>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</si>
  <si>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</si>
  <si>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</si>
  <si>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</si>
  <si>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</si>
  <si>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</si>
  <si>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</si>
  <si>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</si>
  <si>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</si>
  <si>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</si>
  <si>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</si>
  <si>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</si>
  <si>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</si>
  <si>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</si>
  <si>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</si>
  <si>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</si>
  <si>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</si>
  <si>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</si>
  <si>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</si>
  <si>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</si>
  <si>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</si>
  <si>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</si>
  <si>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</si>
  <si>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</si>
  <si>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</si>
  <si>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</si>
  <si>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</si>
  <si>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</si>
  <si>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</si>
  <si>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</si>
  <si>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</si>
  <si>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</si>
  <si>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</si>
  <si>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</si>
  <si>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</si>
  <si>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</si>
  <si>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</si>
  <si>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</si>
  <si>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</si>
  <si>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</si>
  <si>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</si>
  <si>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</si>
  <si>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</si>
  <si>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</si>
  <si>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</si>
  <si>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</si>
  <si>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</si>
  <si>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</si>
  <si>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</si>
  <si>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</si>
  <si>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</si>
  <si>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</si>
  <si>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</si>
  <si>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</si>
  <si>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</si>
  <si>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</si>
  <si>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</si>
  <si>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</si>
  <si>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</si>
  <si>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</si>
  <si>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</si>
  <si>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</si>
  <si>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</si>
  <si>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</si>
  <si>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</si>
  <si>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</si>
  <si>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</si>
  <si>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</si>
  <si>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</si>
  <si>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</si>
  <si>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</si>
  <si>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</si>
  <si>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</si>
  <si>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</si>
  <si>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</si>
  <si>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</si>
  <si>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</si>
  <si>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</si>
  <si>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</si>
  <si>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</si>
  <si>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</si>
  <si>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</si>
  <si>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</si>
  <si>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</si>
  <si>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</si>
  <si>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</si>
  <si>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</si>
  <si>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</si>
  <si>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</si>
  <si>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</si>
  <si>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</si>
  <si>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</si>
  <si>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</si>
  <si>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</si>
  <si>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</si>
  <si>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</si>
  <si>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</si>
  <si>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</si>
  <si>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</si>
  <si>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</si>
  <si>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</si>
  <si>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</si>
  <si>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</si>
  <si>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</si>
  <si>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</si>
  <si>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</si>
  <si>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</si>
  <si>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</si>
  <si>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</si>
  <si>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</si>
  <si>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</si>
  <si>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</si>
  <si>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</si>
  <si>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</si>
  <si>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</si>
  <si>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</si>
  <si>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</si>
  <si>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</si>
  <si>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</si>
  <si>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</si>
  <si>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</si>
  <si>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</si>
  <si>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</si>
  <si>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</si>
  <si>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</si>
  <si>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</si>
  <si>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</si>
  <si>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</si>
  <si>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</si>
  <si>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</si>
  <si>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</si>
  <si>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</si>
  <si>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</si>
  <si>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</si>
  <si>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</si>
  <si>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</si>
  <si>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</si>
  <si>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</si>
  <si>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</si>
  <si>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</si>
  <si>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</si>
  <si>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</si>
  <si>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</si>
  <si>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</si>
  <si>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</si>
  <si>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</si>
  <si>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</si>
  <si>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</si>
  <si>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</si>
  <si>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</si>
  <si>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</si>
  <si>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</si>
  <si>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</si>
  <si>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</si>
  <si>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</si>
  <si>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</si>
  <si>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</si>
  <si>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</si>
  <si>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</si>
  <si>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</si>
  <si>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</si>
  <si>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</si>
  <si>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</si>
  <si>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</si>
  <si>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</si>
  <si>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</si>
  <si>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</si>
  <si>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</si>
  <si>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</si>
  <si>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</si>
  <si>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</si>
  <si>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</si>
  <si>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</si>
  <si>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</si>
  <si>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</si>
  <si>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</si>
  <si>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</si>
  <si>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</si>
  <si>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</si>
  <si>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</si>
  <si>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</si>
  <si>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</si>
  <si>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</si>
  <si>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</si>
  <si>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</si>
  <si>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</si>
  <si>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</si>
  <si>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</si>
  <si>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</si>
  <si>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</si>
  <si>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</si>
  <si>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</si>
  <si>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</si>
  <si>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</si>
  <si>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</si>
  <si>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</si>
  <si>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</si>
  <si>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</si>
  <si>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</si>
  <si>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</si>
  <si>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</si>
  <si>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</si>
  <si>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</si>
  <si>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</si>
  <si>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</si>
  <si>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</si>
  <si>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</si>
  <si>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</si>
  <si>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</si>
  <si>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</si>
  <si>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</si>
  <si>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</si>
  <si>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</si>
  <si>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</si>
  <si>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</si>
  <si>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</si>
  <si>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</si>
  <si>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</si>
  <si>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</si>
  <si>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</si>
  <si>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</si>
  <si>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</si>
  <si>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</si>
  <si>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</si>
  <si>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</si>
  <si>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</si>
  <si>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</si>
  <si>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</si>
  <si>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</si>
  <si>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</si>
  <si>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</si>
  <si>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</si>
  <si>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</si>
  <si>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</si>
  <si>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</si>
  <si>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</si>
  <si>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</si>
  <si>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</si>
  <si>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</si>
  <si>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</si>
  <si>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</si>
  <si>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</si>
  <si>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</si>
  <si>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</si>
  <si>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</si>
  <si>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</si>
  <si>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</si>
  <si>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</si>
  <si>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</si>
  <si>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</si>
  <si>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</si>
  <si>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</si>
  <si>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</si>
  <si>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</si>
  <si>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</si>
  <si>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</si>
  <si>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</si>
  <si>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</si>
  <si>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</si>
  <si>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</si>
  <si>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</si>
  <si>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</si>
  <si>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</si>
  <si>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</si>
  <si>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</si>
  <si>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</si>
  <si>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</si>
  <si>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</si>
  <si>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</si>
  <si>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</si>
  <si>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</si>
  <si>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</si>
  <si>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</si>
  <si>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</si>
  <si>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</si>
  <si>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</si>
  <si>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</si>
  <si>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</si>
  <si>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</si>
  <si>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</si>
  <si>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</si>
  <si>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</si>
  <si>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</si>
  <si>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</si>
  <si>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</si>
  <si>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</si>
  <si>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</si>
  <si>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</si>
  <si>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</si>
  <si>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</si>
  <si>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</si>
  <si>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</si>
  <si>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</si>
  <si>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</si>
  <si>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</si>
  <si>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</si>
  <si>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</si>
  <si>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</si>
  <si>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</si>
  <si>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</si>
  <si>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</si>
  <si>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</si>
  <si>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</si>
  <si>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</si>
  <si>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</si>
  <si>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</si>
  <si>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</si>
  <si>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</si>
  <si>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</si>
  <si>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</si>
  <si>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</si>
  <si>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</si>
  <si>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</si>
  <si>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</si>
  <si>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</si>
  <si>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</si>
  <si>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</si>
  <si>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</si>
  <si>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</si>
  <si>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</si>
  <si>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</si>
  <si>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</si>
  <si>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</si>
  <si>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</si>
  <si>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</si>
  <si>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</si>
  <si>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</si>
  <si>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</si>
  <si>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</si>
  <si>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</si>
  <si>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</si>
  <si>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</si>
  <si>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</si>
  <si>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</si>
  <si>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</si>
  <si>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</si>
  <si>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</si>
  <si>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</si>
  <si>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</si>
  <si>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</si>
  <si>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</si>
  <si>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</si>
  <si>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</si>
  <si>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</si>
  <si>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</si>
  <si>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</si>
  <si>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</si>
  <si>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</si>
  <si>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</si>
  <si>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</si>
  <si>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</si>
  <si>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</si>
  <si>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</si>
  <si>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</si>
  <si>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</si>
  <si>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</si>
  <si>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</si>
  <si>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</si>
  <si>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</si>
  <si>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</si>
  <si>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</si>
  <si>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</si>
  <si>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</si>
  <si>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</si>
  <si>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</si>
  <si>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</si>
  <si>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</si>
  <si>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</si>
  <si>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</si>
  <si>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</si>
  <si>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</si>
  <si>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</si>
  <si>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</si>
  <si>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</si>
  <si>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</si>
  <si>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</si>
  <si>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</si>
  <si>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</si>
  <si>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</si>
  <si>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</si>
  <si>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</si>
  <si>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</si>
  <si>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</si>
  <si>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</si>
  <si>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</si>
  <si>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</si>
  <si>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</si>
  <si>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</si>
  <si>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</si>
  <si>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</si>
  <si>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</si>
  <si>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</si>
  <si>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</si>
  <si>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</si>
  <si>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</si>
  <si>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</si>
  <si>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</si>
  <si>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</si>
  <si>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</si>
  <si>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</si>
  <si>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</si>
  <si>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</si>
  <si>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</si>
  <si>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</si>
  <si>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</si>
  <si>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</si>
  <si>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</si>
  <si>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</si>
  <si>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</si>
  <si>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</si>
  <si>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</si>
  <si>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</si>
  <si>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</si>
  <si>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</si>
  <si>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</si>
  <si>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</si>
  <si>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</si>
  <si>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</si>
  <si>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</si>
  <si>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</si>
  <si>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</si>
  <si>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</si>
  <si>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</si>
  <si>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</si>
  <si>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</si>
  <si>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</si>
  <si>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</si>
  <si>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</si>
  <si>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</si>
  <si>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</si>
  <si>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</si>
  <si>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</si>
  <si>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</si>
  <si>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</si>
  <si>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</si>
  <si>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</si>
  <si>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</si>
  <si>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</si>
  <si>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</si>
  <si>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</si>
  <si>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</si>
  <si>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</si>
  <si>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</si>
  <si>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</si>
  <si>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</si>
  <si>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</si>
  <si>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</si>
  <si>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</si>
  <si>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</si>
  <si>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</si>
  <si>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</si>
  <si>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</si>
  <si>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</si>
  <si>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</si>
  <si>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</si>
  <si>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</si>
  <si>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</si>
  <si>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</si>
  <si>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</si>
  <si>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</si>
  <si>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</si>
  <si>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</si>
  <si>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</si>
  <si>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</si>
  <si>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</si>
  <si>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</si>
  <si>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</si>
  <si>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</si>
  <si>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</si>
  <si>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</si>
  <si>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</si>
  <si>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</si>
  <si>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</si>
  <si>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</si>
  <si>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</si>
  <si>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</si>
  <si>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</si>
  <si>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</si>
  <si>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</si>
  <si>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</si>
  <si>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</si>
  <si>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</si>
  <si>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</si>
  <si>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</si>
  <si>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</si>
  <si>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</si>
  <si>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</si>
  <si>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</si>
  <si>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</si>
  <si>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</si>
  <si>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</si>
  <si>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</si>
  <si>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</si>
  <si>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</si>
  <si>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</si>
  <si>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</si>
  <si>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</si>
  <si>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</si>
  <si>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</si>
  <si>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</si>
  <si>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</si>
  <si>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</si>
  <si>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</si>
  <si>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</si>
  <si>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</si>
  <si>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</si>
  <si>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</si>
  <si>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</si>
  <si>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</si>
  <si>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</si>
  <si>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</si>
  <si>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</si>
  <si>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</si>
  <si>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</si>
  <si>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</si>
  <si>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</si>
  <si>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</si>
  <si>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</si>
  <si>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</si>
  <si>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</si>
  <si>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</si>
  <si>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</si>
  <si>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</si>
  <si>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</si>
  <si>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</si>
  <si>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</si>
  <si>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</si>
  <si>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</si>
  <si>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</si>
  <si>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</si>
  <si>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</si>
  <si>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</si>
  <si>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</si>
  <si>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</si>
  <si>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</si>
  <si>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</si>
  <si>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</si>
  <si>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</si>
  <si>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</si>
  <si>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</si>
  <si>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</si>
  <si>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</si>
  <si>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</si>
  <si>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</si>
  <si>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</si>
  <si>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</si>
  <si>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</si>
  <si>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</si>
  <si>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</si>
  <si>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</si>
  <si>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</si>
  <si>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</si>
  <si>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</si>
  <si>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</si>
  <si>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</si>
  <si>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</si>
  <si>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</si>
  <si>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</si>
  <si>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</si>
  <si>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</si>
  <si>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</si>
  <si>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</si>
  <si>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</si>
  <si>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</si>
  <si>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</si>
  <si>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</si>
  <si>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</si>
  <si>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</si>
  <si>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</si>
  <si>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</si>
  <si>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</si>
  <si>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</si>
  <si>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</si>
  <si>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</si>
  <si>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</si>
  <si>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</si>
  <si>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</si>
  <si>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</si>
  <si>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</si>
  <si>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</si>
  <si>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</si>
  <si>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</si>
  <si>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</si>
  <si>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</si>
  <si>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</si>
  <si>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</si>
  <si>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</si>
  <si>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</si>
  <si>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</si>
  <si>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</si>
  <si>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</si>
  <si>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</si>
  <si>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</si>
  <si>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</si>
  <si>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</si>
  <si>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</si>
  <si>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</si>
  <si>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</si>
  <si>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</si>
  <si>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</si>
  <si>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</si>
  <si>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</si>
  <si>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</si>
  <si>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</si>
  <si>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</si>
  <si>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</si>
  <si>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</si>
  <si>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</si>
  <si>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</si>
  <si>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</si>
  <si>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</si>
  <si>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</si>
  <si>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</si>
  <si>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</si>
  <si>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</si>
  <si>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</si>
  <si>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</si>
  <si>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</si>
  <si>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</si>
  <si>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</si>
  <si>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</si>
  <si>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</si>
  <si>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</si>
  <si>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</si>
  <si>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</si>
  <si>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</si>
  <si>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</si>
  <si>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</si>
  <si>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</si>
  <si>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</si>
  <si>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</si>
  <si>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</si>
  <si>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</si>
  <si>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</si>
  <si>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</si>
  <si>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</si>
  <si>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</si>
  <si>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</si>
  <si>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</si>
  <si>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</si>
  <si>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</si>
  <si>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</si>
  <si>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</si>
  <si>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</si>
  <si>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</si>
  <si>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</si>
  <si>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</si>
  <si>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</si>
  <si>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</si>
  <si>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</si>
  <si>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</si>
  <si>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</si>
  <si>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</si>
  <si>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</si>
  <si>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</si>
  <si>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</si>
  <si>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</si>
  <si>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</si>
  <si>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</si>
  <si>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</si>
  <si>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</si>
  <si>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</si>
  <si>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</si>
  <si>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</si>
  <si>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</si>
  <si>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</si>
  <si>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</si>
  <si>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</si>
  <si>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</si>
  <si>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</si>
  <si>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</si>
  <si>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</si>
  <si>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</si>
  <si>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</si>
  <si>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</si>
  <si>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</si>
  <si>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</si>
  <si>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</si>
  <si>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</si>
  <si>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</si>
  <si>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</si>
  <si>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</si>
  <si>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</si>
  <si>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</si>
  <si>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</si>
  <si>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</si>
  <si>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</si>
  <si>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</si>
  <si>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</si>
  <si>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</si>
  <si>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</si>
  <si>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</si>
  <si>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</si>
  <si>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</si>
  <si>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</si>
  <si>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</si>
  <si>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</si>
  <si>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</si>
  <si>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</si>
  <si>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</si>
  <si>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</si>
  <si>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</si>
  <si>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</si>
  <si>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</si>
  <si>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</si>
  <si>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</si>
  <si>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</si>
  <si>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</si>
  <si>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</si>
  <si>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</si>
  <si>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</si>
  <si>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</si>
  <si>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</si>
  <si>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</si>
  <si>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</si>
  <si>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</si>
  <si>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</si>
  <si>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</si>
  <si>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</si>
  <si>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</si>
  <si>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</si>
  <si>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</si>
  <si>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</si>
  <si>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</si>
  <si>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</si>
  <si>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</si>
  <si>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</si>
  <si>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</si>
  <si>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</si>
  <si>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</si>
  <si>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</si>
  <si>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</si>
  <si>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</si>
  <si>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</si>
  <si>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</si>
  <si>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</si>
  <si>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</si>
  <si>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</si>
  <si>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</si>
  <si>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</si>
  <si>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</si>
  <si>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</si>
  <si>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</si>
  <si>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</si>
  <si>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</si>
  <si>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</si>
  <si>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</si>
  <si>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</si>
  <si>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</si>
  <si>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</si>
  <si>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</si>
  <si>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GAVETA BRUTO, LATÃO, ROSCÁVEL, 1/2",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</si>
  <si>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</si>
  <si>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</si>
  <si>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</si>
  <si>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</si>
  <si>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</si>
  <si>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</si>
  <si>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</si>
  <si>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</si>
  <si>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</si>
  <si>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</si>
  <si>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</si>
  <si>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</si>
  <si>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</si>
  <si>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</si>
  <si>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</si>
  <si>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</si>
  <si>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</si>
  <si>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</si>
  <si>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</si>
  <si>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</si>
  <si>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</si>
  <si>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</si>
  <si>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</si>
  <si>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</si>
  <si>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</si>
  <si>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</si>
  <si>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</si>
  <si>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</si>
  <si>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</si>
  <si>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</si>
  <si>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</si>
  <si>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</si>
  <si>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</si>
  <si>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</si>
  <si>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</si>
  <si>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</si>
  <si>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</si>
  <si>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</si>
  <si>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</si>
  <si>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</si>
  <si>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</si>
  <si>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</si>
  <si>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</si>
  <si>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</si>
  <si>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</si>
  <si>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</si>
  <si>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</si>
  <si>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</si>
  <si>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</si>
  <si>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</si>
  <si>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</si>
  <si>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</si>
  <si>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</si>
  <si>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</si>
  <si>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</si>
  <si>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</si>
  <si>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</si>
  <si>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</si>
  <si>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</si>
  <si>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</si>
  <si>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</si>
  <si>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</si>
  <si>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</si>
  <si>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</si>
  <si>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</si>
  <si>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</si>
  <si>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</si>
  <si>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</si>
  <si>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</si>
  <si>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</si>
  <si>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</si>
  <si>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</si>
  <si>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</si>
  <si>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</si>
  <si>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</si>
  <si>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</si>
  <si>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</si>
  <si>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</si>
  <si>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</si>
  <si>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</si>
  <si>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</si>
  <si>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</si>
  <si>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</si>
  <si>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</si>
  <si>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</si>
  <si>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</si>
  <si>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</si>
  <si>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</si>
  <si>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</si>
  <si>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</si>
  <si>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</si>
  <si>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</si>
  <si>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</si>
  <si>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</si>
  <si>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</si>
  <si>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</si>
  <si>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</si>
  <si>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</si>
  <si>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</si>
  <si>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</si>
  <si>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</si>
  <si>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</si>
  <si>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</si>
  <si>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</si>
  <si>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</si>
  <si>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</si>
  <si>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</si>
  <si>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</si>
  <si>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</si>
  <si>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</si>
  <si>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</si>
  <si>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</si>
  <si>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</si>
  <si>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</si>
  <si>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</si>
  <si>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</si>
  <si>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</si>
  <si>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</si>
  <si>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</si>
  <si>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</si>
  <si>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</si>
  <si>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</si>
  <si>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</si>
  <si>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</si>
  <si>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</si>
  <si>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</si>
  <si>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</si>
  <si>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</si>
  <si>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</si>
  <si>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</si>
  <si>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</si>
  <si>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</si>
  <si>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</si>
  <si>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</si>
  <si>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</si>
  <si>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</si>
  <si>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</si>
  <si>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</si>
  <si>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</si>
  <si>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</si>
  <si>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</si>
  <si>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</si>
  <si>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</si>
  <si>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</si>
  <si>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</si>
  <si>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</si>
  <si>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</si>
  <si>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</si>
  <si>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</si>
  <si>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</si>
  <si>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</si>
  <si>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</si>
  <si>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</si>
  <si>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</si>
  <si>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</si>
  <si>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</si>
  <si>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</si>
  <si>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</si>
  <si>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</si>
  <si>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</si>
  <si>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</si>
  <si>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</si>
  <si>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</si>
  <si>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</si>
  <si>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</si>
  <si>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</si>
  <si>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</si>
  <si>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</si>
  <si>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</si>
  <si>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</si>
  <si>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</si>
  <si>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</si>
  <si>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</si>
  <si>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</si>
  <si>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</si>
  <si>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</si>
  <si>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</si>
  <si>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</si>
  <si>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</si>
  <si>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</si>
  <si>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</si>
  <si>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</si>
  <si>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</si>
  <si>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</si>
  <si>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</si>
  <si>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</si>
  <si>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</si>
  <si>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</si>
  <si>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</si>
  <si>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</si>
  <si>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</si>
  <si>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</si>
  <si>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</si>
  <si>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</si>
  <si>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</si>
  <si>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</si>
  <si>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</si>
  <si>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</si>
  <si>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</si>
  <si>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</si>
  <si>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</si>
  <si>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</si>
  <si>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</si>
  <si>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</si>
  <si>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</si>
  <si>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</si>
  <si>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</si>
  <si>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</si>
  <si>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</si>
  <si>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</si>
  <si>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</si>
  <si>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</si>
  <si>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</si>
  <si>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</si>
  <si>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</si>
  <si>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</si>
  <si>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</si>
  <si>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</si>
  <si>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</si>
  <si>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</si>
  <si>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</si>
  <si>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</si>
  <si>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</si>
  <si>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</si>
  <si>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</si>
  <si>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</si>
  <si>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</si>
  <si>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</si>
  <si>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</si>
  <si>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</si>
  <si>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</si>
  <si>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</si>
  <si>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</si>
  <si>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</si>
  <si>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</si>
  <si>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</si>
  <si>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</si>
  <si>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</si>
  <si>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</si>
  <si>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</si>
  <si>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</si>
  <si>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</si>
  <si>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</si>
  <si>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</si>
  <si>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</si>
  <si>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</si>
  <si>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</si>
  <si>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</si>
  <si>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</si>
  <si>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</si>
  <si>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</si>
  <si>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</si>
  <si>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</si>
  <si>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</si>
  <si>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</si>
  <si>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</si>
  <si>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</si>
  <si>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</si>
  <si>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</si>
  <si>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</si>
  <si>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</si>
  <si>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</si>
  <si>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</si>
  <si>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</si>
  <si>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</si>
  <si>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</si>
  <si>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</si>
  <si>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</si>
  <si>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</si>
  <si>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</si>
  <si>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</si>
  <si>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</si>
  <si>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</si>
  <si>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</si>
  <si>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</si>
  <si>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</si>
  <si>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</si>
  <si>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</si>
  <si>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</si>
  <si>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</si>
  <si>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</si>
  <si>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</si>
  <si>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</si>
  <si>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</si>
  <si>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</si>
  <si>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</si>
  <si>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</si>
  <si>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</si>
  <si>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</si>
  <si>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</si>
  <si>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</si>
  <si>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</si>
  <si>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</si>
  <si>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</si>
  <si>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</si>
  <si>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</si>
  <si>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</si>
  <si>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</si>
  <si>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</si>
  <si>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</si>
  <si>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</si>
  <si>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</si>
  <si>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</si>
  <si>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</si>
  <si>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</si>
  <si>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</si>
  <si>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</si>
  <si>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</si>
  <si>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</si>
  <si>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</si>
  <si>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</si>
  <si>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</si>
  <si>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</si>
  <si>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</si>
  <si>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</si>
  <si>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</si>
  <si>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</si>
  <si>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</si>
  <si>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</si>
  <si>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</si>
  <si>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</si>
  <si>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</si>
  <si>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</si>
  <si>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</si>
  <si>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</si>
  <si>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</si>
  <si>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</si>
  <si>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</si>
  <si>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</si>
  <si>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</si>
  <si>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</si>
  <si>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</si>
  <si>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</si>
  <si>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</si>
  <si>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</si>
  <si>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</si>
  <si>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</si>
  <si>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</si>
  <si>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</si>
  <si>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</si>
  <si>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</si>
  <si>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</si>
  <si>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</si>
  <si>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</si>
  <si>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</si>
  <si>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</si>
  <si>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</si>
  <si>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</si>
  <si>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</si>
  <si>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</si>
  <si>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</si>
  <si>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</si>
  <si>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</si>
  <si>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</si>
  <si>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</si>
  <si>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</si>
  <si>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</si>
  <si>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</si>
  <si>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</si>
  <si>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</si>
  <si>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</si>
  <si>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</si>
  <si>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</si>
  <si>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</si>
  <si>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</si>
  <si>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</si>
  <si>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</si>
  <si>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</si>
  <si>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</si>
  <si>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</si>
  <si>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</si>
  <si>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</si>
  <si>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</si>
  <si>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</si>
  <si>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</si>
  <si>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</si>
  <si>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</si>
  <si>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</si>
  <si>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</si>
  <si>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</si>
  <si>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</si>
  <si>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</si>
  <si>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</si>
  <si>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</si>
  <si>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</si>
  <si>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</si>
  <si>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</si>
  <si>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</si>
  <si>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</si>
  <si>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</si>
  <si>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</si>
  <si>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</si>
  <si>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</si>
  <si>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</si>
  <si>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</si>
  <si>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</si>
  <si>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</si>
  <si>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</si>
  <si>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</si>
  <si>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</si>
  <si>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</si>
  <si>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</si>
  <si>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</si>
  <si>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</si>
  <si>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</si>
  <si>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</si>
  <si>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</si>
  <si>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</si>
  <si>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</si>
  <si>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</si>
  <si>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</si>
  <si>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</si>
  <si>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</si>
  <si>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</si>
  <si>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</si>
  <si>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</si>
  <si>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</si>
  <si>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</si>
  <si>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</si>
  <si>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</si>
  <si>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</si>
  <si>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</si>
  <si>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</si>
  <si>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</si>
  <si>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</si>
  <si>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</si>
  <si>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</si>
  <si>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</si>
  <si>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</si>
  <si>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</si>
  <si>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</si>
  <si>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</si>
  <si>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</si>
  <si>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</si>
  <si>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</si>
  <si>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</si>
  <si>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</si>
  <si>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</si>
  <si>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</si>
  <si>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</si>
  <si>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</si>
  <si>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</si>
  <si>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</si>
  <si>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</si>
  <si>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</si>
  <si>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</si>
  <si>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</si>
  <si>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</si>
  <si>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SERVIÇOS DE ALVENARIA DE BLOCOS DE CONCRETO ESTRUTURAL 14X19X29 CM, (ESPESSURA 14 CM), FBK = 4,5 MPA, UTILIZANDO PALHETA, PARA EDIFICAÇÃO HABITACIONAL. AF_10/2015</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</si>
  <si>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</si>
  <si>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</si>
  <si>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</si>
  <si>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</si>
  <si>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</si>
  <si>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</si>
  <si>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</si>
  <si>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</si>
  <si>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</si>
  <si>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</si>
  <si>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</si>
  <si>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</si>
  <si>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</si>
  <si>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</si>
  <si>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</si>
  <si>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</si>
  <si>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</si>
  <si>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</si>
  <si>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</si>
  <si>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</si>
  <si>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</si>
  <si>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</si>
  <si>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</si>
  <si>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</si>
  <si>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</si>
  <si>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</si>
  <si>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</si>
  <si>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</si>
  <si>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</si>
  <si>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</si>
  <si>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</si>
  <si>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</si>
  <si>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83695/1</t>
  </si>
  <si>
    <t>REJUNTAMENTO PAVIMENTACAO PARALELEPIPEDO BETUME CASCALH INCL MATERIAIS</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</si>
  <si>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</si>
  <si>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</si>
  <si>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</si>
  <si>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</si>
  <si>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</si>
  <si>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</si>
  <si>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</si>
  <si>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</si>
  <si>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</si>
  <si>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</si>
  <si>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</si>
  <si>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</si>
  <si>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</si>
  <si>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</si>
  <si>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</si>
  <si>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</si>
  <si>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</si>
  <si>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</si>
  <si>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</si>
  <si>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</si>
  <si>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</si>
  <si>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</si>
  <si>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</si>
  <si>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SINALIZACAO HORIZONTAL COM TINTA RETRORREFLETIVA A BASE DE RESINA ACRILICA COM MICROESFERAS DE VIDRO</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</si>
  <si>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</si>
  <si>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</si>
  <si>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</si>
  <si>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</si>
  <si>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</si>
  <si>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</si>
  <si>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</si>
  <si>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</si>
  <si>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</si>
  <si>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</si>
  <si>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</si>
  <si>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</si>
  <si>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</si>
  <si>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</si>
  <si>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</si>
  <si>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</si>
  <si>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</si>
  <si>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</si>
  <si>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</si>
  <si>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MANUAL DE PINTURA COM TINTA LÁTEX PVA EM TETO, DUAS DEMÃOS. AF_06/2014</t>
  </si>
  <si>
    <t>APLICAÇÃO MANUAL DE PINTURA COM TINTA LÁTEX PVA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</si>
  <si>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</si>
  <si>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</si>
  <si>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</si>
  <si>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</si>
  <si>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</si>
  <si>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</si>
  <si>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</si>
  <si>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</si>
  <si>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</si>
  <si>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</si>
  <si>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</si>
  <si>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</si>
  <si>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</si>
  <si>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</si>
  <si>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</si>
  <si>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</si>
  <si>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</si>
  <si>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</si>
  <si>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</si>
  <si>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</si>
  <si>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</si>
  <si>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</si>
  <si>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</si>
  <si>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</si>
  <si>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</si>
  <si>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</si>
  <si>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</si>
  <si>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</si>
  <si>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</si>
  <si>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</si>
  <si>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</si>
  <si>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</si>
  <si>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</si>
  <si>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</si>
  <si>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</si>
  <si>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</si>
  <si>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</si>
  <si>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</si>
  <si>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</si>
  <si>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</si>
  <si>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</si>
  <si>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</si>
  <si>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</si>
  <si>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</si>
  <si>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</si>
  <si>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</si>
  <si>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</si>
  <si>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</si>
  <si>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</si>
  <si>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</si>
  <si>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</si>
  <si>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</si>
  <si>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RECOLOCACAO DE TACOS DE MADEIRA COM REAPROVEITAMENTO DE MATERIAL E ASSENTAMENTO COM ARGAMASSA 1:4 (CIMENTO E 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</si>
  <si>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</si>
  <si>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</si>
  <si>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</si>
  <si>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</si>
  <si>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</si>
  <si>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</si>
  <si>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</si>
  <si>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</si>
  <si>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</si>
  <si>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</si>
  <si>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</si>
  <si>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</si>
  <si>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</si>
  <si>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</si>
  <si>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</si>
  <si>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</si>
  <si>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</si>
  <si>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</si>
  <si>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</si>
  <si>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</si>
  <si>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</si>
  <si>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</si>
  <si>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</si>
  <si>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</si>
  <si>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</si>
  <si>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</si>
  <si>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</si>
  <si>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</si>
  <si>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</si>
  <si>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</si>
  <si>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</si>
  <si>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</si>
  <si>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</si>
  <si>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</si>
  <si>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</si>
  <si>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</si>
  <si>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</si>
  <si>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</si>
  <si>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</si>
  <si>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</si>
  <si>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</si>
  <si>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</si>
  <si>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</si>
  <si>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</si>
  <si>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</si>
  <si>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</si>
  <si>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</si>
  <si>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</si>
  <si>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</si>
  <si>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</si>
  <si>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</si>
  <si>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</si>
  <si>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</si>
  <si>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</si>
  <si>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</si>
  <si>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</si>
  <si>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</si>
  <si>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</si>
  <si>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</si>
  <si>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</si>
  <si>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</si>
  <si>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</si>
  <si>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</si>
  <si>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</si>
  <si>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</si>
  <si>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</si>
  <si>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</si>
  <si>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</si>
  <si>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</si>
  <si>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</si>
  <si>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</si>
  <si>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</si>
  <si>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</si>
  <si>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</si>
  <si>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</si>
  <si>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</si>
  <si>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</si>
  <si>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</si>
  <si>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</si>
  <si>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</si>
  <si>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</si>
  <si>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</si>
  <si>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</si>
  <si>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</si>
  <si>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</si>
  <si>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</si>
  <si>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</si>
  <si>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</si>
  <si>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</si>
  <si>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</si>
  <si>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</si>
  <si>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</si>
  <si>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</si>
  <si>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</si>
  <si>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</si>
  <si>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</si>
  <si>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</si>
  <si>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</si>
  <si>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</si>
  <si>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</si>
  <si>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</si>
  <si>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</si>
  <si>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</si>
  <si>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</si>
  <si>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</si>
  <si>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</si>
  <si>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</si>
  <si>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</si>
  <si>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</si>
  <si>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</si>
  <si>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</si>
  <si>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</si>
  <si>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</si>
  <si>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</si>
  <si>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</si>
  <si>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</si>
  <si>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</si>
  <si>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</si>
  <si>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</si>
  <si>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</si>
  <si>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</si>
  <si>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</si>
  <si>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</si>
  <si>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</si>
  <si>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</si>
  <si>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</si>
  <si>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</si>
  <si>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</si>
  <si>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</si>
  <si>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</si>
  <si>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</si>
  <si>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</si>
  <si>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</si>
  <si>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</si>
  <si>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</si>
  <si>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</si>
  <si>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</si>
  <si>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</si>
  <si>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</si>
  <si>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</si>
  <si>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</si>
  <si>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</si>
  <si>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</si>
  <si>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</si>
  <si>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</si>
  <si>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</si>
  <si>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</si>
  <si>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</si>
  <si>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</si>
  <si>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</si>
  <si>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</si>
  <si>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</si>
  <si>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</si>
  <si>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</si>
  <si>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</si>
  <si>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</si>
  <si>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</si>
  <si>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</si>
  <si>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</si>
  <si>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</si>
  <si>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</si>
  <si>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</si>
  <si>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</si>
  <si>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</si>
  <si>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</si>
  <si>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</si>
  <si>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</si>
  <si>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</si>
  <si>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</si>
  <si>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</si>
  <si>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</si>
  <si>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</si>
  <si>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</si>
  <si>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</si>
  <si>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</si>
  <si>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</si>
  <si>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</si>
  <si>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</si>
  <si>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</si>
  <si>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</si>
  <si>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</si>
  <si>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</si>
  <si>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</si>
  <si>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</si>
  <si>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</si>
  <si>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</si>
  <si>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</si>
  <si>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</si>
  <si>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</si>
  <si>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</si>
  <si>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</si>
  <si>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</si>
  <si>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</si>
  <si>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</si>
  <si>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</si>
  <si>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</si>
  <si>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</si>
  <si>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</si>
  <si>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</si>
  <si>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</si>
  <si>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</si>
  <si>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</si>
  <si>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</si>
  <si>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</si>
  <si>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</si>
  <si>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</si>
  <si>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</si>
  <si>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</si>
  <si>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</si>
  <si>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</si>
  <si>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</si>
  <si>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</si>
  <si>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</si>
  <si>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</si>
  <si>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</si>
  <si>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</si>
  <si>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</si>
  <si>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</si>
  <si>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</si>
  <si>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</si>
  <si>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</si>
  <si>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</si>
  <si>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</si>
  <si>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</si>
  <si>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</si>
  <si>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</si>
  <si>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</si>
  <si>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</si>
  <si>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</si>
  <si>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</si>
  <si>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</si>
  <si>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</si>
  <si>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</si>
  <si>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</si>
  <si>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</si>
  <si>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</si>
  <si>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</si>
  <si>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</si>
  <si>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</si>
  <si>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</si>
  <si>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</si>
  <si>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</si>
  <si>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</si>
  <si>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</si>
  <si>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</si>
  <si>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</si>
  <si>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</si>
  <si>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</si>
  <si>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</si>
  <si>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</si>
  <si>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</si>
  <si>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</si>
  <si>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</si>
  <si>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</si>
  <si>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</si>
  <si>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</si>
  <si>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</si>
  <si>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</si>
  <si>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</si>
  <si>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</si>
  <si>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</si>
  <si>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</si>
  <si>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</si>
  <si>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</si>
  <si>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</si>
  <si>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</si>
  <si>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</si>
  <si>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</si>
  <si>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</si>
  <si>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</si>
  <si>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</si>
  <si>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</si>
  <si>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</si>
  <si>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</si>
  <si>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</si>
  <si>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</si>
  <si>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</si>
  <si>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</si>
  <si>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</si>
  <si>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</si>
  <si>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</si>
  <si>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</si>
  <si>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</si>
  <si>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</si>
  <si>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</si>
  <si>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</si>
  <si>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</si>
  <si>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</si>
  <si>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</si>
  <si>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</si>
  <si>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</si>
  <si>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</si>
  <si>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</si>
  <si>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</si>
  <si>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</si>
  <si>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</si>
  <si>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</si>
  <si>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</si>
  <si>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</si>
  <si>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MANUAL, APLICADA MANUALMENTE EM TETO, ESPESSURA DE 20MM,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</si>
  <si>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</si>
  <si>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</si>
  <si>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</si>
  <si>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</si>
  <si>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</si>
  <si>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</si>
  <si>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</si>
  <si>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</si>
  <si>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</si>
  <si>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</si>
  <si>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</si>
  <si>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</si>
  <si>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</si>
  <si>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</si>
  <si>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</si>
  <si>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</si>
  <si>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</si>
  <si>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</si>
  <si>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</si>
  <si>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</si>
  <si>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</si>
  <si>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</si>
  <si>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</si>
  <si>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</si>
  <si>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</si>
  <si>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</si>
  <si>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</si>
  <si>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</si>
  <si>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</si>
  <si>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</si>
  <si>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</si>
  <si>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</si>
  <si>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</si>
  <si>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</si>
  <si>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</si>
  <si>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</si>
  <si>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</si>
  <si>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</si>
  <si>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</si>
  <si>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</si>
  <si>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</si>
  <si>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</si>
  <si>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</si>
  <si>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73807/1</t>
  </si>
  <si>
    <t>CORRIMAO EM MARMORITE, LARGURA 15CM</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</si>
  <si>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</si>
  <si>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</si>
  <si>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</si>
  <si>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</si>
  <si>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</si>
  <si>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</si>
  <si>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</si>
  <si>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</si>
  <si>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</si>
  <si>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</si>
  <si>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</si>
  <si>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</si>
  <si>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</si>
  <si>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</si>
  <si>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</si>
  <si>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</si>
  <si>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PENEIRAMENTO DE AREIA COM PENEIRA ELÉTRICA. AF_11/2015</t>
  </si>
  <si>
    <t>PENEIRAMENTO DE AREIA COM PENEIRA MANUAL. AF_11/2015</t>
  </si>
  <si>
    <t>ENSACAMENTO DE AREIA. AF_11/2015</t>
  </si>
  <si>
    <t>RASPAGEM / CALAFETACAO TACOS MADEIRA 1 DEMAO CERA</t>
  </si>
  <si>
    <t>ENCERAMENTO MANUAL EM MADEIRA - 3 DEMAOS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</si>
  <si>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</si>
  <si>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</si>
  <si>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</si>
  <si>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</si>
  <si>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</si>
  <si>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</si>
  <si>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</si>
  <si>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</si>
  <si>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</si>
  <si>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</si>
  <si>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</si>
  <si>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</si>
  <si>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</si>
  <si>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</si>
  <si>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</si>
  <si>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</si>
  <si>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</si>
  <si>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</si>
  <si>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</si>
  <si>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</si>
  <si>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</si>
  <si>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</si>
  <si>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</si>
  <si>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</si>
  <si>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</si>
  <si>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</si>
  <si>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</si>
  <si>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</si>
  <si>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</si>
  <si>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</si>
  <si>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</si>
  <si>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</si>
  <si>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</si>
  <si>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</si>
  <si>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</si>
  <si>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</si>
  <si>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</si>
  <si>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</si>
  <si>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</si>
  <si>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</si>
  <si>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</si>
  <si>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</si>
  <si>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</si>
  <si>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</si>
  <si>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</si>
  <si>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</si>
  <si>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</si>
  <si>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</si>
  <si>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</si>
  <si>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</si>
  <si>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</si>
  <si>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</si>
  <si>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</si>
  <si>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</si>
  <si>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</si>
  <si>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</si>
  <si>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</si>
  <si>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</si>
  <si>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</si>
  <si>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</si>
  <si>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</si>
  <si>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</si>
  <si>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</si>
  <si>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</si>
  <si>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</si>
  <si>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</si>
  <si>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</si>
  <si>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</si>
  <si>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</si>
  <si>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</si>
  <si>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</si>
  <si>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</si>
  <si>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</si>
  <si>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</si>
  <si>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</si>
  <si>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</si>
  <si>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</si>
  <si>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</si>
  <si>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</si>
  <si>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</si>
  <si>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</si>
  <si>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</si>
  <si>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</si>
  <si>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</si>
  <si>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</si>
  <si>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</si>
  <si>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</si>
  <si>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</si>
  <si>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</si>
  <si>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</si>
  <si>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</si>
  <si>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</si>
  <si>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</si>
  <si>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</si>
  <si>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</si>
  <si>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</si>
  <si>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</si>
  <si>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</si>
  <si>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</si>
  <si>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</si>
  <si>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</si>
  <si>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</si>
  <si>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</si>
  <si>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</si>
  <si>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</si>
  <si>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</si>
  <si>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</si>
  <si>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</si>
  <si>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</si>
  <si>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</si>
  <si>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</si>
  <si>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</si>
  <si>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</si>
  <si>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</si>
  <si>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</si>
  <si>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</si>
  <si>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</si>
  <si>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</si>
  <si>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</si>
  <si>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</si>
  <si>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</si>
  <si>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</si>
  <si>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</si>
  <si>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</si>
  <si>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</si>
  <si>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</si>
  <si>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</si>
  <si>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</si>
  <si>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</si>
  <si>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</si>
  <si>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</si>
  <si>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</si>
  <si>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</si>
  <si>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</si>
  <si>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</si>
  <si>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</si>
  <si>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</si>
  <si>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</si>
  <si>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</si>
  <si>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</si>
  <si>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</si>
  <si>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</si>
  <si>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</si>
  <si>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</si>
  <si>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</si>
  <si>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ESTRUTURA METÁLICA COM ENCARGOS COMPLEMENTARES</t>
  </si>
  <si>
    <t>AJUDANTE DE OPERAÇÃO EM GERAL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</si>
  <si>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</si>
  <si>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</si>
  <si>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</si>
  <si>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</si>
  <si>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</si>
  <si>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</si>
  <si>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</si>
  <si>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CALAFETADOR/CALAFATE COM ENCARGOS COMPLEMENTARES</t>
  </si>
  <si>
    <t>CAVOUQUEIRO OU OPERADOR PERFURATRIZ/ROMPEDOR COM ENCARGOS COMPLEMENTARES</t>
  </si>
  <si>
    <t>ELETRICISTA INDUSTRIAL COM ENCARGOS COMPLEMENTARES</t>
  </si>
  <si>
    <t>ELETROTÉCNICO COM ENCARGOS COMPLEMENTARES</t>
  </si>
  <si>
    <t>ESTUCADOR COM ENCARGOS COMPLEMENTARES</t>
  </si>
  <si>
    <t>IMPERMEABILIZADOR COM ENCARGOS COMPLEMENTARES</t>
  </si>
  <si>
    <t>MACARIQUEIRO COM ENCARGOS COMPLEMENTARES</t>
  </si>
  <si>
    <t>MECÃNICO DE EQUIPAMENTOS PESADOS COM ENCARGOS COMPLEMENTARES</t>
  </si>
  <si>
    <t>MONTADOR (TUBO AÇO/EQUIPAMENTOS)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</si>
  <si>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</si>
  <si>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</si>
  <si>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</si>
  <si>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</si>
  <si>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</si>
  <si>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</si>
  <si>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</si>
  <si>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</si>
  <si>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</si>
  <si>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</si>
  <si>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</si>
  <si>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</si>
  <si>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</si>
  <si>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</si>
  <si>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</si>
  <si>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</si>
  <si>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</si>
  <si>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</si>
  <si>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</si>
  <si>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</si>
  <si>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</si>
  <si>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</si>
  <si>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</si>
  <si>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</si>
  <si>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</si>
  <si>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</si>
  <si>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</si>
  <si>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</si>
  <si>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</si>
  <si>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</si>
  <si>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</si>
  <si>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</si>
  <si>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</si>
  <si>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</si>
  <si>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TRATORISTA COM ENCARGOS COMPLEMENTARES</t>
  </si>
  <si>
    <t>VIDRACEIRO COM ENCARGOS COMPLEMENTARES</t>
  </si>
  <si>
    <t>OPERADOR DE BETONEIRA ESTACIONÁRIA/MISTURADOR COM ENCARGOS COMPLEMENTARES</t>
  </si>
  <si>
    <t>DESENHISTA DETALHISTA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</si>
  <si>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</si>
  <si>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</si>
  <si>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</si>
  <si>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</si>
  <si>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</si>
  <si>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</si>
  <si>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</si>
  <si>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</si>
  <si>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</si>
  <si>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SENIOR COM ENCARGOS COMPLEMENTARES</t>
  </si>
  <si>
    <t>TOPOGRAFO COM ENCARGOS COMPLEMENTARES</t>
  </si>
  <si>
    <t>ENGENHEIRO ELETRICISTA COM ENCARGOS COMPLEMENTARES</t>
  </si>
  <si>
    <t>ENGENHEIRO SANITARISTA COM ENCARGOS COMPLEMENTARES</t>
  </si>
  <si>
    <t>MES</t>
  </si>
  <si>
    <t>MOTORISTA DE CAMINHAO COM ENCARGOS COMPLEMENTARES</t>
  </si>
  <si>
    <t>ARQUITETO JUNIOR COM ENCARGOS COMPLEMENTARES</t>
  </si>
  <si>
    <t>ARQUITETO PLENO COM ENCARGOS COMPLEMENTARES</t>
  </si>
  <si>
    <t>ARQUITETO SENIOR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</si>
  <si>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</si>
  <si>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</si>
  <si>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</si>
  <si>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</si>
  <si>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</si>
  <si>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</si>
  <si>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</si>
  <si>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</si>
  <si>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</si>
  <si>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</si>
  <si>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</si>
  <si>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</si>
  <si>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</si>
  <si>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</si>
  <si>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</si>
  <si>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</si>
  <si>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</si>
  <si>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</si>
  <si>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</si>
  <si>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</si>
  <si>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</si>
  <si>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</si>
  <si>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</si>
  <si>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</si>
  <si>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</si>
  <si>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</si>
  <si>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</si>
  <si>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</si>
  <si>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</si>
  <si>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</si>
  <si>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</si>
  <si>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</si>
  <si>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</si>
  <si>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</si>
  <si>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</si>
  <si>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</si>
  <si>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</si>
  <si>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</si>
  <si>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</si>
  <si>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</si>
  <si>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</si>
  <si>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</si>
  <si>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</si>
  <si>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</si>
  <si>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</si>
  <si>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</si>
  <si>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</si>
  <si>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</si>
  <si>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</si>
  <si>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</si>
  <si>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</si>
  <si>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</si>
  <si>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</si>
  <si>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</si>
  <si>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</si>
  <si>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</si>
  <si>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</si>
  <si>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</si>
  <si>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</si>
  <si>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</si>
  <si>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</si>
  <si>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</si>
  <si>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</si>
  <si>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</si>
  <si>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</si>
  <si>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</si>
  <si>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</si>
  <si>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</si>
  <si>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</si>
  <si>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</si>
  <si>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</si>
  <si>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</si>
  <si>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</si>
  <si>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</si>
  <si>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</si>
  <si>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</si>
  <si>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</si>
  <si>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</si>
  <si>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</si>
  <si>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</si>
  <si>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</si>
  <si>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</si>
  <si>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</si>
  <si>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</si>
  <si>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</si>
  <si>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</si>
  <si>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</si>
  <si>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</si>
  <si>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</si>
  <si>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</si>
  <si>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</si>
  <si>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</si>
  <si>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</si>
  <si>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</si>
  <si>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</si>
  <si>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</si>
  <si>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</si>
  <si>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</si>
  <si>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</si>
  <si>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</si>
  <si>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</si>
  <si>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</si>
  <si>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</si>
  <si>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</si>
  <si>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</si>
  <si>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</si>
  <si>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</si>
  <si>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</si>
  <si>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</si>
  <si>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</si>
  <si>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</si>
  <si>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</si>
  <si>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</si>
  <si>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</si>
  <si>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</si>
  <si>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CODIGO  </t>
  </si>
  <si>
    <t>DESCRICAO DO INSUMO</t>
  </si>
  <si>
    <t xml:space="preserve">  PRECO MEDIANO R$</t>
  </si>
  <si>
    <t xml:space="preserve">UN    </t>
  </si>
  <si>
    <t>!EM PROCESSO DE DESATIVACAO! DIVISORIA COLMEIA CEGA COM MONTANTE E RODAPE DE ALUMINIO ANODIZADO SIMPLES (SEM COLOCACAO)</t>
  </si>
  <si>
    <t xml:space="preserve">M2    </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</si>
  <si>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</si>
  <si>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</si>
  <si>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</si>
  <si>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</si>
  <si>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</si>
  <si>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</si>
  <si>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</si>
  <si>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</si>
  <si>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</si>
  <si>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</si>
  <si>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</si>
  <si>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</si>
  <si>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</si>
  <si>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</si>
  <si>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</si>
  <si>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</si>
  <si>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</si>
  <si>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</si>
  <si>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</si>
  <si>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</si>
  <si>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</si>
  <si>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</si>
  <si>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</si>
  <si>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</si>
  <si>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</si>
  <si>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</si>
  <si>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</si>
  <si>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</si>
  <si>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</si>
  <si>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</si>
  <si>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</si>
  <si>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</si>
  <si>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</si>
  <si>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</si>
  <si>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</si>
  <si>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</si>
  <si>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</si>
  <si>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</si>
  <si>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</si>
  <si>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</si>
  <si>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</si>
  <si>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</si>
  <si>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</si>
  <si>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</si>
  <si>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</si>
  <si>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</si>
  <si>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</si>
  <si>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</si>
  <si>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</si>
  <si>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</si>
  <si>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</si>
  <si>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</si>
  <si>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</si>
  <si>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</si>
  <si>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</si>
  <si>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</si>
  <si>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</si>
  <si>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</si>
  <si>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</si>
  <si>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</si>
  <si>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 xml:space="preserve">L     </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</si>
  <si>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</si>
  <si>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</si>
  <si>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</si>
  <si>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</si>
  <si>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</si>
  <si>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</si>
  <si>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</si>
  <si>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</si>
  <si>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</si>
  <si>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</si>
  <si>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</si>
  <si>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</si>
  <si>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</si>
  <si>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</si>
  <si>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</si>
  <si>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</si>
  <si>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</si>
  <si>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</si>
  <si>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</si>
  <si>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</si>
  <si>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</si>
  <si>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</si>
  <si>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</si>
  <si>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</si>
  <si>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</si>
  <si>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</si>
  <si>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</si>
  <si>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</si>
  <si>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</si>
  <si>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</si>
  <si>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</si>
  <si>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</si>
  <si>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</si>
  <si>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</si>
  <si>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</si>
  <si>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</si>
  <si>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</si>
  <si>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</si>
  <si>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</si>
  <si>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</si>
  <si>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</si>
  <si>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</si>
  <si>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</si>
  <si>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</si>
  <si>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</si>
  <si>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</si>
  <si>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</si>
  <si>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</si>
  <si>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</si>
  <si>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</si>
  <si>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</si>
  <si>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</si>
  <si>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</si>
  <si>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</si>
  <si>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</si>
  <si>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</si>
  <si>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</si>
  <si>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</si>
  <si>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</si>
  <si>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</si>
  <si>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</si>
  <si>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</si>
  <si>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</si>
  <si>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</si>
  <si>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</si>
  <si>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</si>
  <si>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</si>
  <si>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</si>
  <si>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</si>
  <si>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</si>
  <si>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</si>
  <si>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</si>
  <si>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</si>
  <si>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</si>
  <si>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ADESIVO/COLA PARA EPS (ISOPOR) E OUTROS MATERIAIS</t>
  </si>
  <si>
    <t>ADITIVO ADESIVO LIQUIDO PARA ARGAMASSAS DE REVESTIMENTOS CIMENTICIOS</t>
  </si>
  <si>
    <t xml:space="preserve">18L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</si>
  <si>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</si>
  <si>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</si>
  <si>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</si>
  <si>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</si>
  <si>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</si>
  <si>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TIPO RACHAO RECICLADO CINZA, CLASSE A</t>
  </si>
  <si>
    <t xml:space="preserve">M3    </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</si>
  <si>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</si>
  <si>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</si>
  <si>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</si>
  <si>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</si>
  <si>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</si>
  <si>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</si>
  <si>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</si>
  <si>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</si>
  <si>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</si>
  <si>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</si>
  <si>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</si>
  <si>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</si>
  <si>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</si>
  <si>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</si>
  <si>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</si>
  <si>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</si>
  <si>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</si>
  <si>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</si>
  <si>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</si>
  <si>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</si>
  <si>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</si>
  <si>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</si>
  <si>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</si>
  <si>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</si>
  <si>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</si>
  <si>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</si>
  <si>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</si>
  <si>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</si>
  <si>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</si>
  <si>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</si>
  <si>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</si>
  <si>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</si>
  <si>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</si>
  <si>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</si>
  <si>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</si>
  <si>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</si>
  <si>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</si>
  <si>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</si>
  <si>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DN 40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</si>
  <si>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</si>
  <si>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</si>
  <si>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</si>
  <si>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</si>
  <si>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</si>
  <si>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</si>
  <si>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</si>
  <si>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</si>
  <si>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</si>
  <si>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</si>
  <si>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</si>
  <si>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</si>
  <si>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</si>
  <si>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</si>
  <si>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</si>
  <si>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</si>
  <si>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</si>
  <si>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</si>
  <si>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</si>
  <si>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</si>
  <si>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</si>
  <si>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0,15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</si>
  <si>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</si>
  <si>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</si>
  <si>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</si>
  <si>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</si>
  <si>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</si>
  <si>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</si>
  <si>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</si>
  <si>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</si>
  <si>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</si>
  <si>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</si>
  <si>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</si>
  <si>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</si>
  <si>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</si>
  <si>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</si>
  <si>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</si>
  <si>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</si>
  <si>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</si>
  <si>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</si>
  <si>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</si>
  <si>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</si>
  <si>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</si>
  <si>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</si>
  <si>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</si>
  <si>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</si>
  <si>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</si>
  <si>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</si>
  <si>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</si>
  <si>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</si>
  <si>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</si>
  <si>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</si>
  <si>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</si>
  <si>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</si>
  <si>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</si>
  <si>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</si>
  <si>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</si>
  <si>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</si>
  <si>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</si>
  <si>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</si>
  <si>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</si>
  <si>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</si>
  <si>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</si>
  <si>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</si>
  <si>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</si>
  <si>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</si>
  <si>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</si>
  <si>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</si>
  <si>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</si>
  <si>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</si>
  <si>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</si>
  <si>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</si>
  <si>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</si>
  <si>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</si>
  <si>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</si>
  <si>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</si>
  <si>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</si>
  <si>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</si>
  <si>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</si>
  <si>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</si>
  <si>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</si>
  <si>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</si>
  <si>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</si>
  <si>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</si>
  <si>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</si>
  <si>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</si>
  <si>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</si>
  <si>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</si>
  <si>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</si>
  <si>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</si>
  <si>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</si>
  <si>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</si>
  <si>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</si>
  <si>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</si>
  <si>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</si>
  <si>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</si>
  <si>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</si>
  <si>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</si>
  <si>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</si>
  <si>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</si>
  <si>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</si>
  <si>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</si>
  <si>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</si>
  <si>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</si>
  <si>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</si>
  <si>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</si>
  <si>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</si>
  <si>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</si>
  <si>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</si>
  <si>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</si>
  <si>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</si>
  <si>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</si>
  <si>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</si>
  <si>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</si>
  <si>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</si>
  <si>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</si>
  <si>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</si>
  <si>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</si>
  <si>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</si>
  <si>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</si>
  <si>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</si>
  <si>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</si>
  <si>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</si>
  <si>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</si>
  <si>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</si>
  <si>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</si>
  <si>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</si>
  <si>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</si>
  <si>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</si>
  <si>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</si>
  <si>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</si>
  <si>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</si>
  <si>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</si>
  <si>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</si>
  <si>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</si>
  <si>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</si>
  <si>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</si>
  <si>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</si>
  <si>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</si>
  <si>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</si>
  <si>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</si>
  <si>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</si>
  <si>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</si>
  <si>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</si>
  <si>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</si>
  <si>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</si>
  <si>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</si>
  <si>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</si>
  <si>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</si>
  <si>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</si>
  <si>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</si>
  <si>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</si>
  <si>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</si>
  <si>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</si>
  <si>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</si>
  <si>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</si>
  <si>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</si>
  <si>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</si>
  <si>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</si>
  <si>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</si>
  <si>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</si>
  <si>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</si>
  <si>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</si>
  <si>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</si>
  <si>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</si>
  <si>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</si>
  <si>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</si>
  <si>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</si>
  <si>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</si>
  <si>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</si>
  <si>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</si>
  <si>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</si>
  <si>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</si>
  <si>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</si>
  <si>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</si>
  <si>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</si>
  <si>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</si>
  <si>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</si>
  <si>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</si>
  <si>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</si>
  <si>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</si>
  <si>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</si>
  <si>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</si>
  <si>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</si>
  <si>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</si>
  <si>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</si>
  <si>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COM ENCOSTO, 1,60M* DE COMPRIMENTO, EM TUBO DE ACO CARBONO E PINTURA NO PROCESSO ELETROSTATICO - PARA ACADEMIA AO AR LIVRE / ACADEMIA DA TERCEIRA IDADE - ATI</t>
  </si>
  <si>
    <t>BANDEJA DE PINTURA PARA ROLO 23 CM</t>
  </si>
  <si>
    <t xml:space="preserve">PAR   </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</si>
  <si>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</si>
  <si>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</si>
  <si>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</si>
  <si>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</si>
  <si>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</si>
  <si>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</si>
  <si>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</si>
  <si>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</si>
  <si>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</si>
  <si>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</si>
  <si>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</si>
  <si>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</si>
  <si>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</si>
  <si>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</si>
  <si>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</si>
  <si>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</si>
  <si>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</si>
  <si>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</si>
  <si>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</si>
  <si>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</si>
  <si>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</si>
  <si>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</si>
  <si>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</si>
  <si>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</si>
  <si>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</si>
  <si>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</si>
  <si>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</si>
  <si>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</si>
  <si>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</si>
  <si>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</si>
  <si>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</si>
  <si>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</si>
  <si>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</si>
  <si>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</si>
  <si>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</si>
  <si>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</si>
  <si>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</si>
  <si>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</si>
  <si>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</si>
  <si>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</si>
  <si>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</si>
  <si>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</si>
  <si>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</si>
  <si>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</si>
  <si>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</si>
  <si>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</si>
  <si>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</si>
  <si>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</si>
  <si>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 xml:space="preserve">MIL   </t>
  </si>
  <si>
    <t>BLOCO CERAMICO (ALVENARIA DE VEDACAO), 6 FUROS, DE 9 X 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</si>
  <si>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</si>
  <si>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</si>
  <si>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</si>
  <si>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</si>
  <si>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</si>
  <si>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</si>
  <si>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</si>
  <si>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</si>
  <si>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</si>
  <si>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</si>
  <si>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</si>
  <si>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</si>
  <si>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</si>
  <si>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</si>
  <si>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</si>
  <si>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</si>
  <si>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</si>
  <si>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</si>
  <si>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</si>
  <si>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</si>
  <si>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10 X 30 X 60 CM (E X A X C)</t>
  </si>
  <si>
    <t>BLOCO VEDACAO CONCRETO CELULAR AUTOCLAVADO 15 X 30 X 60 CM (E X A X C)</t>
  </si>
  <si>
    <t>BLOCO VEDACAO CONCRETO CELULAR AUTOCLAVADO 20 X 30 X 60 CM</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</si>
  <si>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</si>
  <si>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</si>
  <si>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</si>
  <si>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</si>
  <si>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</si>
  <si>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</si>
  <si>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</si>
  <si>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</si>
  <si>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</si>
  <si>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</si>
  <si>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</si>
  <si>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</si>
  <si>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</si>
  <si>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</si>
  <si>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</si>
  <si>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</si>
  <si>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</si>
  <si>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</si>
  <si>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</si>
  <si>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</si>
  <si>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</si>
  <si>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</si>
  <si>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</si>
  <si>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</si>
  <si>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</si>
  <si>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</si>
  <si>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</si>
  <si>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</si>
  <si>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</si>
  <si>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</si>
  <si>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</si>
  <si>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</si>
  <si>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</si>
  <si>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</si>
  <si>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</si>
  <si>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</si>
  <si>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</si>
  <si>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</si>
  <si>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</si>
  <si>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</si>
  <si>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</si>
  <si>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</si>
  <si>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</si>
  <si>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</si>
  <si>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</si>
  <si>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</si>
  <si>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</si>
  <si>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</si>
  <si>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</si>
  <si>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S12, COM PARAFUSO DE 5/16" X 80 MM EM ACO ZINCADO COM ROSCA SOBERBA E CABECA SEXTAVADA</t>
  </si>
  <si>
    <t>BUCHA DE NYLON SEM ABA S4</t>
  </si>
  <si>
    <t>BUCHA DE NYLON SEM ABA S5</t>
  </si>
  <si>
    <t>BUCHA DE NYLON SEM ABA S6</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</si>
  <si>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</si>
  <si>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</si>
  <si>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</si>
  <si>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</si>
  <si>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</si>
  <si>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</si>
  <si>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</si>
  <si>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</si>
  <si>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</si>
  <si>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</si>
  <si>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</si>
  <si>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</si>
  <si>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</si>
  <si>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</si>
  <si>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</si>
  <si>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</si>
  <si>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</si>
  <si>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</si>
  <si>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</si>
  <si>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</si>
  <si>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</si>
  <si>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</si>
  <si>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</si>
  <si>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</si>
  <si>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</si>
  <si>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</si>
  <si>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</si>
  <si>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</si>
  <si>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</si>
  <si>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</si>
  <si>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</si>
  <si>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</si>
  <si>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</si>
  <si>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</si>
  <si>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</si>
  <si>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</si>
  <si>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</si>
  <si>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50 X 40 MM, PARA AGUA FRIA PREDIAL</t>
  </si>
  <si>
    <t>BUCHA DE REDUCAO DE PVC, SOLDAVEL, CURTA, COM 75 X 60 MM, PARA AGUA FRIA PREDIAL</t>
  </si>
  <si>
    <t>BUCHA DE REDUCAO DE PVC, SOLDAVEL, LONGA, COM 110 X 60 MM, PARA AGUA FRIA PREDIAL</t>
  </si>
  <si>
    <t>BUCHA DE REDUCAO DE PVC, SOLDAVEL, LONGA, COM 32 X 20 MM, PARA AGUA FRIA PREDIAL</t>
  </si>
  <si>
    <t>BUCHA DE REDUCAO DE PVC, SOLDAVEL, LONGA, COM 40 X 20 MM, PARA AGUA FRIA PREDIAL</t>
  </si>
  <si>
    <t>BUCHA DE REDUCAO DE PVC, SOLDAVEL, LONGA, COM 50 X 20 MM, PARA AGUA FRIA PREDIAL</t>
  </si>
  <si>
    <t>BUCHA DE REDUCAO DE PVC, SOLDAVEL, LONGA, COM 60 X 32 MM, PARA AGUA FRIA PREDIAL</t>
  </si>
  <si>
    <t>BUCHA DE REDUCAO DE PVC, SOLDAVEL, LONGA, COM 60 X 50 MM, PARA AGUA FRIA PREDIAL</t>
  </si>
  <si>
    <t>BUCHA DE REDUCAO DE PVC, SOLDAVEL, LONGA, COM 85 X 60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</si>
  <si>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</si>
  <si>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</si>
  <si>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</si>
  <si>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</si>
  <si>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</si>
  <si>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</si>
  <si>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</si>
  <si>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</si>
  <si>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</si>
  <si>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</si>
  <si>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</si>
  <si>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</si>
  <si>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</si>
  <si>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</si>
  <si>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</si>
  <si>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</si>
  <si>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</si>
  <si>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</si>
  <si>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</si>
  <si>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</si>
  <si>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</si>
  <si>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</si>
  <si>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</si>
  <si>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</si>
  <si>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</si>
  <si>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</si>
  <si>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</si>
  <si>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</si>
  <si>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</si>
  <si>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</si>
  <si>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</si>
  <si>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</si>
  <si>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</si>
  <si>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</si>
  <si>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</si>
  <si>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</si>
  <si>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</si>
  <si>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</si>
  <si>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</si>
  <si>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</si>
  <si>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</si>
  <si>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</si>
  <si>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</si>
  <si>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</si>
  <si>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</si>
  <si>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</si>
  <si>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</si>
  <si>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</si>
  <si>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</si>
  <si>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</si>
  <si>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</si>
  <si>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</si>
  <si>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</si>
  <si>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</si>
  <si>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</si>
  <si>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</si>
  <si>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</si>
  <si>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</si>
  <si>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</si>
  <si>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</si>
  <si>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</si>
  <si>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</si>
  <si>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</si>
  <si>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</si>
  <si>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</si>
  <si>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</si>
  <si>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</si>
  <si>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</si>
  <si>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</si>
  <si>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</si>
  <si>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</si>
  <si>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</si>
  <si>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</si>
  <si>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</si>
  <si>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</si>
  <si>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</si>
  <si>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</si>
  <si>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</si>
  <si>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</si>
  <si>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</si>
  <si>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</si>
  <si>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</si>
  <si>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</si>
  <si>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</si>
  <si>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</si>
  <si>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</si>
  <si>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</si>
  <si>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</si>
  <si>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</si>
  <si>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</si>
  <si>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</si>
  <si>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</si>
  <si>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</si>
  <si>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</si>
  <si>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</si>
  <si>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</si>
  <si>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</si>
  <si>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</si>
  <si>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</si>
  <si>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</si>
  <si>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</si>
  <si>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</si>
  <si>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</si>
  <si>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</si>
  <si>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</si>
  <si>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</si>
  <si>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</si>
  <si>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</si>
  <si>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</si>
  <si>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</si>
  <si>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</si>
  <si>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</si>
  <si>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</si>
  <si>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</si>
  <si>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</si>
  <si>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</si>
  <si>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</si>
  <si>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</si>
  <si>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</si>
  <si>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</si>
  <si>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</si>
  <si>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</si>
  <si>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</si>
  <si>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</si>
  <si>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</si>
  <si>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</si>
  <si>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</si>
  <si>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</si>
  <si>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</si>
  <si>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</si>
  <si>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</si>
  <si>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</si>
  <si>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</si>
  <si>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</si>
  <si>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</si>
  <si>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</si>
  <si>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</si>
  <si>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</si>
  <si>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</si>
  <si>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</si>
  <si>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</si>
  <si>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</si>
  <si>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</si>
  <si>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</si>
  <si>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</si>
  <si>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</si>
  <si>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</si>
  <si>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</si>
  <si>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</si>
  <si>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</si>
  <si>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</si>
  <si>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</si>
  <si>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</si>
  <si>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</si>
  <si>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</si>
  <si>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</si>
  <si>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</si>
  <si>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</si>
  <si>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</si>
  <si>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</si>
  <si>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</si>
  <si>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</si>
  <si>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</si>
  <si>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</si>
  <si>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</si>
  <si>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</si>
  <si>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</si>
  <si>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</si>
  <si>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</si>
  <si>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</si>
  <si>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</si>
  <si>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</si>
  <si>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</si>
  <si>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</si>
  <si>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</si>
  <si>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</si>
  <si>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</si>
  <si>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</si>
  <si>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</si>
  <si>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</si>
  <si>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</si>
  <si>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</si>
  <si>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</si>
  <si>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</si>
  <si>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</si>
  <si>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</si>
  <si>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</si>
  <si>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</si>
  <si>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</si>
  <si>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</si>
  <si>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</si>
  <si>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</si>
  <si>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</si>
  <si>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</si>
  <si>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</si>
  <si>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</si>
  <si>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</si>
  <si>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</si>
  <si>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</si>
  <si>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</si>
  <si>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</si>
  <si>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</si>
  <si>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</si>
  <si>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</si>
  <si>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</si>
  <si>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</si>
  <si>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</si>
  <si>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</si>
  <si>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</si>
  <si>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</si>
  <si>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</si>
  <si>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</si>
  <si>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</si>
  <si>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</si>
  <si>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</si>
  <si>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</si>
  <si>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</si>
  <si>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</si>
  <si>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</si>
  <si>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</si>
  <si>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</si>
  <si>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</si>
  <si>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</si>
  <si>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</si>
  <si>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</si>
  <si>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</si>
  <si>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</si>
  <si>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</si>
  <si>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</si>
  <si>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</si>
  <si>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</si>
  <si>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</si>
  <si>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</si>
  <si>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</si>
  <si>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</si>
  <si>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</si>
  <si>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</si>
  <si>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</si>
  <si>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</si>
  <si>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</si>
  <si>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</si>
  <si>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</si>
  <si>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</si>
  <si>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</si>
  <si>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</si>
  <si>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</si>
  <si>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</si>
  <si>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</si>
  <si>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</si>
  <si>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</si>
  <si>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</si>
  <si>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</si>
  <si>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</si>
  <si>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</si>
  <si>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</si>
  <si>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OCTOGONAL DE FUNDO MOVEL, EM PVC, DE 3" X 3", PARA ELETRODUTO FLEXIVEL CORRUGADO</t>
  </si>
  <si>
    <t>CAIXA OCTOGONAL DE FUNDO MOVEL, EM PVC, DE 4" X 4", PARA ELETRODUTO FLEXIVEL CORRUGADO</t>
  </si>
  <si>
    <t>CAIXA PARA HIDROMETRO CONCRETO PRE MOLDADO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</si>
  <si>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</si>
  <si>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</si>
  <si>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</si>
  <si>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</si>
  <si>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185 X 75 MM, COM GRELHA QUADRADA BRANCA</t>
  </si>
  <si>
    <t>CAIXA SIFONADA PVC, 150 X 185 X 75 MM, COM TAMPA CEGA QUADRADA BRANCA</t>
  </si>
  <si>
    <t>CAIXA SIFONADA PVC, 250 X 230 X 75 MM, COM TAMPA E PORTA TAMPA QUADRADA BRANCA</t>
  </si>
  <si>
    <t>CAL HIDRATADA PARA PINTURA</t>
  </si>
  <si>
    <t>CAL VIRGEM COMUM PARA ARGAMASSAS (NBR 6453)</t>
  </si>
  <si>
    <t>CALAFETADOR / CALAFATE</t>
  </si>
  <si>
    <t>CALAFETADOR / CALAFATE (MENSALISTA)</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</si>
  <si>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</si>
  <si>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</si>
  <si>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</si>
  <si>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</si>
  <si>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</si>
  <si>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</si>
  <si>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</si>
  <si>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</si>
  <si>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</si>
  <si>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</si>
  <si>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</si>
  <si>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</si>
  <si>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</si>
  <si>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</si>
  <si>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</si>
  <si>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</si>
  <si>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</si>
  <si>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</si>
  <si>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</si>
  <si>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</si>
  <si>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</si>
  <si>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</si>
  <si>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</si>
  <si>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</si>
  <si>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</si>
  <si>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</si>
  <si>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</si>
  <si>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</si>
  <si>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</si>
  <si>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</si>
  <si>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</si>
  <si>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</si>
  <si>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</si>
  <si>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</si>
  <si>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</si>
  <si>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</si>
  <si>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</si>
  <si>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</si>
  <si>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</si>
  <si>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</si>
  <si>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</si>
  <si>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</si>
  <si>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</si>
  <si>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</si>
  <si>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</si>
  <si>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</si>
  <si>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</si>
  <si>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</si>
  <si>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</si>
  <si>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</si>
  <si>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</si>
  <si>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</si>
  <si>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</si>
  <si>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</si>
  <si>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</si>
  <si>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</si>
  <si>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</si>
  <si>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</si>
  <si>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</si>
  <si>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</si>
  <si>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</si>
  <si>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</si>
  <si>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</si>
  <si>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</si>
  <si>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</si>
  <si>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</si>
  <si>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</si>
  <si>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</si>
  <si>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</si>
  <si>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</si>
  <si>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</si>
  <si>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</si>
  <si>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</si>
  <si>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</si>
  <si>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</si>
  <si>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</si>
  <si>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</si>
  <si>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</si>
  <si>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</si>
  <si>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</si>
  <si>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</si>
  <si>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</si>
  <si>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</si>
  <si>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</si>
  <si>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</si>
  <si>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</si>
  <si>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</si>
  <si>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</si>
  <si>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</si>
  <si>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</si>
  <si>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</si>
  <si>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</si>
  <si>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</si>
  <si>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</si>
  <si>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</si>
  <si>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</si>
  <si>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</si>
  <si>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</si>
  <si>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</si>
  <si>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</si>
  <si>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</si>
  <si>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</si>
  <si>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</si>
  <si>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</si>
  <si>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</si>
  <si>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</si>
  <si>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</si>
  <si>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</si>
  <si>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</si>
  <si>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</si>
  <si>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</si>
  <si>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</si>
  <si>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</si>
  <si>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</si>
  <si>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</si>
  <si>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</si>
  <si>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</si>
  <si>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</si>
  <si>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</si>
  <si>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</si>
  <si>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</si>
  <si>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</si>
  <si>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</si>
  <si>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</si>
  <si>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</si>
  <si>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</si>
  <si>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</si>
  <si>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</si>
  <si>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</si>
  <si>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</si>
  <si>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</si>
  <si>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</si>
  <si>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</si>
  <si>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</si>
  <si>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</si>
  <si>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</si>
  <si>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</si>
  <si>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</si>
  <si>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</si>
  <si>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</si>
  <si>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</si>
  <si>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</si>
  <si>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</si>
  <si>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</si>
  <si>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</si>
  <si>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</si>
  <si>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</si>
  <si>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</si>
  <si>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</si>
  <si>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</si>
  <si>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</si>
  <si>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</si>
  <si>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</si>
  <si>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</si>
  <si>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</si>
  <si>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</si>
  <si>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</si>
  <si>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</si>
  <si>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</si>
  <si>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</si>
  <si>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</si>
  <si>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</si>
  <si>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</si>
  <si>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</si>
  <si>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</si>
  <si>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</si>
  <si>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</si>
  <si>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</si>
  <si>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</si>
  <si>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</si>
  <si>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</si>
  <si>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</si>
  <si>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</si>
  <si>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</si>
  <si>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</si>
  <si>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</si>
  <si>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</si>
  <si>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</si>
  <si>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</si>
  <si>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</si>
  <si>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</si>
  <si>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</si>
  <si>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</si>
  <si>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</si>
  <si>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</si>
  <si>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</si>
  <si>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</si>
  <si>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</si>
  <si>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</si>
  <si>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</si>
  <si>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</si>
  <si>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</si>
  <si>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</si>
  <si>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</si>
  <si>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</si>
  <si>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</si>
  <si>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</si>
  <si>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</si>
  <si>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</si>
  <si>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</si>
  <si>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</si>
  <si>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</si>
  <si>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</si>
  <si>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</si>
  <si>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</si>
  <si>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</si>
  <si>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</si>
  <si>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</si>
  <si>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</si>
  <si>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</si>
  <si>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</si>
  <si>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</si>
  <si>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</si>
  <si>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</si>
  <si>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</si>
  <si>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</si>
  <si>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</si>
  <si>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</si>
  <si>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</si>
  <si>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</si>
  <si>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</si>
  <si>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</si>
  <si>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</si>
  <si>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</si>
  <si>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</si>
  <si>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</si>
  <si>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</si>
  <si>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</si>
  <si>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</si>
  <si>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IMPERMEABILIZANTE DE PEGA ULTRARRAPIDA PARA TAMPONAMENTOS</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</si>
  <si>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</si>
  <si>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</si>
  <si>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</si>
  <si>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</si>
  <si>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</si>
  <si>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</si>
  <si>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</si>
  <si>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</si>
  <si>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</si>
  <si>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</si>
  <si>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</si>
  <si>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</si>
  <si>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</si>
  <si>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</si>
  <si>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</si>
  <si>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</si>
  <si>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</si>
  <si>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</si>
  <si>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</si>
  <si>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</si>
  <si>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</si>
  <si>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</si>
  <si>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</si>
  <si>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</si>
  <si>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</si>
  <si>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</si>
  <si>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</si>
  <si>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</si>
  <si>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</si>
  <si>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</si>
  <si>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</si>
  <si>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</si>
  <si>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</si>
  <si>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</si>
  <si>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</si>
  <si>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</si>
  <si>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</si>
  <si>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</si>
  <si>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</si>
  <si>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</si>
  <si>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</si>
  <si>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</si>
  <si>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</si>
  <si>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</si>
  <si>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</si>
  <si>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</si>
  <si>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</si>
  <si>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</si>
  <si>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</si>
  <si>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</si>
  <si>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</si>
  <si>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</si>
  <si>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</si>
  <si>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</si>
  <si>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</si>
  <si>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</si>
  <si>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</si>
  <si>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</si>
  <si>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</si>
  <si>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</si>
  <si>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</si>
  <si>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</si>
  <si>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</si>
  <si>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</si>
  <si>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</si>
  <si>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</si>
  <si>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</si>
  <si>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</si>
  <si>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</si>
  <si>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</si>
  <si>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</si>
  <si>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</si>
  <si>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</si>
  <si>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</si>
  <si>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</si>
  <si>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</si>
  <si>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</si>
  <si>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</si>
  <si>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</si>
  <si>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</si>
  <si>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</si>
  <si>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</si>
  <si>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</si>
  <si>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</si>
  <si>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</si>
  <si>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</si>
  <si>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</si>
  <si>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</si>
  <si>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</si>
  <si>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</si>
  <si>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</si>
  <si>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</si>
  <si>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</si>
  <si>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</si>
  <si>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</si>
  <si>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</si>
  <si>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</si>
  <si>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</si>
  <si>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</si>
  <si>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</si>
  <si>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</si>
  <si>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</si>
  <si>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</si>
  <si>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</si>
  <si>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</si>
  <si>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</si>
  <si>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</si>
  <si>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</si>
  <si>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</si>
  <si>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</si>
  <si>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</si>
  <si>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</si>
  <si>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</si>
  <si>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</si>
  <si>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</si>
  <si>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</si>
  <si>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</si>
  <si>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</si>
  <si>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</si>
  <si>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</si>
  <si>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</si>
  <si>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</si>
  <si>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</si>
  <si>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</si>
  <si>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</si>
  <si>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</si>
  <si>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</si>
  <si>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</si>
  <si>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</si>
  <si>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</si>
  <si>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</si>
  <si>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</si>
  <si>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</si>
  <si>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</si>
  <si>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</si>
  <si>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</si>
  <si>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</si>
  <si>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</si>
  <si>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</si>
  <si>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</si>
  <si>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</si>
  <si>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</si>
  <si>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</si>
  <si>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</si>
  <si>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</si>
  <si>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</si>
  <si>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</si>
  <si>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</si>
  <si>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</si>
  <si>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</si>
  <si>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</si>
  <si>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</si>
  <si>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</si>
  <si>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</si>
  <si>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</si>
  <si>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</si>
  <si>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</si>
  <si>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</si>
  <si>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</si>
  <si>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</si>
  <si>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</si>
  <si>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</si>
  <si>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</si>
  <si>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</si>
  <si>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</si>
  <si>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</si>
  <si>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</si>
  <si>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</si>
  <si>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</si>
  <si>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</si>
  <si>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</si>
  <si>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</si>
  <si>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</si>
  <si>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</si>
  <si>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</si>
  <si>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</si>
  <si>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</si>
  <si>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</si>
  <si>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</si>
  <si>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</si>
  <si>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</si>
  <si>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</si>
  <si>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</si>
  <si>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</si>
  <si>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</si>
  <si>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</si>
  <si>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</si>
  <si>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</si>
  <si>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</si>
  <si>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</si>
  <si>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</si>
  <si>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</si>
  <si>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</si>
  <si>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</si>
  <si>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</si>
  <si>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</si>
  <si>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</si>
  <si>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</si>
  <si>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</si>
  <si>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</si>
  <si>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</si>
  <si>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</si>
  <si>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</si>
  <si>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</si>
  <si>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</si>
  <si>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</si>
  <si>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</si>
  <si>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</si>
  <si>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</si>
  <si>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</si>
  <si>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</si>
  <si>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</si>
  <si>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</si>
  <si>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</si>
  <si>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</si>
  <si>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</si>
  <si>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</si>
  <si>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</si>
  <si>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</si>
  <si>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</si>
  <si>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</si>
  <si>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</si>
  <si>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</si>
  <si>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</si>
  <si>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</si>
  <si>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</si>
  <si>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</si>
  <si>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</si>
  <si>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</si>
  <si>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</si>
  <si>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</si>
  <si>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</si>
  <si>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</si>
  <si>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</si>
  <si>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</si>
  <si>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</si>
  <si>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</si>
  <si>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</si>
  <si>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</si>
  <si>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</si>
  <si>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</si>
  <si>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</si>
  <si>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</si>
  <si>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</si>
  <si>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</si>
  <si>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</si>
  <si>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</si>
  <si>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</si>
  <si>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</si>
  <si>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</si>
  <si>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</si>
  <si>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</si>
  <si>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</si>
  <si>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</si>
  <si>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</si>
  <si>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</si>
  <si>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</si>
  <si>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</si>
  <si>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</si>
  <si>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</si>
  <si>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</si>
  <si>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</si>
  <si>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</si>
  <si>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</si>
  <si>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</si>
  <si>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</si>
  <si>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</si>
  <si>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</si>
  <si>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</si>
  <si>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</si>
  <si>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</si>
  <si>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</si>
  <si>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</si>
  <si>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</si>
  <si>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</si>
  <si>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</si>
  <si>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</si>
  <si>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</si>
  <si>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</si>
  <si>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</si>
  <si>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</si>
  <si>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</si>
  <si>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</si>
  <si>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</si>
  <si>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</si>
  <si>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</si>
  <si>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</si>
  <si>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</si>
  <si>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</si>
  <si>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</si>
  <si>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</si>
  <si>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</si>
  <si>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</si>
  <si>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</si>
  <si>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</si>
  <si>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</si>
  <si>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</si>
  <si>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</si>
  <si>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</si>
  <si>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</si>
  <si>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</si>
  <si>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</si>
  <si>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</si>
  <si>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</si>
  <si>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</si>
  <si>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</si>
  <si>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</si>
  <si>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</si>
  <si>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</si>
  <si>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</si>
  <si>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</si>
  <si>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</si>
  <si>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</si>
  <si>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</si>
  <si>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</si>
  <si>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</si>
  <si>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</si>
  <si>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</si>
  <si>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</si>
  <si>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</si>
  <si>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</si>
  <si>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</si>
  <si>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</si>
  <si>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</si>
  <si>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</si>
  <si>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</si>
  <si>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</si>
  <si>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</si>
  <si>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</si>
  <si>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</si>
  <si>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</si>
  <si>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</si>
  <si>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</si>
  <si>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</si>
  <si>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</si>
  <si>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</si>
  <si>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</si>
  <si>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</si>
  <si>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</si>
  <si>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</si>
  <si>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</si>
  <si>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</si>
  <si>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</si>
  <si>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</si>
  <si>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</si>
  <si>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</si>
  <si>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</si>
  <si>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</si>
  <si>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</si>
  <si>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</si>
  <si>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</si>
  <si>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</si>
  <si>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</si>
  <si>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</si>
  <si>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</si>
  <si>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</si>
  <si>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</si>
  <si>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</si>
  <si>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</si>
  <si>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</si>
  <si>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</si>
  <si>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</si>
  <si>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</si>
  <si>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</si>
  <si>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</si>
  <si>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</si>
  <si>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</si>
  <si>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</si>
  <si>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</si>
  <si>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</si>
  <si>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</si>
  <si>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</si>
  <si>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</si>
  <si>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</si>
  <si>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</si>
  <si>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</si>
  <si>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</si>
  <si>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</si>
  <si>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</si>
  <si>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</si>
  <si>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</si>
  <si>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</si>
  <si>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</si>
  <si>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</si>
  <si>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</si>
  <si>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</si>
  <si>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</si>
  <si>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</si>
  <si>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</si>
  <si>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</si>
  <si>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</si>
  <si>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</si>
  <si>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</si>
  <si>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</si>
  <si>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45G, DN 50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</si>
  <si>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</si>
  <si>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</si>
  <si>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</si>
  <si>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</si>
  <si>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</si>
  <si>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</si>
  <si>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</si>
  <si>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</si>
  <si>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</si>
  <si>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</si>
  <si>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</si>
  <si>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</si>
  <si>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</si>
  <si>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</si>
  <si>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</si>
  <si>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</si>
  <si>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</si>
  <si>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</si>
  <si>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</si>
  <si>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</si>
  <si>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</si>
  <si>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</si>
  <si>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</si>
  <si>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</si>
  <si>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</si>
  <si>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</si>
  <si>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</si>
  <si>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</si>
  <si>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</si>
  <si>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</si>
  <si>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</si>
  <si>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</si>
  <si>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</si>
  <si>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</si>
  <si>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</si>
  <si>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</si>
  <si>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</si>
  <si>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</si>
  <si>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</si>
  <si>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</si>
  <si>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</si>
  <si>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</si>
  <si>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</si>
  <si>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</si>
  <si>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</si>
  <si>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</si>
  <si>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</si>
  <si>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</si>
  <si>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</si>
  <si>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</si>
  <si>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</si>
  <si>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</si>
  <si>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</si>
  <si>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</si>
  <si>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</si>
  <si>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</si>
  <si>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</si>
  <si>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</si>
  <si>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</si>
  <si>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</si>
  <si>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</si>
  <si>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</si>
  <si>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</si>
  <si>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</si>
  <si>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</si>
  <si>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</si>
  <si>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</si>
  <si>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</si>
  <si>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</si>
  <si>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</si>
  <si>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</si>
  <si>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</si>
  <si>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</si>
  <si>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</si>
  <si>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</si>
  <si>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</si>
  <si>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</si>
  <si>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</si>
  <si>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</si>
  <si>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</si>
  <si>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</si>
  <si>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</si>
  <si>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</si>
  <si>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</si>
  <si>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</si>
  <si>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</si>
  <si>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</si>
  <si>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</si>
  <si>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</si>
  <si>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</si>
  <si>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</si>
  <si>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</si>
  <si>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</si>
  <si>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</si>
  <si>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</si>
  <si>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</si>
  <si>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</si>
  <si>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</si>
  <si>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</si>
  <si>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</si>
  <si>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</si>
  <si>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</si>
  <si>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</si>
  <si>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</si>
  <si>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</si>
  <si>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</si>
  <si>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</si>
  <si>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</si>
  <si>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</si>
  <si>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</si>
  <si>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</si>
  <si>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</si>
  <si>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</si>
  <si>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</si>
  <si>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</si>
  <si>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</si>
  <si>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</si>
  <si>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</si>
  <si>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</si>
  <si>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</si>
  <si>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</si>
  <si>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</si>
  <si>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</si>
  <si>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</si>
  <si>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</si>
  <si>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</si>
  <si>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</si>
  <si>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</si>
  <si>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</si>
  <si>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</si>
  <si>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</si>
  <si>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</si>
  <si>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</si>
  <si>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</si>
  <si>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</si>
  <si>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</si>
  <si>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</si>
  <si>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</si>
  <si>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</si>
  <si>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</si>
  <si>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</si>
  <si>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</si>
  <si>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</si>
  <si>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</si>
  <si>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</si>
  <si>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</si>
  <si>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</si>
  <si>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</si>
  <si>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</si>
  <si>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</si>
  <si>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</si>
  <si>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</si>
  <si>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</si>
  <si>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</si>
  <si>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</si>
  <si>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</si>
  <si>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</si>
  <si>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</si>
  <si>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</si>
  <si>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</si>
  <si>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</si>
  <si>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</si>
  <si>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</si>
  <si>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</si>
  <si>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</si>
  <si>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</si>
  <si>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</si>
  <si>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</si>
  <si>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</si>
  <si>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</si>
  <si>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</si>
  <si>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</si>
  <si>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</si>
  <si>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</si>
  <si>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</si>
  <si>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</si>
  <si>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</si>
  <si>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</si>
  <si>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</si>
  <si>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</si>
  <si>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</si>
  <si>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</si>
  <si>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</si>
  <si>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</si>
  <si>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</si>
  <si>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</si>
  <si>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</si>
  <si>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</si>
  <si>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</si>
  <si>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</si>
  <si>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</si>
  <si>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</si>
  <si>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</si>
  <si>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</si>
  <si>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</si>
  <si>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</si>
  <si>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</si>
  <si>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</si>
  <si>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</si>
  <si>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</si>
  <si>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</si>
  <si>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</si>
  <si>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</si>
  <si>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</si>
  <si>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</si>
  <si>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</si>
  <si>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</si>
  <si>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</si>
  <si>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</si>
  <si>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</si>
  <si>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</si>
  <si>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</si>
  <si>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</si>
  <si>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</si>
  <si>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</si>
  <si>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</si>
  <si>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</si>
  <si>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</si>
  <si>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</si>
  <si>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</si>
  <si>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</si>
  <si>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</si>
  <si>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</si>
  <si>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</si>
  <si>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</si>
  <si>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</si>
  <si>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</si>
  <si>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</si>
  <si>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</si>
  <si>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</si>
  <si>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</si>
  <si>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</si>
  <si>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</si>
  <si>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</si>
  <si>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</si>
  <si>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</si>
  <si>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</si>
  <si>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</si>
  <si>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</si>
  <si>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</si>
  <si>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</si>
  <si>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</si>
  <si>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</si>
  <si>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</si>
  <si>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</si>
  <si>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</si>
  <si>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</si>
  <si>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</si>
  <si>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</si>
  <si>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</si>
  <si>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</si>
  <si>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</si>
  <si>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</si>
  <si>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</si>
  <si>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</si>
  <si>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</si>
  <si>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</si>
  <si>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</si>
  <si>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</si>
  <si>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</si>
  <si>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</si>
  <si>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</si>
  <si>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</si>
  <si>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</si>
  <si>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</si>
  <si>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</si>
  <si>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</si>
  <si>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</si>
  <si>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</si>
  <si>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</si>
  <si>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</si>
  <si>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</si>
  <si>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</si>
  <si>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</si>
  <si>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</si>
  <si>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</si>
  <si>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</si>
  <si>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</si>
  <si>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</si>
  <si>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</si>
  <si>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</si>
  <si>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</si>
  <si>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</si>
  <si>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</si>
  <si>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</si>
  <si>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</si>
  <si>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E7018, DIAMETRO IGUAL A 4,00 MM</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</si>
  <si>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</si>
  <si>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</si>
  <si>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</si>
  <si>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</si>
  <si>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</si>
  <si>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</si>
  <si>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</si>
  <si>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</si>
  <si>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</si>
  <si>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</si>
  <si>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</si>
  <si>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</si>
  <si>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</si>
  <si>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</si>
  <si>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</si>
  <si>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</si>
  <si>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</si>
  <si>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</si>
  <si>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</si>
  <si>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</si>
  <si>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</si>
  <si>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</si>
  <si>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</si>
  <si>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</si>
  <si>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</si>
  <si>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</si>
  <si>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</si>
  <si>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</si>
  <si>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</si>
  <si>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</si>
  <si>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</si>
  <si>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</si>
  <si>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</si>
  <si>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</si>
  <si>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</si>
  <si>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</si>
  <si>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</si>
  <si>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</si>
  <si>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</si>
  <si>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</si>
  <si>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</si>
  <si>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</si>
  <si>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</si>
  <si>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</si>
  <si>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</si>
  <si>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</si>
  <si>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</si>
  <si>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</si>
  <si>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</si>
  <si>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</si>
  <si>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</si>
  <si>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</si>
  <si>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</si>
  <si>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</si>
  <si>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</si>
  <si>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</si>
  <si>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</si>
  <si>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</si>
  <si>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</si>
  <si>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</si>
  <si>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</si>
  <si>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</si>
  <si>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</si>
  <si>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</si>
  <si>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</si>
  <si>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</si>
  <si>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</si>
  <si>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</si>
  <si>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</si>
  <si>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</si>
  <si>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</si>
  <si>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</si>
  <si>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</si>
  <si>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</si>
  <si>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</si>
  <si>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</si>
  <si>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</si>
  <si>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</si>
  <si>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</si>
  <si>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</si>
  <si>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</si>
  <si>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</si>
  <si>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</si>
  <si>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</si>
  <si>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</si>
  <si>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</si>
  <si>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</si>
  <si>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</si>
  <si>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</si>
  <si>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</si>
  <si>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</si>
  <si>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</si>
  <si>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</si>
  <si>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</si>
  <si>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</si>
  <si>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</si>
  <si>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</si>
  <si>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</si>
  <si>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</si>
  <si>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</si>
  <si>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</si>
  <si>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</si>
  <si>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</si>
  <si>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</si>
  <si>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</si>
  <si>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</si>
  <si>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</si>
  <si>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</si>
  <si>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</si>
  <si>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</si>
  <si>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</si>
  <si>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</si>
  <si>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</si>
  <si>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</si>
  <si>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</si>
  <si>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</si>
  <si>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</si>
  <si>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</si>
  <si>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</si>
  <si>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</si>
  <si>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</si>
  <si>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</si>
  <si>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</si>
  <si>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</si>
  <si>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</si>
  <si>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</si>
  <si>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</si>
  <si>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</si>
  <si>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</si>
  <si>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</si>
  <si>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</si>
  <si>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</si>
  <si>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</si>
  <si>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</si>
  <si>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</si>
  <si>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</si>
  <si>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</si>
  <si>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</si>
  <si>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</si>
  <si>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</si>
  <si>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</si>
  <si>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</si>
  <si>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</si>
  <si>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</si>
  <si>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</si>
  <si>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</si>
  <si>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</si>
  <si>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</si>
  <si>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</si>
  <si>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</si>
  <si>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</si>
  <si>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</si>
  <si>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</si>
  <si>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</si>
  <si>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</si>
  <si>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</si>
  <si>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</si>
  <si>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</si>
  <si>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</si>
  <si>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</si>
  <si>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</si>
  <si>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</si>
  <si>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</si>
  <si>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</si>
  <si>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</si>
  <si>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</si>
  <si>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</si>
  <si>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</si>
  <si>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</si>
  <si>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</si>
  <si>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</si>
  <si>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</si>
  <si>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</si>
  <si>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</si>
  <si>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</si>
  <si>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</si>
  <si>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</si>
  <si>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</si>
  <si>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</si>
  <si>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</si>
  <si>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</si>
  <si>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</si>
  <si>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</si>
  <si>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</si>
  <si>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</si>
  <si>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</si>
  <si>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</si>
  <si>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</si>
  <si>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</si>
  <si>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</si>
  <si>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</si>
  <si>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</si>
  <si>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</si>
  <si>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</si>
  <si>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</si>
  <si>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</si>
  <si>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</si>
  <si>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</si>
  <si>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</si>
  <si>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</si>
  <si>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</si>
  <si>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</si>
  <si>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</si>
  <si>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</si>
  <si>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</si>
  <si>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</si>
  <si>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</si>
  <si>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</si>
  <si>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EM FERRO ZINCADO, LEVE, 3", COM PORTA CADEADO, PARA PORTAO, PORTA E JANELA - INCLUI PARAFUSOS</t>
  </si>
  <si>
    <t>FERTILIZANTE NPK - 4: 14: 8</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</si>
  <si>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</si>
  <si>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</si>
  <si>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</si>
  <si>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</si>
  <si>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</si>
  <si>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</si>
  <si>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</si>
  <si>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</si>
  <si>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</si>
  <si>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</si>
  <si>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</si>
  <si>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</si>
  <si>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</si>
  <si>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</si>
  <si>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</si>
  <si>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</si>
  <si>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</si>
  <si>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</si>
  <si>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</si>
  <si>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</si>
  <si>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</si>
  <si>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</si>
  <si>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REFORCADA COM LAMINA DE METAL PARA REFORCO DE CANTOS DE CHAPA DE GESSO PARA DRYWALL</t>
  </si>
  <si>
    <t>FITA ISOLANTE ADESIVA ANTICHAMA, USO ATE 750 V, EM ROLO DE 19 MM X 20 M</t>
  </si>
  <si>
    <t>FITA ISOLANTE DE BORRACHA AUTOFUSAO, USO ATE 69 KV (ALTA TENSAO)</t>
  </si>
  <si>
    <t>FITA METALICA GRAVADA, L = 17 MM, ROLO DE 25 M, CARGA RECOMENDADA = *120*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</si>
  <si>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</si>
  <si>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</si>
  <si>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</si>
  <si>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</si>
  <si>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</si>
  <si>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</si>
  <si>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</si>
  <si>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</si>
  <si>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</si>
  <si>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</si>
  <si>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</si>
  <si>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</si>
  <si>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</si>
  <si>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</si>
  <si>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</si>
  <si>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</si>
  <si>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</si>
  <si>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</si>
  <si>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</si>
  <si>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</si>
  <si>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</si>
  <si>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</si>
  <si>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</si>
  <si>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</si>
  <si>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</si>
  <si>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</si>
  <si>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</si>
  <si>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</si>
  <si>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</si>
  <si>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</si>
  <si>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</si>
  <si>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</si>
  <si>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</si>
  <si>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</si>
  <si>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</si>
  <si>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</si>
  <si>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</si>
  <si>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</si>
  <si>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</si>
  <si>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</si>
  <si>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</si>
  <si>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</si>
  <si>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</si>
  <si>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</si>
  <si>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</si>
  <si>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</si>
  <si>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</si>
  <si>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</si>
  <si>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</si>
  <si>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</si>
  <si>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PREPARADOR ACRILICO BASE AGUA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</si>
  <si>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</si>
  <si>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</si>
  <si>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</si>
  <si>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</si>
  <si>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</si>
  <si>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</si>
  <si>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</si>
  <si>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</si>
  <si>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</si>
  <si>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</si>
  <si>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</si>
  <si>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</si>
  <si>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</si>
  <si>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</si>
  <si>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</si>
  <si>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</si>
  <si>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</si>
  <si>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</si>
  <si>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</si>
  <si>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</si>
  <si>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</si>
  <si>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</si>
  <si>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</si>
  <si>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</si>
  <si>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</si>
  <si>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</si>
  <si>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</si>
  <si>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</si>
  <si>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</si>
  <si>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</si>
  <si>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</si>
  <si>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</si>
  <si>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</si>
  <si>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</si>
  <si>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</si>
  <si>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</si>
  <si>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</si>
  <si>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</si>
  <si>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</si>
  <si>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</si>
  <si>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</si>
  <si>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</si>
  <si>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</si>
  <si>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</si>
  <si>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</si>
  <si>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</si>
  <si>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</si>
  <si>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</si>
  <si>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</si>
  <si>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</si>
  <si>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</si>
  <si>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</si>
  <si>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</si>
  <si>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</si>
  <si>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</si>
  <si>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</si>
  <si>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</si>
  <si>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</si>
  <si>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</si>
  <si>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</si>
  <si>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</si>
  <si>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</si>
  <si>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</si>
  <si>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</si>
  <si>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</si>
  <si>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</si>
  <si>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</si>
  <si>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</si>
  <si>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</si>
  <si>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</si>
  <si>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</si>
  <si>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</si>
  <si>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</si>
  <si>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</si>
  <si>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</si>
  <si>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</si>
  <si>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</si>
  <si>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</si>
  <si>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</si>
  <si>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</si>
  <si>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</si>
  <si>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</si>
  <si>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</si>
  <si>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</si>
  <si>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</si>
  <si>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</si>
  <si>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</si>
  <si>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</si>
  <si>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</si>
  <si>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</si>
  <si>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</si>
  <si>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</si>
  <si>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</si>
  <si>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</si>
  <si>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</si>
  <si>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</si>
  <si>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</si>
  <si>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</si>
  <si>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</si>
  <si>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</si>
  <si>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</si>
  <si>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</si>
  <si>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</si>
  <si>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</si>
  <si>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</si>
  <si>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</si>
  <si>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</si>
  <si>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</si>
  <si>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</si>
  <si>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</si>
  <si>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</si>
  <si>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</si>
  <si>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</si>
  <si>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</si>
  <si>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</si>
  <si>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</si>
  <si>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</si>
  <si>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</si>
  <si>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</si>
  <si>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</si>
  <si>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</si>
  <si>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</si>
  <si>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</si>
  <si>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</si>
  <si>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</si>
  <si>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</si>
  <si>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</si>
  <si>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</si>
  <si>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</si>
  <si>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</si>
  <si>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</si>
  <si>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</si>
  <si>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</si>
  <si>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</si>
  <si>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</si>
  <si>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</si>
  <si>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</si>
  <si>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</si>
  <si>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</si>
  <si>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</si>
  <si>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</si>
  <si>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</si>
  <si>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</si>
  <si>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</si>
  <si>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</si>
  <si>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</si>
  <si>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</si>
  <si>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</si>
  <si>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</si>
  <si>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</si>
  <si>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</si>
  <si>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</si>
  <si>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</si>
  <si>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</si>
  <si>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</si>
  <si>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</si>
  <si>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</si>
  <si>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</si>
  <si>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</si>
  <si>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</si>
  <si>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</si>
  <si>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</si>
  <si>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</si>
  <si>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</si>
  <si>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</si>
  <si>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</si>
  <si>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</si>
  <si>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</si>
  <si>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</si>
  <si>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</si>
  <si>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</si>
  <si>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</si>
  <si>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</si>
  <si>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</si>
  <si>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</si>
  <si>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</si>
  <si>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</si>
  <si>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</si>
  <si>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</si>
  <si>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</si>
  <si>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</si>
  <si>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</si>
  <si>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</si>
  <si>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</si>
  <si>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</si>
  <si>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</si>
  <si>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</si>
  <si>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</si>
  <si>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</si>
  <si>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</si>
  <si>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</si>
  <si>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</si>
  <si>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</si>
  <si>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</si>
  <si>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</si>
  <si>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</si>
  <si>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</si>
  <si>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</si>
  <si>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</si>
  <si>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</si>
  <si>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</si>
  <si>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</si>
  <si>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</si>
  <si>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</si>
  <si>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</si>
  <si>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</si>
  <si>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</si>
  <si>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</si>
  <si>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</si>
  <si>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</si>
  <si>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</si>
  <si>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</si>
  <si>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</si>
  <si>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</si>
  <si>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</si>
  <si>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</si>
  <si>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</si>
  <si>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</si>
  <si>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</si>
  <si>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</si>
  <si>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</si>
  <si>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</si>
  <si>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</si>
  <si>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</si>
  <si>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</si>
  <si>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</si>
  <si>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</si>
  <si>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</si>
  <si>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</si>
  <si>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</si>
  <si>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</si>
  <si>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</si>
  <si>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</si>
  <si>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</si>
  <si>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</si>
  <si>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</si>
  <si>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</si>
  <si>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</si>
  <si>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</si>
  <si>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</si>
  <si>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</si>
  <si>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</si>
  <si>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</si>
  <si>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</si>
  <si>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</si>
  <si>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</si>
  <si>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</si>
  <si>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</si>
  <si>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</si>
  <si>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</si>
  <si>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</si>
  <si>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</si>
  <si>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</si>
  <si>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</si>
  <si>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</si>
  <si>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</si>
  <si>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</si>
  <si>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</si>
  <si>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</si>
  <si>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</si>
  <si>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</si>
  <si>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</si>
  <si>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</si>
  <si>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</si>
  <si>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</si>
  <si>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</si>
  <si>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</si>
  <si>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</si>
  <si>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</si>
  <si>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</si>
  <si>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</si>
  <si>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</si>
  <si>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</si>
  <si>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</si>
  <si>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</si>
  <si>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</si>
  <si>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</si>
  <si>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</si>
  <si>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</si>
  <si>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</si>
  <si>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</si>
  <si>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</si>
  <si>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</si>
  <si>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</si>
  <si>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</si>
  <si>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</si>
  <si>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</si>
  <si>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</si>
  <si>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</si>
  <si>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</si>
  <si>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</si>
  <si>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</si>
  <si>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</si>
  <si>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</si>
  <si>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</si>
  <si>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</si>
  <si>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</si>
  <si>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</si>
  <si>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</si>
  <si>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</si>
  <si>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</si>
  <si>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</si>
  <si>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</si>
  <si>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</si>
  <si>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</si>
  <si>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</si>
  <si>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</si>
  <si>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</si>
  <si>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</si>
  <si>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</si>
  <si>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</si>
  <si>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</si>
  <si>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</si>
  <si>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</si>
  <si>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</si>
  <si>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</si>
  <si>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</si>
  <si>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</si>
  <si>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</si>
  <si>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</si>
  <si>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</si>
  <si>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</si>
  <si>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</si>
  <si>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</si>
  <si>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</si>
  <si>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</si>
  <si>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</si>
  <si>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</si>
  <si>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</si>
  <si>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</si>
  <si>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</si>
  <si>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</si>
  <si>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</si>
  <si>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</si>
  <si>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</si>
  <si>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</si>
  <si>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</si>
  <si>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</si>
  <si>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</si>
  <si>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</si>
  <si>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</si>
  <si>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</si>
  <si>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</si>
  <si>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</si>
  <si>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</si>
  <si>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</si>
  <si>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</si>
  <si>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</si>
  <si>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</si>
  <si>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</si>
  <si>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</si>
  <si>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</si>
  <si>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</si>
  <si>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</si>
  <si>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</si>
  <si>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</si>
  <si>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</si>
  <si>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</si>
  <si>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</si>
  <si>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</si>
  <si>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</si>
  <si>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</si>
  <si>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</si>
  <si>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</si>
  <si>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</si>
  <si>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</si>
  <si>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</si>
  <si>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</si>
  <si>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</si>
  <si>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</si>
  <si>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</si>
  <si>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</si>
  <si>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</si>
  <si>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</si>
  <si>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</si>
  <si>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</si>
  <si>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</si>
  <si>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</si>
  <si>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</si>
  <si>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</si>
  <si>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</si>
  <si>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</si>
  <si>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</si>
  <si>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</si>
  <si>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</si>
  <si>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</si>
  <si>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</si>
  <si>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</si>
  <si>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</si>
  <si>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</si>
  <si>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</si>
  <si>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</si>
  <si>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</si>
  <si>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</si>
  <si>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</si>
  <si>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</si>
  <si>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</si>
  <si>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</si>
  <si>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</si>
  <si>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</si>
  <si>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</si>
  <si>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</si>
  <si>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</si>
  <si>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</si>
  <si>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</si>
  <si>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</si>
  <si>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</si>
  <si>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</si>
  <si>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</si>
  <si>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</si>
  <si>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</si>
  <si>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</si>
  <si>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</si>
  <si>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</si>
  <si>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</si>
  <si>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</si>
  <si>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</si>
  <si>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</si>
  <si>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</si>
  <si>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</si>
  <si>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</si>
  <si>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</si>
  <si>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</si>
  <si>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</si>
  <si>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</si>
  <si>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</si>
  <si>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</si>
  <si>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</si>
  <si>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</si>
  <si>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</si>
  <si>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</si>
  <si>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</si>
  <si>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</si>
  <si>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</si>
  <si>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</si>
  <si>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</si>
  <si>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</si>
  <si>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</si>
  <si>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</si>
  <si>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</si>
  <si>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</si>
  <si>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</si>
  <si>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</si>
  <si>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</si>
  <si>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</si>
  <si>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</si>
  <si>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</si>
  <si>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</si>
  <si>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</si>
  <si>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</si>
  <si>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</si>
  <si>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</si>
  <si>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</si>
  <si>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</si>
  <si>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</si>
  <si>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</si>
  <si>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</si>
  <si>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</si>
  <si>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</si>
  <si>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</si>
  <si>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</si>
  <si>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</si>
  <si>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</si>
  <si>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</si>
  <si>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</si>
  <si>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</si>
  <si>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</si>
  <si>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</si>
  <si>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</si>
  <si>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</si>
  <si>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</si>
  <si>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9/10 W, BASE G13</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</si>
  <si>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</si>
  <si>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</si>
  <si>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</si>
  <si>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</si>
  <si>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</si>
  <si>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</si>
  <si>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</si>
  <si>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</si>
  <si>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</si>
  <si>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</si>
  <si>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</si>
  <si>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</si>
  <si>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</si>
  <si>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</si>
  <si>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</si>
  <si>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</si>
  <si>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</si>
  <si>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</si>
  <si>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</si>
  <si>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</si>
  <si>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</si>
  <si>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</si>
  <si>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</si>
  <si>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</si>
  <si>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</si>
  <si>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</si>
  <si>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</si>
  <si>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</si>
  <si>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</si>
  <si>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</si>
  <si>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</si>
  <si>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</si>
  <si>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</si>
  <si>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</si>
  <si>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</si>
  <si>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</si>
  <si>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</si>
  <si>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</si>
  <si>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</si>
  <si>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</si>
  <si>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</si>
  <si>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</si>
  <si>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</si>
  <si>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</si>
  <si>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</si>
  <si>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</si>
  <si>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</si>
  <si>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</si>
  <si>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</si>
  <si>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</si>
  <si>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</si>
  <si>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</si>
  <si>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</si>
  <si>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</si>
  <si>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</si>
  <si>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</si>
  <si>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</si>
  <si>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</si>
  <si>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</si>
  <si>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</si>
  <si>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</si>
  <si>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</si>
  <si>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</si>
  <si>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</si>
  <si>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</si>
  <si>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</si>
  <si>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</si>
  <si>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</si>
  <si>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</si>
  <si>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</si>
  <si>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</si>
  <si>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</si>
  <si>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</si>
  <si>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</si>
  <si>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</si>
  <si>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</si>
  <si>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</si>
  <si>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</si>
  <si>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</si>
  <si>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</si>
  <si>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</si>
  <si>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</si>
  <si>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</si>
  <si>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</si>
  <si>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</si>
  <si>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</si>
  <si>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</si>
  <si>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</si>
  <si>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</si>
  <si>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</si>
  <si>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</si>
  <si>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</si>
  <si>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</si>
  <si>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</si>
  <si>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</si>
  <si>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</si>
  <si>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</si>
  <si>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</si>
  <si>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</si>
  <si>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</si>
  <si>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</si>
  <si>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</si>
  <si>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</si>
  <si>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</si>
  <si>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</si>
  <si>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</si>
  <si>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</si>
  <si>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</si>
  <si>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</si>
  <si>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</si>
  <si>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</si>
  <si>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</si>
  <si>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</si>
  <si>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</si>
  <si>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</si>
  <si>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</si>
  <si>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</si>
  <si>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</si>
  <si>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</si>
  <si>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</si>
  <si>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</si>
  <si>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</si>
  <si>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</si>
  <si>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</si>
  <si>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</si>
  <si>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</si>
  <si>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</si>
  <si>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</si>
  <si>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</si>
  <si>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</si>
  <si>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</si>
  <si>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</si>
  <si>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</si>
  <si>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</si>
  <si>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</si>
  <si>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</si>
  <si>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</si>
  <si>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</si>
  <si>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</si>
  <si>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</si>
  <si>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</si>
  <si>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</si>
  <si>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</si>
  <si>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</si>
  <si>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</si>
  <si>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</si>
  <si>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</si>
  <si>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</si>
  <si>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</si>
  <si>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</si>
  <si>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</si>
  <si>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</si>
  <si>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</si>
  <si>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</si>
  <si>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</si>
  <si>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</si>
  <si>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</si>
  <si>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</si>
  <si>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</si>
  <si>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</si>
  <si>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</si>
  <si>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</si>
  <si>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</si>
  <si>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</si>
  <si>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</si>
  <si>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</si>
  <si>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</si>
  <si>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</si>
  <si>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</si>
  <si>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</si>
  <si>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</si>
  <si>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</si>
  <si>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</si>
  <si>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</si>
  <si>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</si>
  <si>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</si>
  <si>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</si>
  <si>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</si>
  <si>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</si>
  <si>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</si>
  <si>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</si>
  <si>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</si>
  <si>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</si>
  <si>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</si>
  <si>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</si>
  <si>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</si>
  <si>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</si>
  <si>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</si>
  <si>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</si>
  <si>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</si>
  <si>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</si>
  <si>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</si>
  <si>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</si>
  <si>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</si>
  <si>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</si>
  <si>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</si>
  <si>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</si>
  <si>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</si>
  <si>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</si>
  <si>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</si>
  <si>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</si>
  <si>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</si>
  <si>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</si>
  <si>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</si>
  <si>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</si>
  <si>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</si>
  <si>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</si>
  <si>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</si>
  <si>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</si>
  <si>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</si>
  <si>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</si>
  <si>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</si>
  <si>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</si>
  <si>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</si>
  <si>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</si>
  <si>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</si>
  <si>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</si>
  <si>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</si>
  <si>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</si>
  <si>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</si>
  <si>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</si>
  <si>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</si>
  <si>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</si>
  <si>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</si>
  <si>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</si>
  <si>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</si>
  <si>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</si>
  <si>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</si>
  <si>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</si>
  <si>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</si>
  <si>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</si>
  <si>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</si>
  <si>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</si>
  <si>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</si>
  <si>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</si>
  <si>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</si>
  <si>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</si>
  <si>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</si>
  <si>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</si>
  <si>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</si>
  <si>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</si>
  <si>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</si>
  <si>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</si>
  <si>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</si>
  <si>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</si>
  <si>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</si>
  <si>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</si>
  <si>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</si>
  <si>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</si>
  <si>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</si>
  <si>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</si>
  <si>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</si>
  <si>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</si>
  <si>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</si>
  <si>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</si>
  <si>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</si>
  <si>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</si>
  <si>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</si>
  <si>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</si>
  <si>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</si>
  <si>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</si>
  <si>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</si>
  <si>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</si>
  <si>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</si>
  <si>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</si>
  <si>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</si>
  <si>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</si>
  <si>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</si>
  <si>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</si>
  <si>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</si>
  <si>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</si>
  <si>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</si>
  <si>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</si>
  <si>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</si>
  <si>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</si>
  <si>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</si>
  <si>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</si>
  <si>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</si>
  <si>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</si>
  <si>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</si>
  <si>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</si>
  <si>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</si>
  <si>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</si>
  <si>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</si>
  <si>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</si>
  <si>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</si>
  <si>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</si>
  <si>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</si>
  <si>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</si>
  <si>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</si>
  <si>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</si>
  <si>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</si>
  <si>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</si>
  <si>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</si>
  <si>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</si>
  <si>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</si>
  <si>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</si>
  <si>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</si>
  <si>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</si>
  <si>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</si>
  <si>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</si>
  <si>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</si>
  <si>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</si>
  <si>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</si>
  <si>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</si>
  <si>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</si>
  <si>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</si>
  <si>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</si>
  <si>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</si>
  <si>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</si>
  <si>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</si>
  <si>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</si>
  <si>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</si>
  <si>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</si>
  <si>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</si>
  <si>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</si>
  <si>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</si>
  <si>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</si>
  <si>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</si>
  <si>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</si>
  <si>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</si>
  <si>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</si>
  <si>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</si>
  <si>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</si>
  <si>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</si>
  <si>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</si>
  <si>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</si>
  <si>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</si>
  <si>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</si>
  <si>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</si>
  <si>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</si>
  <si>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</si>
  <si>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</si>
  <si>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</si>
  <si>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</si>
  <si>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</si>
  <si>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</si>
  <si>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</si>
  <si>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</si>
  <si>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</si>
  <si>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</si>
  <si>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</si>
  <si>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</si>
  <si>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</si>
  <si>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</si>
  <si>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</si>
  <si>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</si>
  <si>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</si>
  <si>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</si>
  <si>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</si>
  <si>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</si>
  <si>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</si>
  <si>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</si>
  <si>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</si>
  <si>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</si>
  <si>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</si>
  <si>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</si>
  <si>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</si>
  <si>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</si>
  <si>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</si>
  <si>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</si>
  <si>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</si>
  <si>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</si>
  <si>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</si>
  <si>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</si>
  <si>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</si>
  <si>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</si>
  <si>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</si>
  <si>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</si>
  <si>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</si>
  <si>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</si>
  <si>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</si>
  <si>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</si>
  <si>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</si>
  <si>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</si>
  <si>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</si>
  <si>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</si>
  <si>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</si>
  <si>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</si>
  <si>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</si>
  <si>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</si>
  <si>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</si>
  <si>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</si>
  <si>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</si>
  <si>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</si>
  <si>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</si>
  <si>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</si>
  <si>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</si>
  <si>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</si>
  <si>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</si>
  <si>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</si>
  <si>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</si>
  <si>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</si>
  <si>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</si>
  <si>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</si>
  <si>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</si>
  <si>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</si>
  <si>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</si>
  <si>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</si>
  <si>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</si>
  <si>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</si>
  <si>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</si>
  <si>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</si>
  <si>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</si>
  <si>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</si>
  <si>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</si>
  <si>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</si>
  <si>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</si>
  <si>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</si>
  <si>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</si>
  <si>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</si>
  <si>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</si>
  <si>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</si>
  <si>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</si>
  <si>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</si>
  <si>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</si>
  <si>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</si>
  <si>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</si>
  <si>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</si>
  <si>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</si>
  <si>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</si>
  <si>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</si>
  <si>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</si>
  <si>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</si>
  <si>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</si>
  <si>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</si>
  <si>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</si>
  <si>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</si>
  <si>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</si>
  <si>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</si>
  <si>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</si>
  <si>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</si>
  <si>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</si>
  <si>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</si>
  <si>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</si>
  <si>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</si>
  <si>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</si>
  <si>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</si>
  <si>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</si>
  <si>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</si>
  <si>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</si>
  <si>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</si>
  <si>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</si>
  <si>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</si>
  <si>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</si>
  <si>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</si>
  <si>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</si>
  <si>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</si>
  <si>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</si>
  <si>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</si>
  <si>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</si>
  <si>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</si>
  <si>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</si>
  <si>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</si>
  <si>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</si>
  <si>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</si>
  <si>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</si>
  <si>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</si>
  <si>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</si>
  <si>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</si>
  <si>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</si>
  <si>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</si>
  <si>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</si>
  <si>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</si>
  <si>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</si>
  <si>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</si>
  <si>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</si>
  <si>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</si>
  <si>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</si>
  <si>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</si>
  <si>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</si>
  <si>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</si>
  <si>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</si>
  <si>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</si>
  <si>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</si>
  <si>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</si>
  <si>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</si>
  <si>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</si>
  <si>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</si>
  <si>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</si>
  <si>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</si>
  <si>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</si>
  <si>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</si>
  <si>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</si>
  <si>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</si>
  <si>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</si>
  <si>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</si>
  <si>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</si>
  <si>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</si>
  <si>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</si>
  <si>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</si>
  <si>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</si>
  <si>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</si>
  <si>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</si>
  <si>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</si>
  <si>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</si>
  <si>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</si>
  <si>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</si>
  <si>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</si>
  <si>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</si>
  <si>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</si>
  <si>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</si>
  <si>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</si>
  <si>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</si>
  <si>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</si>
  <si>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</si>
  <si>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</si>
  <si>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</si>
  <si>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</si>
  <si>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</si>
  <si>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</si>
  <si>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</si>
  <si>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</si>
  <si>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</si>
  <si>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</si>
  <si>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</si>
  <si>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</si>
  <si>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</si>
  <si>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</si>
  <si>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</si>
  <si>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</si>
  <si>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</si>
  <si>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</si>
  <si>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</si>
  <si>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</si>
  <si>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</si>
  <si>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</si>
  <si>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</si>
  <si>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</si>
  <si>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</si>
  <si>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</si>
  <si>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</si>
  <si>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</si>
  <si>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</si>
  <si>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</si>
  <si>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</si>
  <si>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</si>
  <si>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</si>
  <si>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</si>
  <si>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</si>
  <si>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</si>
  <si>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</si>
  <si>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</si>
  <si>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</si>
  <si>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</si>
  <si>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</si>
  <si>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</si>
  <si>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</si>
  <si>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</si>
  <si>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</si>
  <si>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</si>
  <si>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</si>
  <si>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</si>
  <si>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</si>
  <si>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</si>
  <si>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</si>
  <si>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</si>
  <si>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</si>
  <si>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</si>
  <si>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</si>
  <si>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</si>
  <si>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</si>
  <si>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</si>
  <si>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</si>
  <si>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</si>
  <si>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</si>
  <si>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</si>
  <si>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</si>
  <si>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</si>
  <si>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</si>
  <si>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</si>
  <si>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</si>
  <si>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</si>
  <si>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</si>
  <si>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</si>
  <si>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</si>
  <si>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</si>
  <si>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</si>
  <si>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</si>
  <si>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</si>
  <si>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</si>
  <si>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</si>
  <si>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</si>
  <si>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</si>
  <si>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</si>
  <si>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</si>
  <si>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</si>
  <si>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</si>
  <si>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</si>
  <si>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</si>
  <si>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</si>
  <si>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</si>
  <si>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</si>
  <si>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</si>
  <si>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PARAFUSO CABECA TROMBETA E PONTA AGULHA (GN55), COMPRIMENTO 55 MM, EM ACO FOSFATIZADO, PARA FIXAR CHAPA DE GESSO EM PERFIL DRYWALL METALICO MAXIMO 0,7 MM</t>
  </si>
  <si>
    <t>PARAFUSO DE ACO TIPO CHUMBADOR PARABOLT, DIAMETRO 1/2", COMPRIMENTO 75 MM</t>
  </si>
  <si>
    <t>PARAFUSO DE ACO ZINCADO COM ROSCA SOBERBA, CABECA CHATA E FENDA SIMPLES, DIAMETRO 2,5 MM, COMPRIMENTO * 9,5 * MM</t>
  </si>
  <si>
    <t>PARAFUSO DE ACO ZINCADO COM ROSCA SOBERBA, CABECA CHATA E FENDA SIMPLES, DIAMETRO 4,8 MM, COMPRIMENTO 45 MM</t>
  </si>
  <si>
    <t>PARAFUSO DE FERRO POLIDO, SEXTAVADO, COM ROSCA INTEIRA, DIAMETRO 5/16", COMPRIMENTO 3/4", COM PORCA E ARRUELA LISA LEVE</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</si>
  <si>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</si>
  <si>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</si>
  <si>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</si>
  <si>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</si>
  <si>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</si>
  <si>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</si>
  <si>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</si>
  <si>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</si>
  <si>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</si>
  <si>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</si>
  <si>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</si>
  <si>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</si>
  <si>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</si>
  <si>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</si>
  <si>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</si>
  <si>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</si>
  <si>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</si>
  <si>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</si>
  <si>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</si>
  <si>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</si>
  <si>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</si>
  <si>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</si>
  <si>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</si>
  <si>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</si>
  <si>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</si>
  <si>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</si>
  <si>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</si>
  <si>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</si>
  <si>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</si>
  <si>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</si>
  <si>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</si>
  <si>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</si>
  <si>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</si>
  <si>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</si>
  <si>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</si>
  <si>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</si>
  <si>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</si>
  <si>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</si>
  <si>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</si>
  <si>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</si>
  <si>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</si>
  <si>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</si>
  <si>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</si>
  <si>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</si>
  <si>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</si>
  <si>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</si>
  <si>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</si>
  <si>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</si>
  <si>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</si>
  <si>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</si>
  <si>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</si>
  <si>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</si>
  <si>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</si>
  <si>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</si>
  <si>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</si>
  <si>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</si>
  <si>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</si>
  <si>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</si>
  <si>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</si>
  <si>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</si>
  <si>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</si>
  <si>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</si>
  <si>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</si>
  <si>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</si>
  <si>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</si>
  <si>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</si>
  <si>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</si>
  <si>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</si>
  <si>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</si>
  <si>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</si>
  <si>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</si>
  <si>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</si>
  <si>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</si>
  <si>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</si>
  <si>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</si>
  <si>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</si>
  <si>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</si>
  <si>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</si>
  <si>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</si>
  <si>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</si>
  <si>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</si>
  <si>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</si>
  <si>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</si>
  <si>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</si>
  <si>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</si>
  <si>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</si>
  <si>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</si>
  <si>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</si>
  <si>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</si>
  <si>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</si>
  <si>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</si>
  <si>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</si>
  <si>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</si>
  <si>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</si>
  <si>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</si>
  <si>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</si>
  <si>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</si>
  <si>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</si>
  <si>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</si>
  <si>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</si>
  <si>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</si>
  <si>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</si>
  <si>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</si>
  <si>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</si>
  <si>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</si>
  <si>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</si>
  <si>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</si>
  <si>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</si>
  <si>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</si>
  <si>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152 X 15,6</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</si>
  <si>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</si>
  <si>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</si>
  <si>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</si>
  <si>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</si>
  <si>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</si>
  <si>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</si>
  <si>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</si>
  <si>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</si>
  <si>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</si>
  <si>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</si>
  <si>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</si>
  <si>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</si>
  <si>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</si>
  <si>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</si>
  <si>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</si>
  <si>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</si>
  <si>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</si>
  <si>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</si>
  <si>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</si>
  <si>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</si>
  <si>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</si>
  <si>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</si>
  <si>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</si>
  <si>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</si>
  <si>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</si>
  <si>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</si>
  <si>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</si>
  <si>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</si>
  <si>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</si>
  <si>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</si>
  <si>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</si>
  <si>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</si>
  <si>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</si>
  <si>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</si>
  <si>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</si>
  <si>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</si>
  <si>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</si>
  <si>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</si>
  <si>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</si>
  <si>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</si>
  <si>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</si>
  <si>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</si>
  <si>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</si>
  <si>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</si>
  <si>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</si>
  <si>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</si>
  <si>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</si>
  <si>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</si>
  <si>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</si>
  <si>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</si>
  <si>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</si>
  <si>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</si>
  <si>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</si>
  <si>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</si>
  <si>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</si>
  <si>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</si>
  <si>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</si>
  <si>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</si>
  <si>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</si>
  <si>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</si>
  <si>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</si>
  <si>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</si>
  <si>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</si>
  <si>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</si>
  <si>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</si>
  <si>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</si>
  <si>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</si>
  <si>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</si>
  <si>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</si>
  <si>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</si>
  <si>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</si>
  <si>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</si>
  <si>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</si>
  <si>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</si>
  <si>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</si>
  <si>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</si>
  <si>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</si>
  <si>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</si>
  <si>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</si>
  <si>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</si>
  <si>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</si>
  <si>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</si>
  <si>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</si>
  <si>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</si>
  <si>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</si>
  <si>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</si>
  <si>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</si>
  <si>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</si>
  <si>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</si>
  <si>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</si>
  <si>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</si>
  <si>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</si>
  <si>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</si>
  <si>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</si>
  <si>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</si>
  <si>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</si>
  <si>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</si>
  <si>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</si>
  <si>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</si>
  <si>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</si>
  <si>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</si>
  <si>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</si>
  <si>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</si>
  <si>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</si>
  <si>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</si>
  <si>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</si>
  <si>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</si>
  <si>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</si>
  <si>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</si>
  <si>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</si>
  <si>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</si>
  <si>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</si>
  <si>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</si>
  <si>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</si>
  <si>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</si>
  <si>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</si>
  <si>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</si>
  <si>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</si>
  <si>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</si>
  <si>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</si>
  <si>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</si>
  <si>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</si>
  <si>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</si>
  <si>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</si>
  <si>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</si>
  <si>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</si>
  <si>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</si>
  <si>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</si>
  <si>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</si>
  <si>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</si>
  <si>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</si>
  <si>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</si>
  <si>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</si>
  <si>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</si>
  <si>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</si>
  <si>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</si>
  <si>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</si>
  <si>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</si>
  <si>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</si>
  <si>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</si>
  <si>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</si>
  <si>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</si>
  <si>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</si>
  <si>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</si>
  <si>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</si>
  <si>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</si>
  <si>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</si>
  <si>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</si>
  <si>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</si>
  <si>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</si>
  <si>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</si>
  <si>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</si>
  <si>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</si>
  <si>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</si>
  <si>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</si>
  <si>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</si>
  <si>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</si>
  <si>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</si>
  <si>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</si>
  <si>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</si>
  <si>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</si>
  <si>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</si>
  <si>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</si>
  <si>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</si>
  <si>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</si>
  <si>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</si>
  <si>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</si>
  <si>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</si>
  <si>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</si>
  <si>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</si>
  <si>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</si>
  <si>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</si>
  <si>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</si>
  <si>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</si>
  <si>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</si>
  <si>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</si>
  <si>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</si>
  <si>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</si>
  <si>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</si>
  <si>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</si>
  <si>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</si>
  <si>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</si>
  <si>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</si>
  <si>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</si>
  <si>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</si>
  <si>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</si>
  <si>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</si>
  <si>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</si>
  <si>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</si>
  <si>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</si>
  <si>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</si>
  <si>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</si>
  <si>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</si>
  <si>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</si>
  <si>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</si>
  <si>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</si>
  <si>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</si>
  <si>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</si>
  <si>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</si>
  <si>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</si>
  <si>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</si>
  <si>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</si>
  <si>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</si>
  <si>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</si>
  <si>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</si>
  <si>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</si>
  <si>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</si>
  <si>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</si>
  <si>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</si>
  <si>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</si>
  <si>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</si>
  <si>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</si>
  <si>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</si>
  <si>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</si>
  <si>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</si>
  <si>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</si>
  <si>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</si>
  <si>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</si>
  <si>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</si>
  <si>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</si>
  <si>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</si>
  <si>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</si>
  <si>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</si>
  <si>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</si>
  <si>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</si>
  <si>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</si>
  <si>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</si>
  <si>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</si>
  <si>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</si>
  <si>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</si>
  <si>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</si>
  <si>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</si>
  <si>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</si>
  <si>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</si>
  <si>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</si>
  <si>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</si>
  <si>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</si>
  <si>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</si>
  <si>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</si>
  <si>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14 X 18 (1 1/2 X 14)</t>
  </si>
  <si>
    <t>PREGO DE ACO POLIDO COM CABECA 15 X 18 (1 1/2 X 13)</t>
  </si>
  <si>
    <t>PREGO DE ACO POLIDO COM CABECA 16 X 24 (2 1/4 X 12)</t>
  </si>
  <si>
    <t>PREGO DE ACO POLIDO COM CABECA 16 X 27 (2 1/2 X 12)</t>
  </si>
  <si>
    <t>PREGO DE ACO POLIDO COM CABECA 17 X 24 (2 1/4 X 11)</t>
  </si>
  <si>
    <t>PREGO DE ACO POLIDO COM CABECA 17 X 30 (2 3/4 X 11)</t>
  </si>
  <si>
    <t>PREGO DE ACO POLIDO COM CABECA 18 X 24 (2 1/4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</si>
  <si>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</si>
  <si>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</si>
  <si>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</si>
  <si>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</si>
  <si>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</si>
  <si>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</si>
  <si>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</si>
  <si>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</si>
  <si>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</si>
  <si>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</si>
  <si>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</si>
  <si>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</si>
  <si>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</si>
  <si>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</si>
  <si>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</si>
  <si>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</si>
  <si>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</si>
  <si>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</si>
  <si>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</si>
  <si>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</si>
  <si>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</si>
  <si>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</si>
  <si>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</si>
  <si>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</si>
  <si>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</si>
  <si>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</si>
  <si>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</si>
  <si>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</si>
  <si>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</si>
  <si>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</si>
  <si>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</si>
  <si>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</si>
  <si>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</si>
  <si>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</si>
  <si>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</si>
  <si>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</si>
  <si>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</si>
  <si>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</si>
  <si>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</si>
  <si>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</si>
  <si>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</si>
  <si>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</si>
  <si>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</si>
  <si>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</si>
  <si>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</si>
  <si>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</si>
  <si>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</si>
  <si>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</si>
  <si>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</si>
  <si>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</si>
  <si>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</si>
  <si>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200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</si>
  <si>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</si>
  <si>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</si>
  <si>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</si>
  <si>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</si>
  <si>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</si>
  <si>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</si>
  <si>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</si>
  <si>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</si>
  <si>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</si>
  <si>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</si>
  <si>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</si>
  <si>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</si>
  <si>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</si>
  <si>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</si>
  <si>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</si>
  <si>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</si>
  <si>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</si>
  <si>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</si>
  <si>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</si>
  <si>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</si>
  <si>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</si>
  <si>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</si>
  <si>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</si>
  <si>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</si>
  <si>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75MM</t>
  </si>
  <si>
    <t>REDUCAO EXCENTRICA PVC, SERIE R, DN 100 X 75 MM, PARA ESGOTO PREDIAL</t>
  </si>
  <si>
    <t>REDUCAO EXCENTRICA PVC, SERIE R, DN 150 X 100 MM, PARA ESGOTO PREDIAL</t>
  </si>
  <si>
    <t>REDUCAO EXCENTRICA PVC, SERIE R, DN 75 X 50 MM, PARA ESGOTO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</si>
  <si>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</si>
  <si>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</si>
  <si>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</si>
  <si>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</si>
  <si>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</si>
  <si>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</si>
  <si>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</si>
  <si>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</si>
  <si>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</si>
  <si>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</si>
  <si>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</si>
  <si>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</si>
  <si>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</si>
  <si>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</si>
  <si>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</si>
  <si>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</si>
  <si>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</si>
  <si>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</si>
  <si>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</si>
  <si>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</si>
  <si>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</si>
  <si>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</si>
  <si>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</si>
  <si>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</si>
  <si>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</si>
  <si>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</si>
  <si>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</si>
  <si>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</si>
  <si>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</si>
  <si>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</si>
  <si>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</si>
  <si>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</si>
  <si>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</si>
  <si>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</si>
  <si>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</si>
  <si>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</si>
  <si>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</si>
  <si>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</si>
  <si>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</si>
  <si>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</si>
  <si>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</si>
  <si>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</si>
  <si>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</si>
  <si>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</si>
  <si>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</si>
  <si>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</si>
  <si>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</si>
  <si>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</si>
  <si>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</si>
  <si>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</si>
  <si>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</si>
  <si>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</si>
  <si>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</si>
  <si>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</si>
  <si>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</si>
  <si>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</si>
  <si>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</si>
  <si>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</si>
  <si>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</si>
  <si>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</si>
  <si>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</si>
  <si>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</si>
  <si>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</si>
  <si>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</si>
  <si>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</si>
  <si>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</si>
  <si>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</si>
  <si>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</si>
  <si>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</si>
  <si>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</si>
  <si>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</si>
  <si>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</si>
  <si>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</si>
  <si>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</si>
  <si>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</si>
  <si>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</si>
  <si>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</si>
  <si>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</si>
  <si>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</si>
  <si>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</si>
  <si>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</si>
  <si>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</si>
  <si>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</si>
  <si>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</si>
  <si>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</si>
  <si>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</si>
  <si>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</si>
  <si>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</si>
  <si>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</si>
  <si>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</si>
  <si>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</si>
  <si>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</si>
  <si>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</si>
  <si>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</si>
  <si>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</si>
  <si>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</si>
  <si>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</si>
  <si>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</si>
  <si>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</si>
  <si>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</si>
  <si>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</si>
  <si>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</si>
  <si>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</si>
  <si>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</si>
  <si>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</si>
  <si>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</si>
  <si>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</si>
  <si>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</si>
  <si>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</si>
  <si>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</si>
  <si>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</si>
  <si>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</si>
  <si>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</si>
  <si>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</si>
  <si>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</si>
  <si>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</si>
  <si>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</si>
  <si>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</si>
  <si>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</si>
  <si>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</si>
  <si>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</si>
  <si>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</si>
  <si>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</si>
  <si>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</si>
  <si>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</si>
  <si>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</si>
  <si>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</si>
  <si>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</si>
  <si>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</si>
  <si>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</si>
  <si>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</si>
  <si>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</si>
  <si>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</si>
  <si>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 xml:space="preserve">310ML </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</si>
  <si>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</si>
  <si>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</si>
  <si>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</si>
  <si>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</si>
  <si>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</si>
  <si>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</si>
  <si>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</si>
  <si>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</si>
  <si>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</si>
  <si>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</si>
  <si>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</si>
  <si>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</si>
  <si>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</si>
  <si>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</si>
  <si>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</si>
  <si>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</si>
  <si>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</si>
  <si>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</si>
  <si>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</si>
  <si>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</si>
  <si>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</si>
  <si>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</si>
  <si>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</si>
  <si>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</si>
  <si>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</si>
  <si>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</si>
  <si>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</si>
  <si>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</si>
  <si>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</si>
  <si>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</si>
  <si>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</si>
  <si>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</si>
  <si>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</si>
  <si>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SISAL EM FIBRA</t>
  </si>
  <si>
    <t>SISTEMA DE FORMAS MANUSEAVEIS DE ALUMINIO, PARA BLOCO RESID. COM PAREDES DE CONCRETO MOLDADAS IN LOCO, BLOCO COM 4 PAV. E 4 UNIDADES POR PAV., UNIDADE HABITACIONALCOM 48 M2 E 2 QUARTOS; TELHA DE FIBROCIMENTO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</si>
  <si>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</si>
  <si>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</si>
  <si>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</si>
  <si>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</si>
  <si>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</si>
  <si>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</si>
  <si>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</si>
  <si>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</si>
  <si>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</si>
  <si>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</si>
  <si>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</si>
  <si>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</si>
  <si>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</si>
  <si>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</si>
  <si>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</si>
  <si>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</si>
  <si>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</si>
  <si>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</si>
  <si>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</si>
  <si>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</si>
  <si>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</si>
  <si>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</si>
  <si>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</si>
  <si>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</si>
  <si>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</si>
  <si>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</si>
  <si>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</si>
  <si>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</si>
  <si>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</si>
  <si>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</si>
  <si>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</si>
  <si>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</si>
  <si>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</si>
  <si>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</si>
  <si>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</si>
  <si>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</si>
  <si>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</si>
  <si>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</si>
  <si>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</si>
  <si>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</si>
  <si>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</si>
  <si>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</si>
  <si>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</si>
  <si>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</si>
  <si>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</si>
  <si>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</si>
  <si>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</si>
  <si>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</si>
  <si>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</si>
  <si>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</si>
  <si>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</si>
  <si>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</si>
  <si>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</si>
  <si>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</si>
  <si>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</si>
  <si>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</si>
  <si>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</si>
  <si>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</si>
  <si>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</si>
  <si>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</si>
  <si>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</si>
  <si>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</si>
  <si>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</si>
  <si>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</si>
  <si>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</si>
  <si>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</si>
  <si>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</si>
  <si>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</si>
  <si>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</si>
  <si>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</si>
  <si>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</si>
  <si>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</si>
  <si>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</si>
  <si>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</si>
  <si>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</si>
  <si>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</si>
  <si>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</si>
  <si>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</si>
  <si>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</si>
  <si>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</si>
  <si>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</si>
  <si>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</si>
  <si>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</si>
  <si>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</si>
  <si>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</si>
  <si>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</si>
  <si>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</si>
  <si>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</si>
  <si>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</si>
  <si>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</si>
  <si>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</si>
  <si>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</si>
  <si>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</si>
  <si>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</si>
  <si>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</si>
  <si>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</si>
  <si>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</si>
  <si>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</si>
  <si>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</si>
  <si>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</si>
  <si>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</si>
  <si>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</si>
  <si>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</si>
  <si>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</si>
  <si>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</si>
  <si>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</si>
  <si>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</si>
  <si>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</si>
  <si>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</si>
  <si>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</si>
  <si>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</si>
  <si>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</si>
  <si>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</si>
  <si>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</si>
  <si>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</si>
  <si>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</si>
  <si>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</si>
  <si>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</si>
  <si>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</si>
  <si>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</si>
  <si>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</si>
  <si>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</si>
  <si>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</si>
  <si>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</si>
  <si>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</si>
  <si>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</si>
  <si>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</si>
  <si>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</si>
  <si>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</si>
  <si>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</si>
  <si>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</si>
  <si>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</si>
  <si>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</si>
  <si>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</si>
  <si>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</si>
  <si>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</si>
  <si>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</si>
  <si>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</si>
  <si>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</si>
  <si>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</si>
  <si>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</si>
  <si>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</si>
  <si>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</si>
  <si>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</si>
  <si>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</si>
  <si>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</si>
  <si>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</si>
  <si>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</si>
  <si>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</si>
  <si>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</si>
  <si>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</si>
  <si>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</si>
  <si>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</si>
  <si>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</si>
  <si>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</si>
  <si>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</si>
  <si>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</si>
  <si>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</si>
  <si>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</si>
  <si>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</si>
  <si>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</si>
  <si>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</si>
  <si>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</si>
  <si>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</si>
  <si>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</si>
  <si>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</si>
  <si>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</si>
  <si>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</si>
  <si>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</si>
  <si>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</si>
  <si>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</si>
  <si>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</si>
  <si>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</si>
  <si>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</si>
  <si>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</si>
  <si>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</si>
  <si>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</si>
  <si>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</si>
  <si>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</si>
  <si>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</si>
  <si>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</si>
  <si>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</si>
  <si>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</si>
  <si>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</si>
  <si>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</si>
  <si>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</si>
  <si>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</si>
  <si>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</si>
  <si>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</si>
  <si>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</si>
  <si>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</si>
  <si>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</si>
  <si>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</si>
  <si>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</si>
  <si>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</si>
  <si>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</si>
  <si>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</si>
  <si>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</si>
  <si>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</si>
  <si>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50 MM X 20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</si>
  <si>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</si>
  <si>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</si>
  <si>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</si>
  <si>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</si>
  <si>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</si>
  <si>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</si>
  <si>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</si>
  <si>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</si>
  <si>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</si>
  <si>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</si>
  <si>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</si>
  <si>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</si>
  <si>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</si>
  <si>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</si>
  <si>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</si>
  <si>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</si>
  <si>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</si>
  <si>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</si>
  <si>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</si>
  <si>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</si>
  <si>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</si>
  <si>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</si>
  <si>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</si>
  <si>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</si>
  <si>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</si>
  <si>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</si>
  <si>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</si>
  <si>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</si>
  <si>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</si>
  <si>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</si>
  <si>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</si>
  <si>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</si>
  <si>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</si>
  <si>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</si>
  <si>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</si>
  <si>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</si>
  <si>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</si>
  <si>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</si>
  <si>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</si>
  <si>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</si>
  <si>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</si>
  <si>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</si>
  <si>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</si>
  <si>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</si>
  <si>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</si>
  <si>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</si>
  <si>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</si>
  <si>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</si>
  <si>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</si>
  <si>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</si>
  <si>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</si>
  <si>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</si>
  <si>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</si>
  <si>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</si>
  <si>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</si>
  <si>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</si>
  <si>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</si>
  <si>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</si>
  <si>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</si>
  <si>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</si>
  <si>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</si>
  <si>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</si>
  <si>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</si>
  <si>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</si>
  <si>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</si>
  <si>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</si>
  <si>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</si>
  <si>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</si>
  <si>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</si>
  <si>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</si>
  <si>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</si>
  <si>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75 MM, SERIE NORMAL PARA ESGOTO PREDIAL</t>
  </si>
  <si>
    <t>TE SANITARIO, PVC, DN 40 X 40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</si>
  <si>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</si>
  <si>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</si>
  <si>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</si>
  <si>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</si>
  <si>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</si>
  <si>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</si>
  <si>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</si>
  <si>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</si>
  <si>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</si>
  <si>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</si>
  <si>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</si>
  <si>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</si>
  <si>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</si>
  <si>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</si>
  <si>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</si>
  <si>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</si>
  <si>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</si>
  <si>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</si>
  <si>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</si>
  <si>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</si>
  <si>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</si>
  <si>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</si>
  <si>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</si>
  <si>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</si>
  <si>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</si>
  <si>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</si>
  <si>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</si>
  <si>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</si>
  <si>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</si>
  <si>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</si>
  <si>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</si>
  <si>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</si>
  <si>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</si>
  <si>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</si>
  <si>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</si>
  <si>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</si>
  <si>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</si>
  <si>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</si>
  <si>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</si>
  <si>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</si>
  <si>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</si>
  <si>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</si>
  <si>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</si>
  <si>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</si>
  <si>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</si>
  <si>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</si>
  <si>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</si>
  <si>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</si>
  <si>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</si>
  <si>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</si>
  <si>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</si>
  <si>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</si>
  <si>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</si>
  <si>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</si>
  <si>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</si>
  <si>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</si>
  <si>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</si>
  <si>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</si>
  <si>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</si>
  <si>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</si>
  <si>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</si>
  <si>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</si>
  <si>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</si>
  <si>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</si>
  <si>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</si>
  <si>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</si>
  <si>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</si>
  <si>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</si>
  <si>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</si>
  <si>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</si>
  <si>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</si>
  <si>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</si>
  <si>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</si>
  <si>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</si>
  <si>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</si>
  <si>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</si>
  <si>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</si>
  <si>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</si>
  <si>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</si>
  <si>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</si>
  <si>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</si>
  <si>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</si>
  <si>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</si>
  <si>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</si>
  <si>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</si>
  <si>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</si>
  <si>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</si>
  <si>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</si>
  <si>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</si>
  <si>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</si>
  <si>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</si>
  <si>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</si>
  <si>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</si>
  <si>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</si>
  <si>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</si>
  <si>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</si>
  <si>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</si>
  <si>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</si>
  <si>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</si>
  <si>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</si>
  <si>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</si>
  <si>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</si>
  <si>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</si>
  <si>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</si>
  <si>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</si>
  <si>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</si>
  <si>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</si>
  <si>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</si>
  <si>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</si>
  <si>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</si>
  <si>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</si>
  <si>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25 MM2, 1 FURO E 1 COMPRESSAO, PARA PARAFUSO DE FIXACAO M8</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</si>
  <si>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</si>
  <si>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</si>
  <si>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</si>
  <si>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</si>
  <si>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</si>
  <si>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</si>
  <si>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</si>
  <si>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</si>
  <si>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</si>
  <si>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</si>
  <si>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</si>
  <si>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</si>
  <si>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</si>
  <si>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</si>
  <si>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</si>
  <si>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</si>
  <si>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</si>
  <si>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</si>
  <si>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</si>
  <si>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</si>
  <si>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</si>
  <si>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</si>
  <si>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</si>
  <si>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</si>
  <si>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</si>
  <si>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</si>
  <si>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</si>
  <si>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</si>
  <si>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</si>
  <si>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</si>
  <si>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</si>
  <si>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</si>
  <si>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</si>
  <si>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</si>
  <si>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</si>
  <si>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</si>
  <si>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</si>
  <si>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</si>
  <si>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</si>
  <si>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</si>
  <si>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</si>
  <si>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</si>
  <si>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</si>
  <si>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</si>
  <si>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</si>
  <si>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</si>
  <si>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</si>
  <si>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</si>
  <si>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</si>
  <si>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</si>
  <si>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</si>
  <si>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</si>
  <si>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</si>
  <si>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</si>
  <si>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EM FERRO GALVANIZADO PARA CONTRAVENTAMENTO DE TELHA CANALETE 90, 1/4 " X 400 MM</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</si>
  <si>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</si>
  <si>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</si>
  <si>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</si>
  <si>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</si>
  <si>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</si>
  <si>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</si>
  <si>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</si>
  <si>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</si>
  <si>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</si>
  <si>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</si>
  <si>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</si>
  <si>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</si>
  <si>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</si>
  <si>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</si>
  <si>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</si>
  <si>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</si>
  <si>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</si>
  <si>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</si>
  <si>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</si>
  <si>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</si>
  <si>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</si>
  <si>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</si>
  <si>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</si>
  <si>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</si>
  <si>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</si>
  <si>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</si>
  <si>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</si>
  <si>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</si>
  <si>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</si>
  <si>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</si>
  <si>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</si>
  <si>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</si>
  <si>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</si>
  <si>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</si>
  <si>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</si>
  <si>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</si>
  <si>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</si>
  <si>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</si>
  <si>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</si>
  <si>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</si>
  <si>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</si>
  <si>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</si>
  <si>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</si>
  <si>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</si>
  <si>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</si>
  <si>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</si>
  <si>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</si>
  <si>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</si>
  <si>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</si>
  <si>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</si>
  <si>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</si>
  <si>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</si>
  <si>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</si>
  <si>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</si>
  <si>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</si>
  <si>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</si>
  <si>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</si>
  <si>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</si>
  <si>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</si>
  <si>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</si>
  <si>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</si>
  <si>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</si>
  <si>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</si>
  <si>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</si>
  <si>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</si>
  <si>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</si>
  <si>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</si>
  <si>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</si>
  <si>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</si>
  <si>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</si>
  <si>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</si>
  <si>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</si>
  <si>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</si>
  <si>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</si>
  <si>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</si>
  <si>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</si>
  <si>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</si>
  <si>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</si>
  <si>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</si>
  <si>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</si>
  <si>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</si>
  <si>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</si>
  <si>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</si>
  <si>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</si>
  <si>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</si>
  <si>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</si>
  <si>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</si>
  <si>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</si>
  <si>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</si>
  <si>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</si>
  <si>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</si>
  <si>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</si>
  <si>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</si>
  <si>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</si>
  <si>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</si>
  <si>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</si>
  <si>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</si>
  <si>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</si>
  <si>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</si>
  <si>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</si>
  <si>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</si>
  <si>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</si>
  <si>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</si>
  <si>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</si>
  <si>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</si>
  <si>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</si>
  <si>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</si>
  <si>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</si>
  <si>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</si>
  <si>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</si>
  <si>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</si>
  <si>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</si>
  <si>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</si>
  <si>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</si>
  <si>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</si>
  <si>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</si>
  <si>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</si>
  <si>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</si>
  <si>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</si>
  <si>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</si>
  <si>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</si>
  <si>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</si>
  <si>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</si>
  <si>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</si>
  <si>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</si>
  <si>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</si>
  <si>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</si>
  <si>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350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</si>
  <si>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</si>
  <si>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</si>
  <si>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</si>
  <si>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</si>
  <si>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</si>
  <si>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</si>
  <si>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</si>
  <si>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</si>
  <si>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</si>
  <si>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</si>
  <si>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</si>
  <si>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</si>
  <si>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</si>
  <si>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</si>
  <si>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</si>
  <si>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</si>
  <si>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</si>
  <si>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</si>
  <si>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</si>
  <si>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</si>
  <si>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</si>
  <si>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</si>
  <si>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</si>
  <si>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</si>
  <si>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</si>
  <si>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</si>
  <si>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</si>
  <si>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</si>
  <si>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</si>
  <si>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</si>
  <si>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</si>
  <si>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</si>
  <si>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</si>
  <si>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</si>
  <si>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</si>
  <si>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</si>
  <si>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</si>
  <si>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</si>
  <si>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</si>
  <si>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</si>
  <si>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</si>
  <si>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</si>
  <si>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</si>
  <si>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</si>
  <si>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</si>
  <si>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</si>
  <si>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</si>
  <si>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</si>
  <si>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</si>
  <si>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</si>
  <si>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</si>
  <si>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</si>
  <si>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</si>
  <si>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</si>
  <si>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</si>
  <si>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</si>
  <si>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</si>
  <si>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</si>
  <si>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</si>
  <si>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</si>
  <si>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</si>
  <si>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</si>
  <si>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</si>
  <si>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</si>
  <si>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</si>
  <si>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</si>
  <si>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</si>
  <si>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</si>
  <si>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</si>
  <si>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</si>
  <si>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</si>
  <si>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</si>
  <si>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</si>
  <si>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</si>
  <si>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</si>
  <si>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</si>
  <si>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</si>
  <si>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</si>
  <si>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</si>
  <si>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</si>
  <si>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</si>
  <si>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</si>
  <si>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</si>
  <si>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</si>
  <si>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</si>
  <si>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</si>
  <si>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</si>
  <si>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</si>
  <si>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</si>
  <si>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</si>
  <si>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</si>
  <si>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</si>
  <si>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</si>
  <si>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</si>
  <si>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</si>
  <si>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</si>
  <si>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</si>
  <si>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</si>
  <si>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</si>
  <si>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</si>
  <si>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</si>
  <si>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</si>
  <si>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</si>
  <si>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</si>
  <si>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</si>
  <si>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</si>
  <si>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</si>
  <si>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</si>
  <si>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</si>
  <si>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</si>
  <si>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</si>
  <si>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</si>
  <si>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</si>
  <si>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</si>
  <si>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</si>
  <si>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</si>
  <si>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</si>
  <si>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</si>
  <si>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</si>
  <si>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</si>
  <si>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</si>
  <si>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</si>
  <si>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</si>
  <si>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</si>
  <si>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</si>
  <si>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</si>
  <si>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</si>
  <si>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</si>
  <si>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</si>
  <si>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</si>
  <si>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</si>
  <si>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</si>
  <si>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</si>
  <si>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</si>
  <si>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</si>
  <si>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</si>
  <si>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</si>
  <si>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</si>
  <si>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</si>
  <si>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</si>
  <si>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</si>
  <si>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</si>
  <si>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</si>
  <si>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</si>
  <si>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</si>
  <si>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</si>
  <si>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</si>
  <si>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</si>
  <si>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</si>
  <si>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</si>
  <si>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</si>
  <si>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</si>
  <si>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</si>
  <si>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</si>
  <si>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</si>
  <si>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</si>
  <si>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</si>
  <si>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</si>
  <si>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</si>
  <si>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</si>
  <si>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</si>
  <si>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</si>
  <si>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</si>
  <si>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</si>
  <si>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</si>
  <si>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</si>
  <si>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</si>
  <si>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</si>
  <si>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</si>
  <si>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</si>
  <si>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</si>
  <si>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</si>
  <si>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</si>
  <si>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</si>
  <si>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</si>
  <si>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</si>
  <si>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</si>
  <si>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</si>
  <si>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</si>
  <si>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</si>
  <si>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</si>
  <si>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</si>
  <si>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</si>
  <si>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</si>
  <si>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</si>
  <si>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</si>
  <si>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</si>
  <si>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</si>
  <si>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</si>
  <si>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</si>
  <si>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</si>
  <si>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</si>
  <si>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</si>
  <si>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</si>
  <si>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</si>
  <si>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</si>
  <si>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</si>
  <si>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</si>
  <si>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</si>
  <si>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</si>
  <si>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</si>
  <si>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</si>
  <si>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</si>
  <si>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</si>
  <si>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</si>
  <si>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</si>
  <si>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</si>
  <si>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</si>
  <si>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</si>
  <si>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</si>
  <si>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</si>
  <si>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</si>
  <si>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</si>
  <si>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</si>
  <si>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</si>
  <si>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</si>
  <si>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</si>
  <si>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</si>
  <si>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</si>
  <si>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</si>
  <si>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</si>
  <si>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</si>
  <si>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</si>
  <si>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</si>
  <si>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ROSCAVEL, 3/4",  AGUA FRIA PREDIAL</t>
  </si>
  <si>
    <t>TUBO PVC SERIE NORMAL, DN 50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</si>
  <si>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</si>
  <si>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</si>
  <si>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</si>
  <si>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</si>
  <si>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</si>
  <si>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</si>
  <si>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</si>
  <si>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</si>
  <si>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</si>
  <si>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</si>
  <si>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</si>
  <si>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</si>
  <si>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</si>
  <si>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</si>
  <si>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</si>
  <si>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</si>
  <si>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</si>
  <si>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</si>
  <si>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</si>
  <si>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</si>
  <si>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</si>
  <si>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</si>
  <si>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</si>
  <si>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</si>
  <si>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</si>
  <si>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</si>
  <si>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</si>
  <si>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</si>
  <si>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</si>
  <si>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</si>
  <si>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</si>
  <si>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</si>
  <si>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</si>
  <si>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</si>
  <si>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</si>
  <si>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</si>
  <si>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</si>
  <si>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</si>
  <si>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</si>
  <si>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</si>
  <si>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</si>
  <si>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</si>
  <si>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</si>
  <si>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</si>
  <si>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</si>
  <si>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</si>
  <si>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</si>
  <si>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</si>
  <si>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</si>
  <si>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</si>
  <si>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</si>
  <si>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</si>
  <si>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</si>
  <si>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</si>
  <si>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</si>
  <si>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</si>
  <si>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</si>
  <si>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</si>
  <si>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</si>
  <si>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</si>
  <si>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</si>
  <si>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</si>
  <si>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</si>
  <si>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</si>
  <si>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</si>
  <si>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</si>
  <si>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</si>
  <si>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</si>
  <si>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</si>
  <si>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</si>
  <si>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</si>
  <si>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</si>
  <si>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</si>
  <si>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</si>
  <si>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</si>
  <si>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</si>
  <si>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</si>
  <si>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</si>
  <si>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</si>
  <si>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</si>
  <si>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</si>
  <si>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</si>
  <si>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</si>
  <si>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</si>
  <si>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</si>
  <si>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</si>
  <si>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</si>
  <si>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</si>
  <si>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</si>
  <si>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</si>
  <si>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</si>
  <si>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</si>
  <si>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</si>
  <si>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</si>
  <si>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</si>
  <si>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</si>
  <si>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</si>
  <si>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</si>
  <si>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</si>
  <si>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</si>
  <si>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</si>
  <si>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</si>
  <si>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</si>
  <si>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</si>
  <si>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</si>
  <si>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</si>
  <si>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</si>
  <si>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</si>
  <si>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</si>
  <si>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</si>
  <si>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</si>
  <si>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</si>
  <si>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</si>
  <si>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</si>
  <si>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</si>
  <si>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</si>
  <si>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</si>
  <si>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</si>
  <si>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</si>
  <si>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</si>
  <si>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</si>
  <si>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</si>
  <si>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</si>
  <si>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</si>
  <si>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</si>
  <si>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</si>
  <si>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</si>
  <si>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</si>
  <si>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</si>
  <si>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</si>
  <si>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</si>
  <si>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</si>
  <si>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</si>
  <si>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</si>
  <si>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</si>
  <si>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</si>
  <si>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</si>
  <si>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</si>
  <si>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</si>
  <si>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</si>
  <si>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</si>
  <si>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</si>
  <si>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</si>
  <si>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</si>
  <si>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</si>
  <si>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</si>
  <si>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</si>
  <si>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</si>
  <si>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</si>
  <si>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</si>
  <si>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</si>
  <si>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</si>
  <si>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</si>
  <si>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</si>
  <si>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</si>
  <si>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</si>
  <si>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</si>
  <si>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</si>
  <si>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</si>
  <si>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</si>
  <si>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</si>
  <si>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</si>
  <si>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</si>
  <si>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</si>
  <si>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</si>
  <si>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</si>
  <si>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</si>
  <si>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</si>
  <si>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</si>
  <si>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</si>
  <si>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</si>
  <si>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</si>
  <si>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</si>
  <si>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</si>
  <si>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</si>
  <si>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</si>
  <si>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</si>
  <si>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</si>
  <si>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</si>
  <si>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</si>
  <si>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</si>
  <si>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</si>
  <si>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</si>
  <si>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</si>
  <si>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</si>
  <si>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</si>
  <si>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</si>
  <si>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</si>
  <si>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</si>
  <si>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</si>
  <si>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</si>
  <si>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</si>
  <si>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</si>
  <si>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</si>
  <si>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</si>
  <si>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</si>
  <si>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</si>
  <si>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</si>
  <si>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</si>
  <si>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</si>
  <si>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</si>
  <si>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</si>
  <si>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</si>
  <si>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</si>
  <si>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</si>
  <si>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</si>
  <si>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</si>
  <si>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</si>
  <si>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</si>
  <si>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</si>
  <si>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</si>
  <si>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</si>
  <si>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</si>
  <si>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</si>
  <si>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</si>
  <si>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</si>
  <si>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</si>
  <si>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</si>
  <si>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</si>
  <si>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</si>
  <si>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</si>
  <si>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</si>
  <si>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</si>
  <si>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</si>
  <si>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</si>
  <si>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</si>
  <si>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</si>
  <si>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</si>
  <si>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</si>
  <si>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</si>
  <si>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</si>
  <si>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</si>
  <si>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</si>
  <si>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</si>
  <si>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</si>
  <si>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</si>
  <si>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</si>
  <si>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</si>
  <si>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</si>
  <si>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</si>
  <si>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</si>
  <si>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</si>
  <si>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</si>
  <si>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</si>
  <si>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</si>
  <si>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</si>
  <si>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</si>
  <si>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</si>
  <si>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</si>
  <si>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</si>
  <si>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</si>
  <si>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</si>
  <si>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</si>
  <si>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</si>
  <si>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</si>
  <si>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</si>
  <si>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</si>
  <si>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</si>
  <si>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</si>
  <si>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</si>
  <si>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</si>
  <si>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MAQUINA TIPO VASO/TANQUE/JATO DE PRESSAO PORTATIL PARA JATEAMENTO, CONTROLE AUTOMATICO E REMOTO, CAMARA DE 1 SAIDA, 280 L, DIAM. *670* MM, BICO JATO CURTO VENTURI DE 5/16", MANGUEIRA DE 1" DE 10 M, COMPLETA (VALVULAS POP UP E DOSADORA, FUNDO CONICO ETC)</t>
  </si>
  <si>
    <t>PLACA DE OBRA (PARA CONSTRUCAO CIVIL) EM CHAPA GALVANIZADA *N. 22*, ADESIVADA, DE *2,0 X 1,125* M</t>
  </si>
  <si>
    <t>SISTEMA DE FORMAS MANUSEAVEIS DE ALUMINIO, PARA EDIF. RESID. UNIFAMILIAR COM PAREDES DE CONCRETO MOLDADAS IN LOCO, UNIDADE HABITACIONAL TERREA COM 38 M2, COM SALA, CIRCULACAO, 2 QUARTOS, BANHEIRO, COZINHA E TANQUE EXTERNO (SEM COBERTURA) (COLETADO CAIXA)</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</si>
  <si>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</si>
  <si>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</si>
  <si>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</si>
  <si>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</si>
  <si>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</si>
  <si>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</si>
  <si>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</si>
  <si>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</si>
  <si>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</si>
  <si>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</si>
  <si>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</si>
  <si>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</si>
  <si>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</si>
  <si>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</si>
  <si>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BASE DE PREÇOS:
SINAPI 06/2019</t>
  </si>
  <si>
    <t>CODIGO  DA COMPOSIÇÃO</t>
  </si>
  <si>
    <t>DESCRICAO DA COMPOSIÇÃO</t>
  </si>
  <si>
    <t>19.0</t>
  </si>
  <si>
    <t>COMPOSIÇÃO DA PARCELA DE BDI DIFERENCIADO</t>
  </si>
  <si>
    <r>
      <t xml:space="preserve">*Obs.: Para o presente BDI </t>
    </r>
    <r>
      <rPr>
        <i/>
        <u/>
        <sz val="8"/>
        <color theme="1" tint="0.499984740745262"/>
        <rFont val="Calibri"/>
        <family val="2"/>
      </rPr>
      <t>NÃO</t>
    </r>
    <r>
      <rPr>
        <i/>
        <sz val="8"/>
        <color theme="1" tint="0.499984740745262"/>
        <rFont val="Calibri"/>
        <family val="2"/>
      </rPr>
      <t xml:space="preserve"> foi considerado para um empresa optante pelo SIMPLES. Para tal situação, deve-se levar em conta as alíquotas de PIS e COFINS referentes a faixa de tributação da empresa licitante.</t>
    </r>
  </si>
  <si>
    <t>MPMT-MOB</t>
  </si>
  <si>
    <t>MOBILIZAÇÃO DE OBRA</t>
  </si>
  <si>
    <t>Responsável Técnico:
Eng Douglas Feijó</t>
  </si>
  <si>
    <t>SINAPI  06/2019</t>
  </si>
  <si>
    <t>MPMT-DESMOB</t>
  </si>
  <si>
    <t>DESMOBILIZAÇÃO DE OBRA</t>
  </si>
  <si>
    <t>TOTAL DESMOBILIZAÇÃO (SEM BDI)</t>
  </si>
  <si>
    <r>
      <t xml:space="preserve">*Obs.: A presente composição de encargos </t>
    </r>
    <r>
      <rPr>
        <i/>
        <u/>
        <sz val="8"/>
        <color theme="1" tint="0.499984740745262"/>
        <rFont val="Calibri"/>
        <family val="2"/>
      </rPr>
      <t>NÃO</t>
    </r>
    <r>
      <rPr>
        <i/>
        <sz val="8"/>
        <color theme="1" tint="0.499984740745262"/>
        <rFont val="Calibri"/>
        <family val="2"/>
      </rPr>
      <t xml:space="preserve"> foi considerado para um empresa optante pelo SIMPLES. Para tal situação, deve-se levar em conta as alíquotas incidentes e posterior correções no preço da mão de obra das composições.</t>
    </r>
  </si>
  <si>
    <t>WANDER CÁSSIO SOARES DE SÁ</t>
  </si>
  <si>
    <t>Arquiteto e Urbanista | CAU 135135-4</t>
  </si>
  <si>
    <t>3.0</t>
  </si>
  <si>
    <t>4.0</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</si>
  <si>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</si>
  <si>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</si>
  <si>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</si>
  <si>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</si>
  <si>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</si>
  <si>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</si>
  <si>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</si>
  <si>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</si>
  <si>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</si>
  <si>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</si>
  <si>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</si>
  <si>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</si>
  <si>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</si>
  <si>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</si>
  <si>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</si>
  <si>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</si>
  <si>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</si>
  <si>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</si>
  <si>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</si>
  <si>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</si>
  <si>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</si>
  <si>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</si>
  <si>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</si>
  <si>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</si>
  <si>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</si>
  <si>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</si>
  <si>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</si>
  <si>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</si>
  <si>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</si>
  <si>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</si>
  <si>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</si>
  <si>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</si>
  <si>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</si>
  <si>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</si>
  <si>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</si>
  <si>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</si>
  <si>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</si>
  <si>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</si>
  <si>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</si>
  <si>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</si>
  <si>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</si>
  <si>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</si>
  <si>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</si>
  <si>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</si>
  <si>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</si>
  <si>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</si>
  <si>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</si>
  <si>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</si>
  <si>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</si>
  <si>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</si>
  <si>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</si>
  <si>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</si>
  <si>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</si>
  <si>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</si>
  <si>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</si>
  <si>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</si>
  <si>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</si>
  <si>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</si>
  <si>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</si>
  <si>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</si>
  <si>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</si>
  <si>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</si>
  <si>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</si>
  <si>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</si>
  <si>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</si>
  <si>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</si>
  <si>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</si>
  <si>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</si>
  <si>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</si>
  <si>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</si>
  <si>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</si>
  <si>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</si>
  <si>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</si>
  <si>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</si>
  <si>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</si>
  <si>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</si>
  <si>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</si>
  <si>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</si>
  <si>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</si>
  <si>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</si>
  <si>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</si>
  <si>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</si>
  <si>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AUXILIAR DE LABORATORISTA DE SOLOS E DE CONCRETO</t>
  </si>
  <si>
    <t>AZULEJISTA OU LADRILHEIRO</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</si>
  <si>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</si>
  <si>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</si>
  <si>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</si>
  <si>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</si>
  <si>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</si>
  <si>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</si>
  <si>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</si>
  <si>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</si>
  <si>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</si>
  <si>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</si>
  <si>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</si>
  <si>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</si>
  <si>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</si>
  <si>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</si>
  <si>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</si>
  <si>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</si>
  <si>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</si>
  <si>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</si>
  <si>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</si>
  <si>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</si>
  <si>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</si>
  <si>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</si>
  <si>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</si>
  <si>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</si>
  <si>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</si>
  <si>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</si>
  <si>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</si>
  <si>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</si>
  <si>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</si>
  <si>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</si>
  <si>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</si>
  <si>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</si>
  <si>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</si>
  <si>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</si>
  <si>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</si>
  <si>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</si>
  <si>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</si>
  <si>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</si>
  <si>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</si>
  <si>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</si>
  <si>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</si>
  <si>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</si>
  <si>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</si>
  <si>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</si>
  <si>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</si>
  <si>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</si>
  <si>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</si>
  <si>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</si>
  <si>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</si>
  <si>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</si>
  <si>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</si>
  <si>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</si>
  <si>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</si>
  <si>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</si>
  <si>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</si>
  <si>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</si>
  <si>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</si>
  <si>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</si>
  <si>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</si>
  <si>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</si>
  <si>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</si>
  <si>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</si>
  <si>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</si>
  <si>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</si>
  <si>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</si>
  <si>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</si>
  <si>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</si>
  <si>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</si>
  <si>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</si>
  <si>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</si>
  <si>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TIPO TARTARUGA A PROVA DE TEMPO, GASES, VAPOR E PO, EM ALUMINIO, COM GRADE, BASE E27, POTENCIA MAXIMA 100 W - REF Y 25/1 (NAO INCLUI LAMPADA)</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</si>
  <si>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</si>
  <si>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</si>
  <si>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</si>
  <si>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</si>
  <si>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</si>
  <si>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</si>
  <si>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</si>
  <si>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</si>
  <si>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</si>
  <si>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</si>
  <si>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</si>
  <si>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</si>
  <si>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</si>
  <si>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</si>
  <si>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</si>
  <si>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</si>
  <si>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</si>
  <si>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</si>
  <si>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</si>
  <si>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PARAFUSO ZINCADO, AUTOBROCANTE, FLANGEADO, 4,2 MM X 19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</si>
  <si>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</si>
  <si>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</si>
  <si>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</si>
  <si>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</si>
  <si>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</si>
  <si>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</si>
  <si>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</si>
  <si>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</si>
  <si>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</si>
  <si>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</si>
  <si>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</si>
  <si>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</si>
  <si>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</si>
  <si>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</si>
  <si>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</si>
  <si>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</si>
  <si>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</si>
  <si>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</si>
  <si>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</si>
  <si>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</si>
  <si>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</si>
  <si>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</si>
  <si>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</si>
  <si>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</si>
  <si>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</si>
  <si>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</si>
  <si>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</si>
  <si>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</si>
  <si>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</si>
  <si>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</si>
  <si>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</si>
  <si>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</si>
  <si>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</si>
  <si>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</si>
  <si>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</si>
  <si>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</si>
  <si>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</si>
  <si>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</si>
  <si>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</si>
  <si>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</si>
  <si>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</si>
  <si>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</si>
  <si>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</si>
  <si>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</si>
  <si>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</si>
  <si>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</si>
  <si>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</si>
  <si>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</si>
  <si>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</si>
  <si>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</si>
  <si>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</si>
  <si>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</si>
  <si>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</si>
  <si>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</si>
  <si>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</si>
  <si>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</si>
  <si>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</si>
  <si>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</si>
  <si>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</si>
  <si>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</si>
  <si>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TINTA / REVESTIMENTO A BASE DE RESINA EPOXI COM ALCATRAO, BICOMPONENTE</t>
  </si>
  <si>
    <t>TRELICA NERVURADA (ESPACADOR), ALTURA = 120,0 MM, DIAMETRO DOS BANZOS INFERIORES E SUPERIOR = 6,0 MM, DIAMETRO DA DIAGONAL = 4,2 MM</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</si>
  <si>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</si>
  <si>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</si>
  <si>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</si>
  <si>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</si>
  <si>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</si>
  <si>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</si>
  <si>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</si>
  <si>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</si>
  <si>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</si>
  <si>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</si>
  <si>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</si>
  <si>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</si>
  <si>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</si>
  <si>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</si>
  <si>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</si>
  <si>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</si>
  <si>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</si>
  <si>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</si>
  <si>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</si>
  <si>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</si>
  <si>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</si>
  <si>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</si>
  <si>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</si>
  <si>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</si>
  <si>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</si>
  <si>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</si>
  <si>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</si>
  <si>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</si>
  <si>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</si>
  <si>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</si>
  <si>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</si>
  <si>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</si>
  <si>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</si>
  <si>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</si>
  <si>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</si>
  <si>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</si>
  <si>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</si>
  <si>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</si>
  <si>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</si>
  <si>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</si>
  <si>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</si>
  <si>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</si>
  <si>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</si>
  <si>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</si>
  <si>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</si>
  <si>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</si>
  <si>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</si>
  <si>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</si>
  <si>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</si>
  <si>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</si>
  <si>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</si>
  <si>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</si>
  <si>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</si>
  <si>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</si>
  <si>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</si>
  <si>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</si>
  <si>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</si>
  <si>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</si>
  <si>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</si>
  <si>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</si>
  <si>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</si>
  <si>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</si>
  <si>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</si>
  <si>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</si>
  <si>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</si>
  <si>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</si>
  <si>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</si>
  <si>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</si>
  <si>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</si>
  <si>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</si>
  <si>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</si>
  <si>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</si>
  <si>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</si>
  <si>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</si>
  <si>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</si>
  <si>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</si>
  <si>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</si>
  <si>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</si>
  <si>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</si>
  <si>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</si>
  <si>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</si>
  <si>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</si>
  <si>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</si>
  <si>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</si>
  <si>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</si>
  <si>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</si>
  <si>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</si>
  <si>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</si>
  <si>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</si>
  <si>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</si>
  <si>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</si>
  <si>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</si>
  <si>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</si>
  <si>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</si>
  <si>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</si>
  <si>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</si>
  <si>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</si>
  <si>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</si>
  <si>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</si>
  <si>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</si>
  <si>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</si>
  <si>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</si>
  <si>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</si>
  <si>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</si>
  <si>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</si>
  <si>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</si>
  <si>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</si>
  <si>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</si>
  <si>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</si>
  <si>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</si>
  <si>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</si>
  <si>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</si>
  <si>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</si>
  <si>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</si>
  <si>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</si>
  <si>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</si>
  <si>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</si>
  <si>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</si>
  <si>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</si>
  <si>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</si>
  <si>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</si>
  <si>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</si>
  <si>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</si>
  <si>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</si>
  <si>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</si>
  <si>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</si>
  <si>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</si>
  <si>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</si>
  <si>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</si>
  <si>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</si>
  <si>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</si>
  <si>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</si>
  <si>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</si>
  <si>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</si>
  <si>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</si>
  <si>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</si>
  <si>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</si>
  <si>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</si>
  <si>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</si>
  <si>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</si>
  <si>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</si>
  <si>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</si>
  <si>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</si>
  <si>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</si>
  <si>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</si>
  <si>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</si>
  <si>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</si>
  <si>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</si>
  <si>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</si>
  <si>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</si>
  <si>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</si>
  <si>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</si>
  <si>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</si>
  <si>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</si>
  <si>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</si>
  <si>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</si>
  <si>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</si>
  <si>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</si>
  <si>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</si>
  <si>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</si>
  <si>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</si>
  <si>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</si>
  <si>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</si>
  <si>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</si>
  <si>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</si>
  <si>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</si>
  <si>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</si>
  <si>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</si>
  <si>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</si>
  <si>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</si>
  <si>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</si>
  <si>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</si>
  <si>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</si>
  <si>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</si>
  <si>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</si>
  <si>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</si>
  <si>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</si>
  <si>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</si>
  <si>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</si>
  <si>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</si>
  <si>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</si>
  <si>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</si>
  <si>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</si>
  <si>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</si>
  <si>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</si>
  <si>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</si>
  <si>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</si>
  <si>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</si>
  <si>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</si>
  <si>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</si>
  <si>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</si>
  <si>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</si>
  <si>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</si>
  <si>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</si>
  <si>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</si>
  <si>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</si>
  <si>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</si>
  <si>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</si>
  <si>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</si>
  <si>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</si>
  <si>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</si>
  <si>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</si>
  <si>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</si>
  <si>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</si>
  <si>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</si>
  <si>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</si>
  <si>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</si>
  <si>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</si>
  <si>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</si>
  <si>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</si>
  <si>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</si>
  <si>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</si>
  <si>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</si>
  <si>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</si>
  <si>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</si>
  <si>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</si>
  <si>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</si>
  <si>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</si>
  <si>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</si>
  <si>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</si>
  <si>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</si>
  <si>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</si>
  <si>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</si>
  <si>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</si>
  <si>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</si>
  <si>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</si>
  <si>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</si>
  <si>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</si>
  <si>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</si>
  <si>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</si>
  <si>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</si>
  <si>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</si>
  <si>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</si>
  <si>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</si>
  <si>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</si>
  <si>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</si>
  <si>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</si>
  <si>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</si>
  <si>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</si>
  <si>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</si>
  <si>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</si>
  <si>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</si>
  <si>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</si>
  <si>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</si>
  <si>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</si>
  <si>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</si>
  <si>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</si>
  <si>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</si>
  <si>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</si>
  <si>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</si>
  <si>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</si>
  <si>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</si>
  <si>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</si>
  <si>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</si>
  <si>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</si>
  <si>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</si>
  <si>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</si>
  <si>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</si>
  <si>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</si>
  <si>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</si>
  <si>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</si>
  <si>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</si>
  <si>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</si>
  <si>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</si>
  <si>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</si>
  <si>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</si>
  <si>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</si>
  <si>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</si>
  <si>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</si>
  <si>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</si>
  <si>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</si>
  <si>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</si>
  <si>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</si>
  <si>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</si>
  <si>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</si>
  <si>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</si>
  <si>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</si>
  <si>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</si>
  <si>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</si>
  <si>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</si>
  <si>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</si>
  <si>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</si>
  <si>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</si>
  <si>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</si>
  <si>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</si>
  <si>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</si>
  <si>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</si>
  <si>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</si>
  <si>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</si>
  <si>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</si>
  <si>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</si>
  <si>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</si>
  <si>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</si>
  <si>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</si>
  <si>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</si>
  <si>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</si>
  <si>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</si>
  <si>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</si>
  <si>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</si>
  <si>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</si>
  <si>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</si>
  <si>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</si>
  <si>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</si>
  <si>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</si>
  <si>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</si>
  <si>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</si>
  <si>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</si>
  <si>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</si>
  <si>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</si>
  <si>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</si>
  <si>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</si>
  <si>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</si>
  <si>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</si>
  <si>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</si>
  <si>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</si>
  <si>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</si>
  <si>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</si>
  <si>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</si>
  <si>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</si>
  <si>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</si>
  <si>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</si>
  <si>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</si>
  <si>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</si>
  <si>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</si>
  <si>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</si>
  <si>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</si>
  <si>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</si>
  <si>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</si>
  <si>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</si>
  <si>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</si>
  <si>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</si>
  <si>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</si>
  <si>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</si>
  <si>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</si>
  <si>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</si>
  <si>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</si>
  <si>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</si>
  <si>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</si>
  <si>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</si>
  <si>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</si>
  <si>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</si>
  <si>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</si>
  <si>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</si>
  <si>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COM MATERIAL GRANULAR (PEDRA BRITADA N.2), APLICADO EM PISOS OU RADIERS, ESPESSURA DE *10 CM*. AF_08/2017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</si>
  <si>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</si>
  <si>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</si>
  <si>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</si>
  <si>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</si>
  <si>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</si>
  <si>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</si>
  <si>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</si>
  <si>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</si>
  <si>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</si>
  <si>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</si>
  <si>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</si>
  <si>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</si>
  <si>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</si>
  <si>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</si>
  <si>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</si>
  <si>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</si>
  <si>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</si>
  <si>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</si>
  <si>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</si>
  <si>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</si>
  <si>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</si>
  <si>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</si>
  <si>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</si>
  <si>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</si>
  <si>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</si>
  <si>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</si>
  <si>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</si>
  <si>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</si>
  <si>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</si>
  <si>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</si>
  <si>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</si>
  <si>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</si>
  <si>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</si>
  <si>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</si>
  <si>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</si>
  <si>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</si>
  <si>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</si>
  <si>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</si>
  <si>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</si>
  <si>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</si>
  <si>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</si>
  <si>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</si>
  <si>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</si>
  <si>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</si>
  <si>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</si>
  <si>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</si>
  <si>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</si>
  <si>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</si>
  <si>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</si>
  <si>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</si>
  <si>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</si>
  <si>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</si>
  <si>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</si>
  <si>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</si>
  <si>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</si>
  <si>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</si>
  <si>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</si>
  <si>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</si>
  <si>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</si>
  <si>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</si>
  <si>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</si>
  <si>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</si>
  <si>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</si>
  <si>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</si>
  <si>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</si>
  <si>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</si>
  <si>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</si>
  <si>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</si>
  <si>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</si>
  <si>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</si>
  <si>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</si>
  <si>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</si>
  <si>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</si>
  <si>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</si>
  <si>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</si>
  <si>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</si>
  <si>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</si>
  <si>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</si>
  <si>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</si>
  <si>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</si>
  <si>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</si>
  <si>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</si>
  <si>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</si>
  <si>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</si>
  <si>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</si>
  <si>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</si>
  <si>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</si>
  <si>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</si>
  <si>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</si>
  <si>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</si>
  <si>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</si>
  <si>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</si>
  <si>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</si>
  <si>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</si>
  <si>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</si>
  <si>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</si>
  <si>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</si>
  <si>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</si>
  <si>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</si>
  <si>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</si>
  <si>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</si>
  <si>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</si>
  <si>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</si>
  <si>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</si>
  <si>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</si>
  <si>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</si>
  <si>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</si>
  <si>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</si>
  <si>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</si>
  <si>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</si>
  <si>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</si>
  <si>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</si>
  <si>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</si>
  <si>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</si>
  <si>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</si>
  <si>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</si>
  <si>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</si>
  <si>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</si>
  <si>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CAIXA DE INCÊNDIO 60X90X17CM - FORNECIMENTO E INSTALAÇÃO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</si>
  <si>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</si>
  <si>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</si>
  <si>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</si>
  <si>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</si>
  <si>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</si>
  <si>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</si>
  <si>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</si>
  <si>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</si>
  <si>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</si>
  <si>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</si>
  <si>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</si>
  <si>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</si>
  <si>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</si>
  <si>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</si>
  <si>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</si>
  <si>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</si>
  <si>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</si>
  <si>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</si>
  <si>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</si>
  <si>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</si>
  <si>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</si>
  <si>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</si>
  <si>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</si>
  <si>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</si>
  <si>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</si>
  <si>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</si>
  <si>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</si>
  <si>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</si>
  <si>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</si>
  <si>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</si>
  <si>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</si>
  <si>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</si>
  <si>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</si>
  <si>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</si>
  <si>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</si>
  <si>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</si>
  <si>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</si>
  <si>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</si>
  <si>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</si>
  <si>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</si>
  <si>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</si>
  <si>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</si>
  <si>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</si>
  <si>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</si>
  <si>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</si>
  <si>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</si>
  <si>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</si>
  <si>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</si>
  <si>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</si>
  <si>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</si>
  <si>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</si>
  <si>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</si>
  <si>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</si>
  <si>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</si>
  <si>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</si>
  <si>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</si>
  <si>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</si>
  <si>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</si>
  <si>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</si>
  <si>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</si>
  <si>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</si>
  <si>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</si>
  <si>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</si>
  <si>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</si>
  <si>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</si>
  <si>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</si>
  <si>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</si>
  <si>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</si>
  <si>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</si>
  <si>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</si>
  <si>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</si>
  <si>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</si>
  <si>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</si>
  <si>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</si>
  <si>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</si>
  <si>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</si>
  <si>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</si>
  <si>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</si>
  <si>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</si>
  <si>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</si>
  <si>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</si>
  <si>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</si>
  <si>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</si>
  <si>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</si>
  <si>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</si>
  <si>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</si>
  <si>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</si>
  <si>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</si>
  <si>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</si>
  <si>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</si>
  <si>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</si>
  <si>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</si>
  <si>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</si>
  <si>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</si>
  <si>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</si>
  <si>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</si>
  <si>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</si>
  <si>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</si>
  <si>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</si>
  <si>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</si>
  <si>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</si>
  <si>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</si>
  <si>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</si>
  <si>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</si>
  <si>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</si>
  <si>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</si>
  <si>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</si>
  <si>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</si>
  <si>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</si>
  <si>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</si>
  <si>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</si>
  <si>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</si>
  <si>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</si>
  <si>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</si>
  <si>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</si>
  <si>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</si>
  <si>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</si>
  <si>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</si>
  <si>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</si>
  <si>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</si>
  <si>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</si>
  <si>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</si>
  <si>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</si>
  <si>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</si>
  <si>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</si>
  <si>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</si>
  <si>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</si>
  <si>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</si>
  <si>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</si>
  <si>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</si>
  <si>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</si>
  <si>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</si>
  <si>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</si>
  <si>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</si>
  <si>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</si>
  <si>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</si>
  <si>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</si>
  <si>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</si>
  <si>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</si>
  <si>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</si>
  <si>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</si>
  <si>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</si>
  <si>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</si>
  <si>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</si>
  <si>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</si>
  <si>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</si>
  <si>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</si>
  <si>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</si>
  <si>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</si>
  <si>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</si>
  <si>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</si>
  <si>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</si>
  <si>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</si>
  <si>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</si>
  <si>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</si>
  <si>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</si>
  <si>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</si>
  <si>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</si>
  <si>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</si>
  <si>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</si>
  <si>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</si>
  <si>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</si>
  <si>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</si>
  <si>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</si>
  <si>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</si>
  <si>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</si>
  <si>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</si>
  <si>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</si>
  <si>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</si>
  <si>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</si>
  <si>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</si>
  <si>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</si>
  <si>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</si>
  <si>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</si>
  <si>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</si>
  <si>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</si>
  <si>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</si>
  <si>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</si>
  <si>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</si>
  <si>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</si>
  <si>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</si>
  <si>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</si>
  <si>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</si>
  <si>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</si>
  <si>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</si>
  <si>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</si>
  <si>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</si>
  <si>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</si>
  <si>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</si>
  <si>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</si>
  <si>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</si>
  <si>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</si>
  <si>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</si>
  <si>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</si>
  <si>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</si>
  <si>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</si>
  <si>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</si>
  <si>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</si>
  <si>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</si>
  <si>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</si>
  <si>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</si>
  <si>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</si>
  <si>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</si>
  <si>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</si>
  <si>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</si>
  <si>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</si>
  <si>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</si>
  <si>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</si>
  <si>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</si>
  <si>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</si>
  <si>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</si>
  <si>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</si>
  <si>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</si>
  <si>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</si>
  <si>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</si>
  <si>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</si>
  <si>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</si>
  <si>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</si>
  <si>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</si>
  <si>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</si>
  <si>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</si>
  <si>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</si>
  <si>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</si>
  <si>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</si>
  <si>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</si>
  <si>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</si>
  <si>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</si>
  <si>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</si>
  <si>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</si>
  <si>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</si>
  <si>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</si>
  <si>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</si>
  <si>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</si>
  <si>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</si>
  <si>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</si>
  <si>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</si>
  <si>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</si>
  <si>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</si>
  <si>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</si>
  <si>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</si>
  <si>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</si>
  <si>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</si>
  <si>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</si>
  <si>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</si>
  <si>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</si>
  <si>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</si>
  <si>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</si>
  <si>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</si>
  <si>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</si>
  <si>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</si>
  <si>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</si>
  <si>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RECOMPOSICAO DE PAVIMENTACAO TIPO BLOKRET SOBRE COLCHAO DE AREIA COM REAPROVEITAMENTO DE MATERIAL</t>
  </si>
  <si>
    <t>RECOMPOSICAO DE REVESTIMENTO PRIMARIO MEDIDO P/ VOLUME COMPACTADO</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</si>
  <si>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</si>
  <si>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</si>
  <si>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</si>
  <si>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</si>
  <si>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</si>
  <si>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</si>
  <si>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</si>
  <si>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</si>
  <si>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</si>
  <si>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</si>
  <si>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</si>
  <si>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</si>
  <si>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</si>
  <si>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</si>
  <si>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</si>
  <si>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</si>
  <si>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</si>
  <si>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</si>
  <si>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</si>
  <si>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</si>
  <si>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</si>
  <si>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</si>
  <si>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</si>
  <si>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</si>
  <si>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</si>
  <si>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</si>
  <si>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</si>
  <si>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</si>
  <si>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</si>
  <si>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</si>
  <si>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</si>
  <si>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</si>
  <si>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</si>
  <si>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</si>
  <si>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</si>
  <si>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</si>
  <si>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</si>
  <si>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</si>
  <si>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</si>
  <si>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</si>
  <si>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</si>
  <si>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</si>
  <si>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</si>
  <si>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</si>
  <si>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</si>
  <si>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</si>
  <si>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</si>
  <si>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</si>
  <si>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</si>
  <si>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</si>
  <si>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</si>
  <si>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</si>
  <si>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</si>
  <si>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</si>
  <si>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</si>
  <si>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</si>
  <si>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</si>
  <si>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</si>
  <si>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</si>
  <si>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</si>
  <si>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</si>
  <si>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</si>
  <si>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</si>
  <si>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</si>
  <si>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</si>
  <si>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</si>
  <si>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</si>
  <si>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</si>
  <si>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</si>
  <si>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</si>
  <si>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</si>
  <si>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</si>
  <si>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</si>
  <si>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</si>
  <si>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</si>
  <si>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</si>
  <si>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</si>
  <si>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</si>
  <si>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</si>
  <si>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</si>
  <si>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</si>
  <si>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</si>
  <si>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</si>
  <si>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</si>
  <si>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</si>
  <si>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</si>
  <si>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</si>
  <si>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</si>
  <si>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</si>
  <si>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</si>
  <si>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</si>
  <si>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</si>
  <si>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</si>
  <si>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</si>
  <si>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</si>
  <si>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</si>
  <si>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</si>
  <si>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</si>
  <si>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</si>
  <si>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</si>
  <si>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</si>
  <si>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</si>
  <si>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</si>
  <si>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</si>
  <si>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</si>
  <si>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</si>
  <si>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</si>
  <si>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</si>
  <si>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</si>
  <si>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</si>
  <si>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</si>
  <si>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</si>
  <si>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</si>
  <si>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</si>
  <si>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</si>
  <si>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</si>
  <si>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</si>
  <si>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</si>
  <si>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</si>
  <si>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</si>
  <si>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</si>
  <si>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</si>
  <si>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</si>
  <si>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</si>
  <si>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</si>
  <si>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</si>
  <si>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</si>
  <si>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</si>
  <si>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</si>
  <si>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</si>
  <si>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</si>
  <si>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</si>
  <si>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</si>
  <si>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</si>
  <si>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</si>
  <si>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</si>
  <si>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</si>
  <si>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</si>
  <si>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</si>
  <si>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</si>
  <si>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</si>
  <si>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</si>
  <si>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</si>
  <si>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</si>
  <si>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</si>
  <si>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</si>
  <si>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</si>
  <si>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</si>
  <si>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</si>
  <si>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</si>
  <si>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</si>
  <si>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</si>
  <si>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</si>
  <si>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</si>
  <si>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</si>
  <si>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</si>
  <si>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</si>
  <si>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</si>
  <si>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</si>
  <si>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</si>
  <si>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</si>
  <si>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</si>
  <si>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</si>
  <si>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</si>
  <si>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</si>
  <si>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</si>
  <si>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</si>
  <si>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</si>
  <si>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</si>
  <si>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</si>
  <si>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</si>
  <si>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</si>
  <si>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</si>
  <si>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</si>
  <si>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</si>
  <si>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</si>
  <si>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</si>
  <si>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</si>
  <si>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</si>
  <si>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</si>
  <si>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</si>
  <si>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</si>
  <si>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</si>
  <si>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</si>
  <si>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</si>
  <si>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</si>
  <si>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</si>
  <si>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</si>
  <si>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</si>
  <si>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</si>
  <si>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</si>
  <si>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</si>
  <si>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</si>
  <si>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</si>
  <si>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</si>
  <si>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</si>
  <si>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</si>
  <si>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</si>
  <si>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</si>
  <si>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</si>
  <si>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</si>
  <si>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</si>
  <si>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</si>
  <si>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</si>
  <si>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</si>
  <si>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</si>
  <si>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</si>
  <si>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</si>
  <si>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</si>
  <si>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</si>
  <si>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</si>
  <si>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</si>
  <si>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</si>
  <si>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</si>
  <si>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</si>
  <si>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</si>
  <si>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</si>
  <si>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</si>
  <si>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</si>
  <si>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</si>
  <si>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</si>
  <si>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</si>
  <si>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</si>
  <si>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</si>
  <si>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</si>
  <si>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</si>
  <si>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</si>
  <si>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</si>
  <si>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</si>
  <si>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</si>
  <si>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</si>
  <si>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</si>
  <si>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</si>
  <si>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</si>
  <si>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</si>
  <si>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</si>
  <si>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</si>
  <si>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</si>
  <si>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</si>
  <si>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</si>
  <si>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</si>
  <si>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</si>
  <si>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</si>
  <si>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</si>
  <si>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</si>
  <si>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</si>
  <si>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</si>
  <si>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</si>
  <si>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</si>
  <si>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</si>
  <si>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</si>
  <si>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</si>
  <si>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</si>
  <si>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</si>
  <si>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</si>
  <si>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</si>
  <si>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</si>
  <si>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</si>
  <si>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</si>
  <si>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</si>
  <si>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</si>
  <si>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</si>
  <si>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</si>
  <si>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</si>
  <si>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</si>
  <si>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</si>
  <si>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</si>
  <si>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</si>
  <si>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</si>
  <si>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</si>
  <si>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</si>
  <si>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</si>
  <si>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</si>
  <si>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</si>
  <si>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</si>
  <si>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</si>
  <si>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</si>
  <si>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</si>
  <si>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</si>
  <si>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</si>
  <si>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</si>
  <si>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</si>
  <si>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</si>
  <si>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</si>
  <si>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</si>
  <si>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</si>
  <si>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</si>
  <si>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</si>
  <si>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</si>
  <si>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</si>
  <si>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</si>
  <si>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</si>
  <si>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</si>
  <si>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</si>
  <si>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</si>
  <si>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</si>
  <si>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</si>
  <si>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</si>
  <si>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</si>
  <si>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</si>
  <si>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</si>
  <si>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</si>
  <si>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</si>
  <si>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</si>
  <si>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</si>
  <si>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</si>
  <si>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</si>
  <si>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</si>
  <si>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</si>
  <si>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</si>
  <si>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</si>
  <si>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</si>
  <si>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</si>
  <si>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</si>
  <si>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</si>
  <si>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</si>
  <si>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</si>
  <si>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</si>
  <si>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</si>
  <si>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</si>
  <si>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</si>
  <si>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</si>
  <si>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</si>
  <si>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</si>
  <si>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</si>
  <si>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</si>
  <si>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</si>
  <si>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</si>
  <si>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</si>
  <si>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</si>
  <si>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</si>
  <si>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</si>
  <si>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</si>
  <si>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</si>
  <si>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</si>
  <si>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</si>
  <si>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</si>
  <si>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</si>
  <si>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</si>
  <si>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</si>
  <si>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</si>
  <si>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</si>
  <si>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</si>
  <si>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</si>
  <si>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</si>
  <si>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</si>
  <si>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</si>
  <si>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</si>
  <si>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</si>
  <si>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</si>
  <si>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</si>
  <si>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</si>
  <si>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</si>
  <si>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</si>
  <si>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</si>
  <si>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</si>
  <si>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</si>
  <si>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</si>
  <si>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</si>
  <si>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</si>
  <si>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</si>
  <si>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</si>
  <si>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</si>
  <si>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</si>
  <si>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</si>
  <si>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</si>
  <si>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</si>
  <si>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</si>
  <si>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</si>
  <si>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</si>
  <si>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</si>
  <si>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</si>
  <si>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</si>
  <si>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</si>
  <si>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</si>
  <si>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</si>
  <si>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</si>
  <si>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</si>
  <si>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</si>
  <si>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</si>
  <si>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</si>
  <si>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</si>
  <si>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</si>
  <si>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</si>
  <si>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</si>
  <si>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</si>
  <si>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</si>
  <si>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</si>
  <si>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</si>
  <si>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BLOCO A (SEDE ANTIGA)</t>
  </si>
  <si>
    <t>DEMOLIÇÕES E RETIRADAS</t>
  </si>
  <si>
    <t>MPMT-02542</t>
  </si>
  <si>
    <t>DEMOLIÇÃO DE PISO, CONTRAPISO, PASSEIO E/OU CAMADA DE REGULARIZAÇÃO REGULARIZAÇÃO, DE FORMA MECANIZADA COM MARTELETE</t>
  </si>
  <si>
    <t>BASE DE PREÇOS:
SINAPI 05/2019</t>
  </si>
  <si>
    <t>SINAPI - 97629</t>
  </si>
  <si>
    <t>TIPO DO ITEM</t>
  </si>
  <si>
    <t>Obs.: Composição referenciada na base SINAPI-MT 05/2020, cod. 97629.</t>
  </si>
  <si>
    <t>MPMT-02304</t>
  </si>
  <si>
    <t>REMOÇÃO DE PISO LAMINADO, INCLUSIVE MANTA</t>
  </si>
  <si>
    <t>TCPO 14 - 02.102.000019.SER</t>
  </si>
  <si>
    <t>Obs.: Composição referenciada na base TCPO 14 10/2017, cod. 02.102.000019.SER. Os profissionais foram substituídos para garantir melhor qualidade na execução dos serviços.</t>
  </si>
  <si>
    <t>MPMT-02543</t>
  </si>
  <si>
    <t>REMOÇÃO DE FORROS DE DRYWALL, PVC, MADEIRA E/OU FIBROMINERAL, DE FORMA MANUAL, SEM REAPROVEITAMENTO</t>
  </si>
  <si>
    <t>SINAPI - 97640</t>
  </si>
  <si>
    <t>Obs.: Composição referenciada na base SINAPI-MT 05/2020, cod. 97640.</t>
  </si>
  <si>
    <t>MPMT-02544</t>
  </si>
  <si>
    <t>REMOÇÃO DE ACESSÓRIOS, DE FORMA MANUAL, COM REAPROVEITAMENTO</t>
  </si>
  <si>
    <t>SINAPI - 97664</t>
  </si>
  <si>
    <t>Obs.: Composição referenciada na base SINAPI-MT 05/2020, cod. 97664. Considerando que os acessórios a serem retirados serão reaproveitados, foi previsto um reajuste de 5% no coeficiente de mão de obra, uma vez que o serviço deverá ser executado com cuidado para não danificar os materiais.</t>
  </si>
  <si>
    <t>MPMT-02278</t>
  </si>
  <si>
    <t>REMOÇÃO DE BANCADA EM GRANITO/INOX DE PIA OU LAVATÓRIO</t>
  </si>
  <si>
    <t>ORSE - 8387</t>
  </si>
  <si>
    <t>Obs.: Composição referenciada na base ORSE-SE, 06/2016, cód. 8387.</t>
  </si>
  <si>
    <t>MPMT-02242</t>
  </si>
  <si>
    <t>RETIRADA DE CALHAS, RUFOS OU RINCÕES EM CHAPA METÁLICA</t>
  </si>
  <si>
    <t>SIURB - 106032</t>
  </si>
  <si>
    <t>Obs.:Composição referenciada na base SIURB-SP 01/2018, cod. 106032.</t>
  </si>
  <si>
    <t>MPMT-02545</t>
  </si>
  <si>
    <t>REMOÇÃO DE METAIS SANITÁRIOS, DE FORMA MANUAL, COM REAPROVEITAMENTO</t>
  </si>
  <si>
    <t>SINAPI - 97666</t>
  </si>
  <si>
    <t>Obs.: Composição referenciada na base SINAPI-MT 05/2020, cod. 97666. Considerando que os acessórios a serem retirados serão reaproveitados, foi previsto um reajuste de 5% no coeficiente de mão de obra, uma vez que o serviço deverá ser executado com cuidado para não danificar os materiais.</t>
  </si>
  <si>
    <t>MPMT-02546</t>
  </si>
  <si>
    <t>SINAPI - 97663</t>
  </si>
  <si>
    <t>Obs.: Composição referenciada na base SINAPI-MT 05/2020, cod. 97663. Considerando que os acessórios a serem retirados serão reaproveitados, foi previsto um reajuste de 5% no coeficiente de mão de obra, uma vez que o serviço deverá ser executado com cuidado para não danificar os materiais.</t>
  </si>
  <si>
    <t>MPMT-02547</t>
  </si>
  <si>
    <t>REMOÇÃO DE JANELAS, DE FORMA MANUAL, COM REAPROVEITAMENTO</t>
  </si>
  <si>
    <t>SINAPI - 97645</t>
  </si>
  <si>
    <t>Obs.: Composição referenciada na base SINAPI-MT 05/2020, cod. 97645. Considerando que os acessórios a serem retirados serão reaproveitados, foi previsto um reajuste de 5% no coeficiente de mão de obra, uma vez que o serviço deverá ser executado com cuidado para não danificar os materiais.</t>
  </si>
  <si>
    <t>MPMT-02548</t>
  </si>
  <si>
    <t>SINAPI - 97644</t>
  </si>
  <si>
    <t>Obs.: Composição referenciada na base SINAPI-MT 05/2020, cod. 97644. Considerando que os acessórios a serem retirados serão reaproveitados, foi previsto um reajuste de 5% no coeficiente de mão de obra, uma vez que o serviço deverá ser executado com cuidado para não danificar os materiais.</t>
  </si>
  <si>
    <t>MPMT-02549</t>
  </si>
  <si>
    <t>RETIRADA DE PORTÃO METÁLICO</t>
  </si>
  <si>
    <t>SIURB - 176094</t>
  </si>
  <si>
    <t>Obs.: Composição referenciada na base SIURB-SP 07/2016, cod. 176094.</t>
  </si>
  <si>
    <t>MPMT-02550</t>
  </si>
  <si>
    <t>RETIRADA E REMOCAO DE EQUIPAMENTOS DE AR CONDICIONADO, EVAPORADORA OU CONDENSADORA</t>
  </si>
  <si>
    <t>SBC - 22087</t>
  </si>
  <si>
    <t>Obs.: Composição referenciada na base SBC-SP 07/2018, cod. 22087.</t>
  </si>
  <si>
    <t>MPMT-02010</t>
  </si>
  <si>
    <t>REMOÇÃO DE ESTRUTURA METALICA PARA REVESTIMENTO EM ACM, INCLUSIVE PLACAS DE ACM</t>
  </si>
  <si>
    <t>SEINFRA-CE 024 - C1053</t>
  </si>
  <si>
    <t>Obs.: Composição referenciada na base SEINFRA-CE 024, cod. C1053. Os insumos foram adaptados para utilização da base SINAPI.</t>
  </si>
  <si>
    <t>INFRAESTRUTURA</t>
  </si>
  <si>
    <t>SUPRAESTRUTURA</t>
  </si>
  <si>
    <t>PAREDES E PAINÉIS</t>
  </si>
  <si>
    <t>PISO E CONTRAPISO</t>
  </si>
  <si>
    <t>CHAPISCO E REBOCO</t>
  </si>
  <si>
    <t>INSTALAÇÕES ELÉTRICAS E CABEAMENTO ESTRUTURADO</t>
  </si>
  <si>
    <t>DRENAGEM DE ÁGUAS PLUVIAIS</t>
  </si>
  <si>
    <t>DRENAGEM DE AR-CONDICIONADO</t>
  </si>
  <si>
    <t>MPMT-02202</t>
  </si>
  <si>
    <t>CONCRETAGEM DE PILARES, FCK = 30 MPA, COM USO DE BOMBA EM EDIFICAÇÃO COM SEÇÃO MÉDIA DE PILARES MENOR OU IGUAL A 0,25 M² - LANÇAMENTO, ADENSAMENTO E ACABAMENTO</t>
  </si>
  <si>
    <t>SINAPI - 92720</t>
  </si>
  <si>
    <t>Obs.:Composição referenciada na base SINAPI 05/2017, cod. 92720.</t>
  </si>
  <si>
    <t>MPMT-02203</t>
  </si>
  <si>
    <t>CONCRETAGEM DE VIGAS E LAJES, FCK=30 MPA, PARA LAJES MACIÇAS OU NERVURADAS COM USO DE BOMBA EM EDIFICAÇÃO COM ÁREA MÉDIA DE LAJES MAIOR QUE 20 M² - LANÇAMENTO, ADENSAMENTO E ACABAMENTO</t>
  </si>
  <si>
    <t>SINAPI - 92726</t>
  </si>
  <si>
    <t>Obs.:Composição referenciada na base SINAPI 05/2017, cod. 92726.</t>
  </si>
  <si>
    <t>CLIMATIZAÇÃO</t>
  </si>
  <si>
    <t>INSTALAÇÕES DE PREVENÇÃO E COMBATE À INCÊNDIO E PÂNICO</t>
  </si>
  <si>
    <t>REVESTIMENTO EM PAREDE</t>
  </si>
  <si>
    <t>REVESTIMENTO EM PISO</t>
  </si>
  <si>
    <t>LOUÇAS, BANCADAS E METAIS</t>
  </si>
  <si>
    <t>MPMT-04128</t>
  </si>
  <si>
    <t>VASO SANITARIO COM CAIXA ACOPLADA EM LOUÇA BRANCA, COM ASSENTO, INCLUSO CONJUNTO DE LIGAÇÃO PARA BACIA SANITÁRIA AJUSTÁVEL, REF. DECA LINHA VOGUE PLUS P.505.17 OU EQUIVALENTE</t>
  </si>
  <si>
    <t>SINAPI - 86888</t>
  </si>
  <si>
    <t>01</t>
  </si>
  <si>
    <t>COTAÇÃO</t>
  </si>
  <si>
    <t>MERCADO</t>
  </si>
  <si>
    <t>***</t>
  </si>
  <si>
    <t>Obs.: Composição referenciada na base SINAPI 05/2017, cod. 86888.</t>
  </si>
  <si>
    <t>RESUMO DE COTAÇÃO</t>
  </si>
  <si>
    <t>Und</t>
  </si>
  <si>
    <t>VASO SANITARIO PARA CAIXA ACOPLADA, DECA, LINHA VOGUE PLUS COD. P.505.17</t>
  </si>
  <si>
    <t>DATA DA COTAÇÃO</t>
  </si>
  <si>
    <t>CONTATO</t>
  </si>
  <si>
    <t>TELEFONE</t>
  </si>
  <si>
    <t>EMPRESA</t>
  </si>
  <si>
    <t>CNPJ</t>
  </si>
  <si>
    <t>PREÇO</t>
  </si>
  <si>
    <t>COT. ONLINE</t>
  </si>
  <si>
    <t>11 2941-4245</t>
  </si>
  <si>
    <t>A.L. CORRAL COMERCIO E SERVICOS LTDA - ME</t>
  </si>
  <si>
    <t>01.876.433/0001-78</t>
  </si>
  <si>
    <t>11 3031-6891</t>
  </si>
  <si>
    <t>LOJA OBRA FÁCIL</t>
  </si>
  <si>
    <t>05.909.339/0001-29</t>
  </si>
  <si>
    <t>11 4004-1444</t>
  </si>
  <si>
    <t>C&amp;C CASA E CONSTRUÇÃO LTDA</t>
  </si>
  <si>
    <t>63.004.030/0030-20</t>
  </si>
  <si>
    <t>MEDIANA:</t>
  </si>
  <si>
    <t>CAIXA ACOPLADA PARA VASO SANITARIO, DECA, LINHA VOGUE PLUS COD. CD.01.17</t>
  </si>
  <si>
    <t>61 3403-7044</t>
  </si>
  <si>
    <t>SR ACABAMENTOS E MAT. PARA CONSTRUÇÃO</t>
  </si>
  <si>
    <t>26.443.804/0003-10</t>
  </si>
  <si>
    <t>ASSENTO PARA BACIA SANITARIA, DECA, TERMOFIXO LINHA VOGUE PLUS</t>
  </si>
  <si>
    <t>11 4950-8076</t>
  </si>
  <si>
    <t>PADOVANI &amp; PADOVANI LTDA</t>
  </si>
  <si>
    <t>50.223.692/0004-58</t>
  </si>
  <si>
    <t>MPMT-04190</t>
  </si>
  <si>
    <t>Obs.: Composição referenciada na base SINAPI 08/2017, cod. 86888.</t>
  </si>
  <si>
    <t>VASO SANITARIO PARA CAIXA ACOPLADA, DECA, LINHA VOGUE PLUS COD. P.515</t>
  </si>
  <si>
    <t>11 4001-0100</t>
  </si>
  <si>
    <t>CAIXA ACOPLADA PARA VASO SANITARIO, DECA, LINHA VOGUE PLUS COD. CDC.01F.17</t>
  </si>
  <si>
    <t>11 4996-6000</t>
  </si>
  <si>
    <t>COPAFER COMERCIAL LTDA</t>
  </si>
  <si>
    <t>55.728.224/0001-06</t>
  </si>
  <si>
    <t>ASSENTO PARA BACIA SANITARIA, DECA, LINHA VOGUE PLUS COD. P.515</t>
  </si>
  <si>
    <t>VASO SANITARIO COM CAIXA ACOPLADA EM LOUÇA BRANCA, COM ASSENTO, INCLUSO CONJUNTO DE LIGAÇÃO PARA BACIA SANITÁRIA AJUSTÁVEL, REF. DECA LINHA VOGUE PLUS P.515 OU EQUIVALENTE</t>
  </si>
  <si>
    <t>02</t>
  </si>
  <si>
    <t>MPMT-04177</t>
  </si>
  <si>
    <t>FORNECIMENTO E INSTALAÇÃO DE LAVATÓRIO EM COLUNA SUSPENSA EM LOUÇA BRANCA, REF. DECA LINHA VOGUE PLUS L51 OU EQUIVALENTE</t>
  </si>
  <si>
    <t>ORSE - 7759</t>
  </si>
  <si>
    <t>Obs.: Composição referenciada na base ORSE-SE 01/2017, cod. 7759. Foi alterado da composição original os seguintes itens: 1) Supressão do insumo "Fixação p/ Lavatorio" pois considera-se que o kit de fixação já vem com as louças.</t>
  </si>
  <si>
    <t>LAVATÓRIO EM LOUÇA BRANCA, REF. DECA LINHA VOGUE PLUS L.51.17</t>
  </si>
  <si>
    <t>COLUNA SUSPENSA EM LOUÇA BRANCA, REF. DECA LINHA VOGUE PLUS C510.17</t>
  </si>
  <si>
    <t>MPMT-04297</t>
  </si>
  <si>
    <t>INSTALAÇÃO DE LAVATÓRIO EM COLUNA SUSPENSA EM LOUÇA BRANCA, REF. DECA LINHA VOGUE PLUS L51 - CONSIDERANDO REAPROVEITAMENTO DO MATERIAL</t>
  </si>
  <si>
    <t>00</t>
  </si>
  <si>
    <t>Obs.: Composição referenciada na base ORSE-SE 01/2017, cod. 7759.</t>
  </si>
  <si>
    <t>MPMT-04298</t>
  </si>
  <si>
    <t>INSTALAÇÃO DE TANQUE DE LOUÇA BRANCA COM COLUNA, 30L, REF. DECA TQ 02 - CONSIDERANDO O REAPROVEITAMENTO DO MATERIAL</t>
  </si>
  <si>
    <t>SINAPI - 86872</t>
  </si>
  <si>
    <t>Obs.: Composição referenciada na base SINAPI 05/2017, cod. 86919. Foi alterado na composição original o seguinte item: 1) Substituição do insumo Torneira.</t>
  </si>
  <si>
    <t>MPMT-04024</t>
  </si>
  <si>
    <t>TORNEIRA CROMADA 1/2" OU 3/4" PARA TANQUE, REF. DOCOL PERTUTTI 1130 OU EQUIVALENTE - FORNECIMENTO E INSTALAÇÃO</t>
  </si>
  <si>
    <t>SINAPI 05/2017 - 86914</t>
  </si>
  <si>
    <t>Obs.: Composição referenciada na base SINAPI 05/2017, cod. 86914. Foi alterado na composição original o seguinte item: 1) Substituição do insumo Torneira.</t>
  </si>
  <si>
    <t>MPMT-02183</t>
  </si>
  <si>
    <t>TORNEIRA METÁLICA CROMADA, MESA, BICA BAIXA, REFERENCIA DECA LINK 1197.C OU EQUIVALENTE - FORNECIMENTO E INSTALAÇÃO</t>
  </si>
  <si>
    <t>SINAPI - 86915</t>
  </si>
  <si>
    <t>Obs.: Composição referenciada na base SINAPI 09/2017, cod. 86915.</t>
  </si>
  <si>
    <t>TORNEIRA DE MESA BICA BAIXA, CROMADA, DECA LINHA LINK COD. 1197.C</t>
  </si>
  <si>
    <t>11 3787-1000</t>
  </si>
  <si>
    <t>SAINT-GOBAIN DISTRIBUIÇÃO BRASIL - TELHANORTE</t>
  </si>
  <si>
    <t>03.840.986/0056-70</t>
  </si>
  <si>
    <t>MPMT-02357</t>
  </si>
  <si>
    <t>TORNEIRA EM METAL CROMADO, BICA ALTA, DE PAREDE, 1/2" OU 3/4", PARA PIA DE COZINHA, REF. DOCOL GALI OU EQUIVALENTE - FORNECIMENTO E INSTALAÇÃO</t>
  </si>
  <si>
    <t>SINAPI - 86912</t>
  </si>
  <si>
    <t>Obs.: Composição referenciada na base SINAPI 09/2018, cod. 86912.</t>
  </si>
  <si>
    <t>TORNEIRA EM METAL CROMADO, BICA ALTA, DE PAREDE, REF. DOCOL GALI OU EQUIVALENTE</t>
  </si>
  <si>
    <t>SR ACABAMENTO E MAT. PARA CONSTRUÇÃO LTDA</t>
  </si>
  <si>
    <t>11 2591-3030</t>
  </si>
  <si>
    <t>A CASA DAS TORNEIRAS LTDA</t>
  </si>
  <si>
    <t>23.791.162/0001-90</t>
  </si>
  <si>
    <t>MPMT-04131</t>
  </si>
  <si>
    <t>CHUVEIRO TIPO DUCHA, REF. LORENZETTI JET CONTROL ELETRÔNICA OU EQUIVALENTE - FORNECIMENTO E INSTALAÇÃO</t>
  </si>
  <si>
    <t>SINAPI - 9535</t>
  </si>
  <si>
    <t>Obs.: Composição referenciada na base SINAPI 05/2017, cod. 9535.</t>
  </si>
  <si>
    <t>CHUVEIRO TIPO DUCHA, REF. LORENZETTI JET CONTROL ELETRÔNICA</t>
  </si>
  <si>
    <t>51 3564-8300</t>
  </si>
  <si>
    <t>GLOBAL DISTRIBUIÇÃO DE BENS DE CONSUMO (TAQI)</t>
  </si>
  <si>
    <t>89.237.911/0001-40</t>
  </si>
  <si>
    <t>11 3512-5959</t>
  </si>
  <si>
    <t>MPMT-04157</t>
  </si>
  <si>
    <t>DUCHA HIGIÊNICA COM REGISTRO E GATILHO, 1/2", EM METAL CROMADO, REF. DOCOL PERTUTTI OU EQUIVALENTE - FORNECIMENTO E INSTALAÇÃO</t>
  </si>
  <si>
    <t>ORSE - 9502</t>
  </si>
  <si>
    <t>Obs.: Composição referenciada na base ORSE-SE 02/2017, cod. 9502.</t>
  </si>
  <si>
    <t>DUCHA HIGIÊNICA COM REGISTRO E GATILHO, 1/2", EM METAL CROMADO</t>
  </si>
  <si>
    <t>MPMT-04299</t>
  </si>
  <si>
    <t>INSTALAÇÃO DEDUCHA HIGIÊNICA COM REGISTRO E GATILHO, 1/2", EM METAL CROMADO, REF. DOCOL PERTUTTI - CONSIDERANDO REAPROVEITAMENTO DO MATERIAL</t>
  </si>
  <si>
    <t>REVESTIMENTO EM TETO</t>
  </si>
  <si>
    <t>MPMT-02491</t>
  </si>
  <si>
    <t>FORNECIMENTO E INSTALAÇÃO DE FORRO MODULAR EM LÃ DE PET, 1250X625MM, ESP. 25MM, ESTRUTURADO EM PERFIS DE AÇO GALVANIZADO, REF. REF. TRISOFT AE IR25 OU EQUIVALENTE</t>
  </si>
  <si>
    <t>Obs.: O coeficiente de consumo de material foi extraído de informativo técnico da Knauf, acessado em 20/07/2017 às 8:56h através do link http://knauf.com.br/content/forro-de-drywall-remov%C3%ADvel-vinilboard-0. O coeficiente de mão de obra para execução da estrutura de fixação do forro foi extraído do TCPO 14, acessado em 20/07/2017, Cod. 21.101.000020.SER.</t>
  </si>
  <si>
    <t>FORRO MODULAR EM LÃ DE PET, 1250X625MM, ESP. 25MM, REF. TRISOFT AE IR25</t>
  </si>
  <si>
    <t>MAIÇO</t>
  </si>
  <si>
    <t>65 3365-4440</t>
  </si>
  <si>
    <t>TECNO OBRAS CENTER GESSO</t>
  </si>
  <si>
    <t>25.449.663/0001-19</t>
  </si>
  <si>
    <t>PINTURA INTERNA E EXTERNA</t>
  </si>
  <si>
    <t>MPMT-02552</t>
  </si>
  <si>
    <t>BANCADA EM GRANITO PRETO SÃO GRABRIEL POLIDO, ESP. 20MM, DIMENSÕES 0,60 X 2,20 M, PARA 3 CUBAS DE EMBUTIR, CONFORME DETALHAMENTO EM PROJETO - FORNECIMENTO E INSTALAÇÃO</t>
  </si>
  <si>
    <t>SINAPI - 86889</t>
  </si>
  <si>
    <t>Obs.: Composição referenciada na base SINAPI 05/2019, cod. 86889. Os coeficientes de consumo de materiais e produtividade de equipe foram majorados proporcionalmente ao tamanho da pedra.</t>
  </si>
  <si>
    <t>BANCADA EM GRANITO PRETO SÃO GRABRIEL POLIDO, ESP. 20MM, DIMENSÕES 0,60 X 2,45 M, PARA 4 CUBAS DE EMBUTIR, CONFORME DETALHAMENTO EM PROJETO - FORNECIMENTO E INSTALAÇÃO</t>
  </si>
  <si>
    <t>MPMT-02553</t>
  </si>
  <si>
    <t>MPMT-02554</t>
  </si>
  <si>
    <t>BANCADA PARA PIA EM GRANITO PRETO SÃO GRABRIEL POLIDO, ESP. 20MM, DIMENSÕES 0,60 X 1,30 M, PARA 1 CUBA EMBUTIR, CONFORME DETALHAMENTO EM PROJETO - FORNECIMENTO E INSTALAÇÃO</t>
  </si>
  <si>
    <t>MPMT-02555</t>
  </si>
  <si>
    <t>BANCADA PARA PIA EM GRANITO PRETO SÃO GRABRIEL POLIDO, ESP. 20MM, DIMENSÕES 0,60 X 2,05 M, PARA 1 CUBA EMBUTIR, CONFORME DETALHAMENTO EM PROJETO - FORNECIMENTO E INSTALAÇÃO</t>
  </si>
  <si>
    <t>MPMT-02556</t>
  </si>
  <si>
    <t>TAMPO EM GRANITO PRETO SÃO GRABRIEL POLIDO, ESP. 20MM, DIMENSÕES 0,50 X 1,50 M, CONFORME DETALHAMENTO EM PROJETO - FORNECIMENTO E INSTALAÇÃO</t>
  </si>
  <si>
    <t>MPMT-02557</t>
  </si>
  <si>
    <t>TAMPO EM GRANITO PRETO SÃO GRABRIEL POLIDO, ESP. 20MM, DIMENSÕES 0,50 X 2,55 M, CONFORME DETALHAMENTO EM PROJETO - FORNECIMENTO E INSTALAÇÃO</t>
  </si>
  <si>
    <t>MPMT-02258</t>
  </si>
  <si>
    <t>REVESTIMENTO CERÂMICO PARA PISO COM PLACAS TIPO ESMALTADA EXTRA DE DIMENSÕES 45X45 CM APLICADA EM AMBIENTES DE ÁREA MAIOR QUE 10 M2, REF. ELIANE CARGO PLUS WHITE OU EQUIVALENTE</t>
  </si>
  <si>
    <t>SINAPI - 87249</t>
  </si>
  <si>
    <t>Obs.: Composição referenciada na base SINAPI, cod. 87249.</t>
  </si>
  <si>
    <t>CERAMICA ESMALTADO, 45X45, REF. CARGO PLUS WHITE DUAL OU EQUIVALENTE</t>
  </si>
  <si>
    <t>11 3434-3610</t>
  </si>
  <si>
    <t>SAINT-GOBAIN DISTRIBUIÇÃO BRASIL (TELHANORTE)</t>
  </si>
  <si>
    <t>63.004.030.0030-20</t>
  </si>
  <si>
    <t>41 3012-9920</t>
  </si>
  <si>
    <t>BALAROTI COM. DE MAT. DE CONSTRUÇÃO</t>
  </si>
  <si>
    <t>77.044.618/0001-88</t>
  </si>
  <si>
    <t>MPMT-02259</t>
  </si>
  <si>
    <t>RODAPÉ CERÂMICO DE 7CM DE ALTURA COM PLACAS TIPO ESMALTADA EXTRA DE DIMENSÕES 45X45CM, REF. ELIANE CARGO PLUS WHITE OU EQUIVALENTE</t>
  </si>
  <si>
    <t>SINAPI - 88649</t>
  </si>
  <si>
    <t>Obs.: Composição referenciada na base SINAPI 03/2017, cod. 88649.</t>
  </si>
  <si>
    <t>MPMT-02253</t>
  </si>
  <si>
    <t>SOLEIRA DE GRANITO PRETO SÃO GABRIEL, LARGURA 15CM, ESPESSURA 2CM, ASSENTADA SOBRE ARGAMASSA TRACO 1:4 (CIMENTO E AREIA)</t>
  </si>
  <si>
    <t>SINAPI - 84161</t>
  </si>
  <si>
    <t>Obs.: Composição referenciada na base SINAPI, cod. 84161.</t>
  </si>
  <si>
    <t>ACESSÓRIOS</t>
  </si>
  <si>
    <t>MPMT-07006</t>
  </si>
  <si>
    <t>FORNECIMENTO E INSTALAÇÃO DE BARRA DE APOIO RETA, EM INOX, PARA PORTADORES DE NECESSIDADES ESPECIAIS, LASGURA 70CM</t>
  </si>
  <si>
    <t>TCPO 14 05/2017 - 3R 23 42 40 00 00 00 05 24</t>
  </si>
  <si>
    <t>Obs.: Composição referenciada na base TCPO 14 - 05/2017 cod. 26.104.000060.SER.</t>
  </si>
  <si>
    <t>MPMT-07007</t>
  </si>
  <si>
    <t>FORNECIMENTO E INSTALAÇÃO DE BARRA DE APOIO RETA, EM INOX, PARA PORTADORES DE NECESSIDADES ESPECIAIS, LASGURA 80CM</t>
  </si>
  <si>
    <t>MPMT-07054</t>
  </si>
  <si>
    <t>FORNECIMENTO E INSTALAÇÃO DE BARRA DE APOIO RETA, EM INOX, PARA PORTADORES DE NECESSIDADES ESPECIAIS, LARGURA 40CM</t>
  </si>
  <si>
    <t>BARRA DE APOIO RETA, EM INOX, PARA PORTADORES DE NECESSIDADES ESPECIAIS, LARGURA 40CM</t>
  </si>
  <si>
    <t>41 4063-7105</t>
  </si>
  <si>
    <t>MADEIRAMADEIRA COM. ELETRÔNICO S/A</t>
  </si>
  <si>
    <t>10.490.181/0001-35</t>
  </si>
  <si>
    <t>11 2681-7780</t>
  </si>
  <si>
    <t>CONSTRUINOX COM. ELETRÔNICO</t>
  </si>
  <si>
    <t>21.995.844/0001-90</t>
  </si>
  <si>
    <t>MEDIANA</t>
  </si>
  <si>
    <t>MPMT-07014</t>
  </si>
  <si>
    <t>FORNECIMENTO E INSTALAÇÃO DE PAPELEIRA PLASTICA TIPO DISPENSER PARA PAPEL HIGIENICO ROLAO</t>
  </si>
  <si>
    <t>ORSE/SE 04/2017 - 4374</t>
  </si>
  <si>
    <t>Obs.: Composição referenciada na base ORSE-SE 01/2017 cod. 4287. Foi alterada da composição original os seguintes itens: 1) Foi substituído o profissional "Encanador" por "Servente", visto que o mesmo executará o serviço com maior qualidade.</t>
  </si>
  <si>
    <t>MPMT-07008</t>
  </si>
  <si>
    <t>FORNECIMENTO E INSTALAÇÃO DE DISPENSER PARA PAPEL INTERFOLHADO</t>
  </si>
  <si>
    <t>ORSE/SE 01/2017 - 4287</t>
  </si>
  <si>
    <t>MPMT-02097</t>
  </si>
  <si>
    <t>FORNECIMENTO E INSTALAÇÃO DE PORTA TOALHA TIPO CABIDE DE METAL CROMADO REF. DECA 2060 OU EQUIVALENTE</t>
  </si>
  <si>
    <t>SINAPI - 95545</t>
  </si>
  <si>
    <t>Obs.: Composição referenciada na base SINAPI 05/2017, cod. 95545. Cotação realizada em site na web, considerando a quantidade que sera utilizada na obra, inclusive o frete para Rondonópolis-MT.</t>
  </si>
  <si>
    <t>PORTA TOALHA TIPO CABIDE DE METAL CROMADO REF. DECA 2060</t>
  </si>
  <si>
    <t>17 3465-3000</t>
  </si>
  <si>
    <t>SECOL MATERIAIS PARA CONSTRUÇÃO LTDA</t>
  </si>
  <si>
    <t>00.020.606/0001-99</t>
  </si>
  <si>
    <t>16 3713-2688</t>
  </si>
  <si>
    <t>LOJAS HIDROMAR</t>
  </si>
  <si>
    <t>01.501.125/0002-49</t>
  </si>
  <si>
    <t>19 3500-8408</t>
  </si>
  <si>
    <t>GRUPO TUDO PARA CASA E CONSTRUCAO LTDA</t>
  </si>
  <si>
    <t>30.940.642/0001-31</t>
  </si>
  <si>
    <t>MPMT-07083</t>
  </si>
  <si>
    <t>INSTALAÇÃO DE BARRA DE APOIO/PUXADOR RETA, EM INOX, PARA PORTADORES DE NECESSIDADES ESPECIAIS, LARGURA - CONSIDERANDO REAPROVEITAMENTO DO MATERIAL</t>
  </si>
  <si>
    <t>TCPO 14 - 3R 23 42 40 00 00 00 05 24</t>
  </si>
  <si>
    <t>MPMT-02558</t>
  </si>
  <si>
    <t>INSTALAÇÃO DE PORTA TOALHA TIPO CABIDE DE METAL CROMADO REF. DECA 2060 OU EQUIVALENTE - CONSIDERANDO REAPROVEITAMENTO DO MATERIAL</t>
  </si>
  <si>
    <t>MPMT-02559</t>
  </si>
  <si>
    <t>INSTALAÇÃO DE PORTA EM ALUMÍNIO DE ABRIR TIPO VENEZIANA COM GUARNIÇÃO, FIXAÇÃO COM PARAFUSOS - CONSIDENRANDO O REAPROVEITAMENTO DO MATERIAL</t>
  </si>
  <si>
    <t>SINAPI - 91341</t>
  </si>
  <si>
    <t>Obs.: Composição referenciada na base SINAPI 05/2020, cod. 91341.</t>
  </si>
  <si>
    <t>FORNECIMENTO E INSTALAÇÃO DE PORTA VENEZIANA EM ALUMINIO, CORRER, 0,70 X 1,70M, INCLUSIVE TRILHOS E ROLDANAS, CONFORME PROJETO EXECUTIVO</t>
  </si>
  <si>
    <t>Responsável Técnico: Engenheiro Marcelo Antonio Castro Pinto</t>
  </si>
  <si>
    <t>Obs.: Composição referenciada na base SINAPI 09/2017, cod. 91341.</t>
  </si>
  <si>
    <t>MPMT-03391</t>
  </si>
  <si>
    <t>ELETRODUTO FLEXÍVEL CORRUGADO, PVC, DN 100 MM (4"), INSTALADO EM PISO/CHÃO/ENTERRADO - FORNECIMENTO E INSTALAÇÃO</t>
  </si>
  <si>
    <t>SINAPI - 91849</t>
  </si>
  <si>
    <t>Obs.: Composição referenciada na base SINAPI 03/2019, cod. 91849.</t>
  </si>
  <si>
    <t>MPMT-03307</t>
  </si>
  <si>
    <t>ELETRODUTO FLEXÍVEL CORRUGADO, PVC, DN 50 MM (2"),INSTALADO EM PISO/CHÃO - FORNECIMENTO E INSTALAÇÃO</t>
  </si>
  <si>
    <t>SINAPI - 91844</t>
  </si>
  <si>
    <t>Obs.: Composição referenciada na base SINAPI 03/2018, cod. 91844.</t>
  </si>
  <si>
    <t>MPMT-03436</t>
  </si>
  <si>
    <t>CAIXA RETANGULAR, 4" X 2", ESTANQUE, PVC, INSTALADA EM PISO - FORNECIMENTO E INSTALAÇÃO</t>
  </si>
  <si>
    <t>SINAPI - 91940</t>
  </si>
  <si>
    <t>Obs.: Composição referenciada na base SINAPI 05/2017, cod. 91940.</t>
  </si>
  <si>
    <t>CAIXA PVC ESTANQUE, 4X2, EMBUTIR</t>
  </si>
  <si>
    <t>11 3998-3000</t>
  </si>
  <si>
    <t>SANTIL COMERCIAL ELÉTRICA</t>
  </si>
  <si>
    <t>49.474.398/0008-63</t>
  </si>
  <si>
    <t>21 3549-0090</t>
  </si>
  <si>
    <t>DIBA 695 DIST. DE MAT. ELETRICOS LTDA</t>
  </si>
  <si>
    <t>05.255.141/0001-79</t>
  </si>
  <si>
    <t>31 3218-8156</t>
  </si>
  <si>
    <t>LOJA ELÉTRICA LTDA</t>
  </si>
  <si>
    <t>17.155.342/0011-55</t>
  </si>
  <si>
    <t>MPMT-03174</t>
  </si>
  <si>
    <t>DISJUNTOR TERMOMAGNÉTICO TRIPOLAR 200A- DIN CURVA C  - FORNECIMENTO E INSTALAÇÃO</t>
  </si>
  <si>
    <t>SINAPI - 93673</t>
  </si>
  <si>
    <t>Responsável Técnico: Marcelo Antonio Castro Pinto</t>
  </si>
  <si>
    <t>Obs.: Composição referenciada na base SINAPI 05/2017, cod. 93673.</t>
  </si>
  <si>
    <t>MPMT-03300</t>
  </si>
  <si>
    <t>DISJUNTOR TRIPOLAR TIPO DIN, CORRENTE NOMINAL DE 80A - FORNECIMENTO E INSTALAÇÃO</t>
  </si>
  <si>
    <t>Obs.: Composição referenciada na base SINAPI 08/2018, cod. 93673.</t>
  </si>
  <si>
    <t>DISJUNTOR TRIPOLAR, DIN, 80A</t>
  </si>
  <si>
    <t>MPMT-03262</t>
  </si>
  <si>
    <t>DISPOSITIVO DPS CLASSE II, 1 POLO, TENSAO MAXIMA DE 175 V, CORRENTE MAXIMA DE 8 KA (TIPO AC) - FORNECIMENTO E INSTALAÇÃO</t>
  </si>
  <si>
    <t>SINAPI - 93654</t>
  </si>
  <si>
    <t>Obs.: Composição referenciada na base SINAPI 05/2017, cod. 93654.</t>
  </si>
  <si>
    <t>MPMT-03026</t>
  </si>
  <si>
    <t>FORNECIMENTO E INSTALAÇÃO DE RELE/SENSOR FOTOELÉTRICO, BIVOLT, COM BASE, PARA QUALQUER TIPO DE LAMPADA, POTENCIA MÁXIMA 1000W, USO EXTERNO</t>
  </si>
  <si>
    <t>SINAPI - 83399</t>
  </si>
  <si>
    <t>Obs.: Composição referenciada na base SINAPI 03/2018, cod. 83399. Foi inserido, na composição original, a Base para o Rele.</t>
  </si>
  <si>
    <t>MPMT-02560</t>
  </si>
  <si>
    <t>MPMT-02561</t>
  </si>
  <si>
    <t>FABRICAÇÃO E INSTALAÇÃO DE TESOURA EM AÇO, VÃOS MAIORES QUE 6,0M E MENORES QUE 12,0M, INCLUSO IÇAMENTO</t>
  </si>
  <si>
    <t>SINAPI - 01.COBE.ETMM.135/01</t>
  </si>
  <si>
    <t>Obs.: Composição referenciada na base SINAPI-MT, 05/2020, cód. 01.COBE.ETMM.135/01. A referencia da composição foi extraída do "SINAPI - Cadernos Técnicos do grupo: ESTRUTURA E TRAMA PARA COBERTURA", pag. 192, disponível no site oficial da Caixa Econômica Federal e de domínio público.</t>
  </si>
  <si>
    <t>MPMT-02562</t>
  </si>
  <si>
    <t>TRAMA DE AÇO COMPOSTA POR PERFIS QUADRADO PARA COBERTURA PARA TELHA ONDULADA DE FIBROCIMENTO, METÁLICA, PLÁSTICA OU TERMOACÚSTICA, INCLUSO TRANSPORTE VERTICAL</t>
  </si>
  <si>
    <t>SINAPI - 92580</t>
  </si>
  <si>
    <t>Obs.: Composição referenciada na base SINAPI-MT, 05/2020, cód. 92580. O coeficiente de aço foi alterado de acordo com o especificado em projeto.</t>
  </si>
  <si>
    <t>MPMT-02563</t>
  </si>
  <si>
    <t>TRAMA DE AÇO COMPOSTA POR TERÇAS PARA TELHADOS DE ATÉ 2 ÁGUAS, COM SUPORTE PARA CALHAS, PARA TELHA ONDULADA DE FIBROCIMENTO, METÁLICA, PLÁSTICA OU TERMOACÚSTICA, INCLUSO TRANSPORTE VERTICAL</t>
  </si>
  <si>
    <t>Obs.: Composição referenciada na base SINAPI-MT, 05/2020, cód. 92580.</t>
  </si>
  <si>
    <t>MPMT-02084</t>
  </si>
  <si>
    <t>TELHAMENTO COM TELHA METÁLICA TERMOACÚSTICA E = 50 MM, COM ATÉ 2 ÁGUAS, INCLUSO IÇAMENTO</t>
  </si>
  <si>
    <t>SINAPI - 94216</t>
  </si>
  <si>
    <t>Obs.: Composição referenciada na base SINAPI 08/2017, cod. 94216. Foi alterado a espessura da telha de 30mm para 50mm.</t>
  </si>
  <si>
    <t>MPMT-02346</t>
  </si>
  <si>
    <t>CUMEEIRA METALICA, TRAPEZOIDAL, ESP. 0,43MM, PARA TELHA TERMOACUSTICA</t>
  </si>
  <si>
    <t>SINAPI - 75220</t>
  </si>
  <si>
    <t>Obs.: Composição referenciada na base SINAPI 08/2018, cod. 75220.</t>
  </si>
  <si>
    <t>CUMEEIRA METALICA, ESP. 0,43MM, TRAPEZOIDAL</t>
  </si>
  <si>
    <t>LOPES</t>
  </si>
  <si>
    <t>65 3634-3050</t>
  </si>
  <si>
    <t>PERFILADOS MULTIAÇO INDUSTRIA E COMÉRCIO</t>
  </si>
  <si>
    <t>02.019.067/0001-01</t>
  </si>
  <si>
    <t>EMERSON</t>
  </si>
  <si>
    <t>65 3646-4422</t>
  </si>
  <si>
    <t>AÇOFER INDUSTRIA E COMERCIO EIRELI</t>
  </si>
  <si>
    <t>03.989.217/0003-26</t>
  </si>
  <si>
    <t>ROBERTHE</t>
  </si>
  <si>
    <t>65 3644-5555</t>
  </si>
  <si>
    <t>FERMAT IND. E COM. DE PERF. LTDA</t>
  </si>
  <si>
    <t>03.658.692/0005-81</t>
  </si>
  <si>
    <t>MPMT-02525</t>
  </si>
  <si>
    <t>ORSE - 8268</t>
  </si>
  <si>
    <t>Obs.:Composição referenciada na base ORSE-SE 02/2018, cod. 8268.</t>
  </si>
  <si>
    <t>MPMT-02426</t>
  </si>
  <si>
    <t>CALHA EM CHAPA DE AÇO GALVANIZADO, NUM. 24, DIMENSÕES 30x20CM, COM DESENVOLVIMENTO DE 75CM</t>
  </si>
  <si>
    <t>CALHA EM CHAPA DE AÇO GALVANIZADO, NUM. 24, DIMENSÕES 40x20CM, COM DESENVOLVIMENTO DE 85CM</t>
  </si>
  <si>
    <t>MPMT-02268</t>
  </si>
  <si>
    <t>PINGADEIRA EM CHAPA DE AÇO GALVANIZADO, APLICADO SOB ALVENARIA, DESENVOLVIMENTO 25CM</t>
  </si>
  <si>
    <t>SETOP - PLU-CHA-005</t>
  </si>
  <si>
    <t>Obs.:Composição referenciada na base SETOP-MG 01/2018, cod. PLU-CHA-005.</t>
  </si>
  <si>
    <t>MPMT-02564</t>
  </si>
  <si>
    <t>PINGADEIRA EM CHAPA DE AÇO GALVANIZADO, APLICADO SOB ALVENARIA, DESENVOLVIMENTO 27,5CM</t>
  </si>
  <si>
    <t>MPMT-02565</t>
  </si>
  <si>
    <t>PINGADEIRA EM CHAPA DE AÇO GALVANIZADO, APLICADO SOB ALVENARIA, DESENVOLVIMENTO 33CM</t>
  </si>
  <si>
    <t>MPMT-02566</t>
  </si>
  <si>
    <t>RUFO DE ENCOSTO EM CHAPA DE AÇO GALVANIZADO, PARA CALHA, DESENVOLVIMENTO 20CM</t>
  </si>
  <si>
    <t>MPMT-02567</t>
  </si>
  <si>
    <t>RUFO EXTERNO EM CHAPA DE AÇO GALVANIZADO,  DESENVOLVIMENTO 28CM</t>
  </si>
  <si>
    <t>Obs.: Composição referenciada na base SETOP-MG 01/2018, cod. PLU-CHA-005.</t>
  </si>
  <si>
    <t>MPMT-02406</t>
  </si>
  <si>
    <t>GRAFIATO ACRÍLICO, APLICAÇÃO MANUAL EM PAREDE, UMA DEMÃO</t>
  </si>
  <si>
    <t>SINAPI - 95305</t>
  </si>
  <si>
    <t>Obs.: Composição referenciada na base SINAPI 01/2019, cod. 95305.</t>
  </si>
  <si>
    <t>MPMT-04253</t>
  </si>
  <si>
    <t>BUCHA DE REDUÇÃO, PVC, SOLDÁVEL, DN 25MM X 20MM, INSTALADO EM RAMAL OU SUB-RAMAL DE ÁGUA - FORNECIMENTO E INSTALAÇÃO</t>
  </si>
  <si>
    <t>SINAPI - 90375</t>
  </si>
  <si>
    <t>Obs.: Composição referenciada na base SINAPI 05/2019, cod. 90375.</t>
  </si>
  <si>
    <t>MPMT-04043</t>
  </si>
  <si>
    <t>BUCHA DE REDUÇÃO, PVC, SOLDÁVEL, DN 75MM X 50MM, INSTALADO EM RAMAL OU SUB-RAMAL DE ÁGUA - FORNECIMENTO E INSTALAÇÃO</t>
  </si>
  <si>
    <t>Obs.: Composição referenciada na base SINAPI 05/2017, cod. 90375.</t>
  </si>
  <si>
    <t>MPMT-04121</t>
  </si>
  <si>
    <t>BUCHA DE REDUÇÃO, PVC, SOLDÁVEL, DN 75MM X 60MM, INSTALADO EM RAMAL OU SUB-RAMAL DE ÁGUA - FORNECIMENTO E INSTALAÇÃO</t>
  </si>
  <si>
    <t>SINAPI 08/2017 - 90375</t>
  </si>
  <si>
    <t>Obs.: Composição referenciada na base SINAPI 08/2017, cod. 90375.</t>
  </si>
  <si>
    <t>MPMT-04039</t>
  </si>
  <si>
    <t>BUCHA DE REDUÇÃO, PVC, SOLDÁVEL, DN 50MM X 25MM, INSTALADO EM RAMAL OU SUB-RAMAL DE ÁGUA - FORNECIMENTO E INSTALAÇÃO</t>
  </si>
  <si>
    <t>MPMT-04289</t>
  </si>
  <si>
    <t>CAIXA D'ÁGUA EM POLIETILENO, 2.000 LITROS</t>
  </si>
  <si>
    <t>SUDECAP - 10.35.52</t>
  </si>
  <si>
    <t>Obs.: Composição referenciada na base SUDECAP-MG 02/2018, cod. 10.35.52.</t>
  </si>
  <si>
    <t>MPMT-04178</t>
  </si>
  <si>
    <t>TE, PVC, SERIE NORMAL, ESGOTO PREDIAL, DN 100 X 50 MM, JUNTA ELÁSTICA, FORNECIDO E INSTALADO EM RAMAL DE DESCARGA OU RAMAL DE ESGOTO SANITÁRIO</t>
  </si>
  <si>
    <t>SINAPI - 89796</t>
  </si>
  <si>
    <t>Obs.: Composição referenciada na base SINAPI 08/2018, cod. 89796.</t>
  </si>
  <si>
    <t>MPMT-04262</t>
  </si>
  <si>
    <t>TE, PVC, SERIE NORMAL, ESGOTO PREDIAL, DN 150 X 100 MM, JUNTA ELÁSTICA, FORNECIDO E INSTALADO EM RAMAL DE DESCARGA OU RAMAL DE ESGOTO SANITÁRIO</t>
  </si>
  <si>
    <t>SINAPI - 89862</t>
  </si>
  <si>
    <t xml:space="preserve">Obs.: Composição referenciada na base SINAPI 01/2020, cod. 89862. </t>
  </si>
  <si>
    <t>MPMT-04064</t>
  </si>
  <si>
    <t>REDUÇÃO EXCÊNTRICA, PVC, PARA ESGOTO PREDIAL, DN 75 X 50MM - FORNECIMENTO E INSTALAÇÃO</t>
  </si>
  <si>
    <t>SINAPI - 89549</t>
  </si>
  <si>
    <t>Obs.: Composição referenciada na base SINAPI 05/2017, cod. 89549.</t>
  </si>
  <si>
    <t>MPMT-04013</t>
  </si>
  <si>
    <t>FORNECIMENTO E INSTALAÇÃO DE TERMINAL DE VENTILACAO, 50 MM, SERIE NORMAL, ESGOTO PREDIAL</t>
  </si>
  <si>
    <t>ORSE/SE 01/2017 - 1666</t>
  </si>
  <si>
    <t>Obs.: Composição referenciada na base ORSE/SE 01/2017, cod. 1666. Na composição original foram alterados os seguintes itens: 1) O profissional "Servente" foi substituído por "Auxiliar de Encanador". Por se tratar de um profissional mais especializado, aumentará substancialmente a qualidade do serviço; 2) O item "Anel de Borracha" estava na composição original como coeficiente "0,011", portanto, não é possivel utilizar esta quantidade de material por se tratar de um objeto unico; 3) Foi adaptado o quantitativo da "Pasta Lubrificante" para utilização do SINAPI. Na composição original era 0,008Kg, na adaptação passa a ser 0,02Und de 400g. X=8g/400g -&gt; X= 0,02.</t>
  </si>
  <si>
    <t>MPMT-04103</t>
  </si>
  <si>
    <t xml:space="preserve">FORNECIMENTO E INSTALAÇÃO DE TERMINAL DE VENTILACAO, 75 MM, SERIE NORMAL, ESGOTO PREDIAL </t>
  </si>
  <si>
    <t>MPMT-04290</t>
  </si>
  <si>
    <t>CAP PVC ESGOTO 150MM (TAMPÃO) - FORNECIMENTO E INSTALAÇÃO</t>
  </si>
  <si>
    <t>SINAPI 72293</t>
  </si>
  <si>
    <t>Obs.: Composição referenciada na base SINAPI-MT 01/2020, cod. 72293.</t>
  </si>
  <si>
    <t>MPMT-04300</t>
  </si>
  <si>
    <t>CAIXA ENTERRADA HIDRÁULICA RETANGULAR EM ALVENARIA COM TIJOLOS CERÂMICOS MACIÇOS, DIMENSÕES INTERNAS: 0,6X0,6 M E PROFUNDIDADE ATÉ 1,50 M, PARA ALIMENTAÇÃO ÁGUA FRIA</t>
  </si>
  <si>
    <t>SINAPI - 99253</t>
  </si>
  <si>
    <t>Obs.: Composição referenciada na base SINAPI 05/2019, cod. 99253.</t>
  </si>
  <si>
    <t>MPMT-04294</t>
  </si>
  <si>
    <t>CAIXA ENTERRADA HIDRÁULICA RETANGULAR EM ALVENARIA COM TIJOLOS CERÂMICOS MACIÇOS, DIMENSÕES INTERNAS: 0,6X0,6 M E PROFUNDIDADE ATÉ 1,50 M, PARA REDE DE ESGOTO</t>
  </si>
  <si>
    <t>MPMT-04301</t>
  </si>
  <si>
    <t>CAIXA ENTERRADA HIDRÁULICA RETANGULAR EM ALVENARIA COM TIJOLOS CERÂMICOS MACIÇOS, DIMENSÕES INTERNAS: 0,4X0,7M, PROFUNDIDADE DE ATÉ 1,0 M PARA REDE DE ESGOTO</t>
  </si>
  <si>
    <t>SINAPI - 97902</t>
  </si>
  <si>
    <t>Obs.: Composição referenciada na base SINAPI 05/2019, cod. 97902.</t>
  </si>
  <si>
    <t>MPMT-04302</t>
  </si>
  <si>
    <t>CAIXA ENTERRADA HIDRÁULICA RETANGULAR EM ALVENARIA COM TIJOLOS CERÂMICOS MACIÇOS, DIMENSÕES INTERNAS: 0,4X0,9M, PROFUNDIDADE DE ATÉ 1,0 M PARA REDE DE ESGOTO</t>
  </si>
  <si>
    <t>MPMT-04303</t>
  </si>
  <si>
    <t>CAIXA ENTERRADA HIDRÁULICA RETANGULAR EM ALVENARIA COM TIJOLOS CERÂMICOS MACIÇOS, DIMENSÕES INTERNAS: 0,6X0,9 M E PROFUNDIDADE ATÉ 1,50 M, PARA REDE DE ESGOTO</t>
  </si>
  <si>
    <t>MPMT-04272</t>
  </si>
  <si>
    <t>CAIXA ENTERRADA HIDRÁULICA RETANGULAR EM ALVENARIA COM TIJOLOS CERÂMICOS MACIÇOS, DIMENSÕES INTERNAS: 0,6X0,6 M E PROFUNDIDADE ATÉ 1,50 M, PARA REDE DE DRENAGEM</t>
  </si>
  <si>
    <t>MPMT-04181</t>
  </si>
  <si>
    <t>CAIXA DE PASSAGEM EM ALVENARIA 60 X 60 X 60 CM, COM GRELHA DE CAPTAÇÃO EM FERRO FUNDIDO, INCLUSIVE ESCAVAÇÃO, REATERRO E BOTA-FORA</t>
  </si>
  <si>
    <t>SETOP - HID-CXS-200</t>
  </si>
  <si>
    <t>Obs.: Composição referenciada na base SETOP-MG 01/2018, cod. HID-CXS-200.</t>
  </si>
  <si>
    <t>MPMT-04269</t>
  </si>
  <si>
    <t>FOSSA SÉPTICA EM ANÉIS DE CONCRETO, DIÂMETRO 2,00 M E ALTURA 2,50 M, INCLUSIVE ESCAVAÇÃO, TAMPA E CHAMINÉ</t>
  </si>
  <si>
    <t>Obs.: Para extração dos coeficientes de produtividade para assentamento dos aneis de concreto, foi utilizada a composição referenciada na base SINAPI 05/2019, cod. 92831.</t>
  </si>
  <si>
    <t>MPMT-04304</t>
  </si>
  <si>
    <t>FILTRO ANAERÓBICO EM ANÉIS DE CONCRETO, DIÂMETRO 2,00 M E PROFUNDIDADE FINAL DE 2,00 M, CAMADA DRENANTE EM BRITA, INCLUSIVE ESCAVAÇÃO, TAMPA E CHAMINÉ</t>
  </si>
  <si>
    <t>MPMT-04305</t>
  </si>
  <si>
    <t>SUMIDOURO RETANGULAR, EM ALVENARIA COM TIJOLOS CERÂMICOS MACIÇOS, DIMENSÕES INTERNAS: 2,50 x 3,00 x 1,22 M</t>
  </si>
  <si>
    <t>SINAPI - 98079</t>
  </si>
  <si>
    <t>Obs.: Composição referenciada na base SINAPI, 05/2020, cód. 98079.</t>
  </si>
  <si>
    <t>MPMT-04261</t>
  </si>
  <si>
    <t>TUBO PVC, SÉRIE R, ÁGUA PLUVIAL, DN 200 MM, FORNECIDO E INSTALADO EM CONDUTORES VERTICAIS DE ÁGUAS PLUVIAIS</t>
  </si>
  <si>
    <t>SINAPI - 89580</t>
  </si>
  <si>
    <t>Obs.: Composição referenciada na base SINAPI 05/2019, cod. 89580.</t>
  </si>
  <si>
    <t>MPMT-04089</t>
  </si>
  <si>
    <t>TUBO, PVC, SOLDÁVEL, DN 32MM, INSTALADO EM DRENO DE AR-CONDICIONADO - FORNECIMENTO E INSTALAÇÃO</t>
  </si>
  <si>
    <t>SINAPI - 89865</t>
  </si>
  <si>
    <t xml:space="preserve">Obs.: Composição referenciada na base SINAPI 05/2017, cod. 89865. </t>
  </si>
  <si>
    <t>MPMT-04084</t>
  </si>
  <si>
    <t>JOELHO 90 GRAUS, PVC, SOLDÁVEL, DN 32MM, INSTALADO EM DRENO DE AR-CONDICIONADO - FORNECIMENTO E INSTALAÇÃO</t>
  </si>
  <si>
    <t>SINAPI - 89866</t>
  </si>
  <si>
    <t xml:space="preserve">Obs.: Composição referenciada na base SINAPI 05/2017, cod. 89866. </t>
  </si>
  <si>
    <t>MPMT-02286</t>
  </si>
  <si>
    <t>PINTURA ESMALTE FOSCO, DUAS DEMAOS, SOBRE TUBO DE DESCIDA DE ÁGUAS PLUVIAIS</t>
  </si>
  <si>
    <t>SINAPI - 73924/003</t>
  </si>
  <si>
    <t>Obs.: Composição referenciada na base SINAPI 03/2018, cod. 73924/003.</t>
  </si>
  <si>
    <t>BLOCO B (SEDE NOVA)</t>
  </si>
  <si>
    <t>MPMT-06050</t>
  </si>
  <si>
    <t>EXTINTOR PQS ABC 4KG - FORNECIMENTO E INSTALAÇÃO</t>
  </si>
  <si>
    <t>SINAPI - 72553</t>
  </si>
  <si>
    <t>Obs.: Composição referenciada na base SINAPI-MT 05/2019, cod. 72553.</t>
  </si>
  <si>
    <t>EXTINTOR DE INCENDIO PORTATIL COM CARGA DE PQS DE 4 KG, CLASSE ABC</t>
  </si>
  <si>
    <t>ELZIRA</t>
  </si>
  <si>
    <t>65 3627-7389</t>
  </si>
  <si>
    <t>META EXTINTORES LTDA</t>
  </si>
  <si>
    <t>05.621.915/0001-38</t>
  </si>
  <si>
    <t>DECELI</t>
  </si>
  <si>
    <t>65 3627-5552</t>
  </si>
  <si>
    <t>T. W. DEL GROSSI - ME</t>
  </si>
  <si>
    <t>23.787.043/0001-10</t>
  </si>
  <si>
    <t>MPMT-06024</t>
  </si>
  <si>
    <t>FORNECIMENTO E INSTALAÇÃO DE BOTOEIRA PARA BOMBA DE INCÊNDIO 2 CHAVES</t>
  </si>
  <si>
    <t>ORSE - 12015</t>
  </si>
  <si>
    <t>Obs.: Composição referenciada na base ORSE-SE 07/2017, cod. 12015.</t>
  </si>
  <si>
    <t>BOTOEIRA PARA BOMBA DE INCÊNDIO 2 CHAVES</t>
  </si>
  <si>
    <t>11 2597-5713</t>
  </si>
  <si>
    <t>QUALITY COM. DE TUBOS E CONEXÕES EIRELI</t>
  </si>
  <si>
    <t>29.851.289/0001-34</t>
  </si>
  <si>
    <t>14 3301-8411</t>
  </si>
  <si>
    <t>VIEW TECH ENGENHARIA E AUTOMAÇÃO EIRELI</t>
  </si>
  <si>
    <t xml:space="preserve"> 07.327.325/0001-22</t>
  </si>
  <si>
    <t>11 3982-5469</t>
  </si>
  <si>
    <t>R&amp;A EXTINTORES LTDA</t>
  </si>
  <si>
    <t>14.314.086/0001-31</t>
  </si>
  <si>
    <t>MPMT-03061</t>
  </si>
  <si>
    <t xml:space="preserve">CURVA 90º PARA  ELETRODUTO EM AÇO GALV. Ø 1" - FONECIMENTO E INSTALAÇÃO </t>
  </si>
  <si>
    <t>SINAPI 91893</t>
  </si>
  <si>
    <t>Obs.: Composição referenciada na base SINAPI 05/2017, cod. 91893.</t>
  </si>
  <si>
    <t>MPMT-06004</t>
  </si>
  <si>
    <t>FORNECIMENTO E INSTALAÇÃO PLACA DE SINALIZAÇÃO DE SEGURANÇA CONTRA INCÊNDIO, 13X26CM, INDICAÇÃO SAÍDA DE EMERGÊNCIA DIR/ESQ/SAÍDA, FOTOLUMINECENTE</t>
  </si>
  <si>
    <t>IOPES/ES 01/2017 - 160612</t>
  </si>
  <si>
    <t>Obs.: Composição referenciada na base IOPES/ES jan/2017, cod. 160612. Os índices de mão de obra foram adaptados para SINAPI.</t>
  </si>
  <si>
    <t>MPMT-06006</t>
  </si>
  <si>
    <t>FORNECIMENTO E INSTALAÇÃO PLACA DE INDICAÇÃO DE EXTINTOR/HIDRANTE/ALARME/CASA DE BOMBAS/DIVERSOS, 13X26CM, FOTOLUMINECENTE</t>
  </si>
  <si>
    <t>SUDECAP/MG 01/2017 - 10.90.24</t>
  </si>
  <si>
    <t>Obs.: Composição referenciada na base SUDECAP/MG 01/2017, cod. 10.90.24. Os insumos foram adaptados para utilização da base SINAPI.</t>
  </si>
  <si>
    <t>MPMT-06010</t>
  </si>
  <si>
    <t>FORNECIMENTO E INSTALAÇÃO PLACA DE DE SINALIZAÇÃO DE SEGURANÇA CONTRA INCÊNDIO, FOTOLUMINECENTE, QUADRADA 20 X 20 CM, SIMBOLOS "NÃO FUME", "INFLAMÁVEL", "ELETRICIDADE"</t>
  </si>
  <si>
    <t>MPMT-06013</t>
  </si>
  <si>
    <t>FORNECIMENTO E INSTALAÇÃO DE ACIONADOR MANUAL PARA ALARME DE EMERGÊNCIA, TIPO QUEBRA VIDRO</t>
  </si>
  <si>
    <t>ORSE - 7861</t>
  </si>
  <si>
    <t>Obs.: Composição referenciada na base ORSE-SE 07/2017, cod.7861.</t>
  </si>
  <si>
    <t>ACIONADOR MANUAL PARA ALARME DE EMERGÊNCIA, TIPO QUEBRA VIDRO</t>
  </si>
  <si>
    <t>4003-5544</t>
  </si>
  <si>
    <t>B2W COMPANHIA DIGITAL (SUBMARINO)</t>
  </si>
  <si>
    <t>00.776.574/0006-60</t>
  </si>
  <si>
    <t>4003-4848</t>
  </si>
  <si>
    <t>B2W COMPANHIA DIGITAL (AMERICANAS)</t>
  </si>
  <si>
    <t>LOJA HIDROMAR</t>
  </si>
  <si>
    <t>01.501.125/0001-68</t>
  </si>
  <si>
    <t>MPMT-06014</t>
  </si>
  <si>
    <t>FORNECIMENTO E INSTALAÇÃO DE SIRENE ELÉTRICA 120dB 12V</t>
  </si>
  <si>
    <t>ORSE - 8503</t>
  </si>
  <si>
    <t>Obs.: Composição referenciada na base ORSE-SE 07/2017, cod.8503.</t>
  </si>
  <si>
    <t>SIRENE ELÉTRICA, 120dB 12V</t>
  </si>
  <si>
    <t>3004-2222</t>
  </si>
  <si>
    <t>CARREFOUR COMÉRCIO E INDÚSTRIA LTDA</t>
  </si>
  <si>
    <t>45.543.915/0592-32</t>
  </si>
  <si>
    <t>11 4003-2773</t>
  </si>
  <si>
    <t>CNOVA COMÉRCIO ELETRÔNICO S.A (CASAS BAHIA)</t>
  </si>
  <si>
    <t>07.170.938/0001-07</t>
  </si>
  <si>
    <t>MPMT-06032</t>
  </si>
  <si>
    <t>FORNECIMENTO E INSTALAÇÃO DE DETECTOR DE FUMAÇA OPTICO</t>
  </si>
  <si>
    <t>ORSE - 11978</t>
  </si>
  <si>
    <t>Obs.: Composição referenciada na base ORSE-SE 07/2017, cod. 11978.</t>
  </si>
  <si>
    <t>DETECTOR DE FUMAÇA</t>
  </si>
  <si>
    <t>VIEW TECH ENGENHARIA DE AUTOMAÇÃO EIRELI</t>
  </si>
  <si>
    <t>07.327.325/0001-22</t>
  </si>
  <si>
    <t>4003-6095</t>
  </si>
  <si>
    <t>SUPERCOMMERCE LTDA</t>
  </si>
  <si>
    <t>39.893.680/0001-55</t>
  </si>
  <si>
    <t>11 4637-0924</t>
  </si>
  <si>
    <t>PRONTEC DISTRIBUIDORA</t>
  </si>
  <si>
    <t>03.377.382/0001-65</t>
  </si>
  <si>
    <t>MPMT-03437</t>
  </si>
  <si>
    <t>CABO FLEXÍVEL BLINDADO, 2 VIAS 1,5MM², PARA INSTALAÇÕES DE SISTEMA DE PREVENÇÃO E COMBATE A INCÊNDIO - FORNECIMENTO E INSTALAÇÃO</t>
  </si>
  <si>
    <t>SINAPI - 92979</t>
  </si>
  <si>
    <t>Obs.: Composição referenciada na base SINAPI 11/2018, cod. 92979.</t>
  </si>
  <si>
    <t>CABO FLEXÍVEL BLINDADO, 2 VIAS 1,5MM²</t>
  </si>
  <si>
    <t>43 3024-5144</t>
  </si>
  <si>
    <t>AGUILA &amp; SANTOS LTDA - ME</t>
  </si>
  <si>
    <t>17.354.683/0001-88</t>
  </si>
  <si>
    <t>11 2911-6633</t>
  </si>
  <si>
    <t>PANTRON SECURITY SYSTEM DO BRASIL</t>
  </si>
  <si>
    <t>06.972.843/0001-36</t>
  </si>
  <si>
    <t>MPMT-03287</t>
  </si>
  <si>
    <t>ELETROCALHA LISA OU PERFURADA EM AÇO GALVANIZADO, LARGURA 100MM E ALTURA 50MM, INCLUSIVE TAMPA, EMENDA E FIXAÇÃO - FORNECIMENTO E INSTALAÇÃO</t>
  </si>
  <si>
    <t>SINAPI - 02.INEL.ELCA.002/02</t>
  </si>
  <si>
    <t>Obs.: Composição referenciada na base SINAPI 08/2018, cod. 02.INEL.ELCA.002/02. A referencia de composição consta no "Caderno Técnico de Composições - SINAPI_CT_LOTE2_ELETROCALHAS_v002"; Para fins de inclusão das "Emendas para Eletrocalhas" somou-se os indices de produtividade e consumo de materiais da composição 02.INEL.ELCA.009/02, do mesmo caderno; Para inclusão da "Fixação de suporte para eletrocalha", somou-se os coeficientes de produtividade e consumo de materiais da composição 91170.</t>
  </si>
  <si>
    <t>ELETROCALHA LISA OU PERFURADA EM CHAPA DE AÇO GALVANIZADO, LARGURA 100 MM E ALTURA 50 MM</t>
  </si>
  <si>
    <t>AVELINO</t>
  </si>
  <si>
    <t>11 2487-5516</t>
  </si>
  <si>
    <t>MARVITEC</t>
  </si>
  <si>
    <t>00.221.068/0003-62</t>
  </si>
  <si>
    <t>BRUNA</t>
  </si>
  <si>
    <t>BLM COMERCIAL ELÉTRICA</t>
  </si>
  <si>
    <t>LÍDIA</t>
  </si>
  <si>
    <t>MATRIX CONDUTORES ELÉTRICOS</t>
  </si>
  <si>
    <t>TAMPA PARA ELETROCALHA LISA OU PERFURADA EM CHAPA DE AÇO GALVANIZADO, LARGURA 100 MM E ALTURA 50 MM</t>
  </si>
  <si>
    <t>PERFIL EMENDA PARA ELETROCALHA 100X50MM</t>
  </si>
  <si>
    <t>SUPORTE TIPO GANCHO/BALANÇO/SUSPENSÃO PARA ELETROCALHA 100X50MM</t>
  </si>
  <si>
    <t>ALLYSON</t>
  </si>
  <si>
    <t>65 3618-2500</t>
  </si>
  <si>
    <t>ELETROFIOS MATERIAIS ELÉTRICOS LTDA</t>
  </si>
  <si>
    <t>37.470.911/0001-92</t>
  </si>
  <si>
    <t>DIRCEU</t>
  </si>
  <si>
    <t>65 3634-5253</t>
  </si>
  <si>
    <t>PETEL MATERIAIS ELÉTRICOS</t>
  </si>
  <si>
    <t>22.760.075/0001-03</t>
  </si>
  <si>
    <t>RICARDO</t>
  </si>
  <si>
    <t>65 3027-9000</t>
  </si>
  <si>
    <t>BRANEL COM. DE MATERIAIS ELÉTRICOS LTDA</t>
  </si>
  <si>
    <t>07.624.206/0001-31</t>
  </si>
  <si>
    <t>MPMT-03397</t>
  </si>
  <si>
    <t>ELETROCALHA LISA OU PERFURADA EM AÇO GALVANIZADO, LARGURA 150MM E ALTURA 100MM, INCLUSIVE TAMPA E FIXAÇÃO - FORNECIMENTO E INSTALAÇÃO</t>
  </si>
  <si>
    <t>SINAPI - 02.INEL.ELCA.004/01</t>
  </si>
  <si>
    <t>Obs.: Composição referenciada na base SINAPI 05/2019, cod. 02.INEL.ELCA.004/01. A referencia de composição consta no "Caderno Técnico de Composições - SINAPI_CT_LOTE2_ELETROCALHAS_v002"; Para fins de inclusão das "Emendas para Eletrocalhas" somou-se os indices de produtividade e consumo de materiais da composição 02.INEL.ELCA.011/01, do mesmo caderno.</t>
  </si>
  <si>
    <t>ELETROCALHA LISA OU PERFURADA EM CHAPA DE AÇO GALVANIZADO, LARGURA 150 MM E ALTURA 100 MM</t>
  </si>
  <si>
    <t>ALEXANDRE</t>
  </si>
  <si>
    <t>MOPA INDÚSTRIA E COMÉRCIO LTDA</t>
  </si>
  <si>
    <t>19 3895-1977</t>
  </si>
  <si>
    <t>62.144.829/0001-15</t>
  </si>
  <si>
    <t>11 4787-1214</t>
  </si>
  <si>
    <t>19.998.410.0001/00</t>
  </si>
  <si>
    <t>TAMPA PARA ELETROCALHA LISA OU PERFURADA EM CHAPA DE AÇO GALVANIZADO, LARGURA 150 MM E ALTURA 100 MM</t>
  </si>
  <si>
    <t>PERFIL EMENDA PARA ELETROCALHA 150X100MM</t>
  </si>
  <si>
    <t>MPMT-03286</t>
  </si>
  <si>
    <t>ELETROCALHA LISA OU PERFURADA EM AÇO GALVANIZADO, LARGURA 50MM E ALTURA 50MM, INCLUSIVE TAMPA, EMENDA E FIXAÇÃO - FORNECIMENTO E INSTALAÇÃO</t>
  </si>
  <si>
    <t>SINAPI - 02.INEL.ELCA.001/01</t>
  </si>
  <si>
    <t>Obs.: Composição referenciada na base SINAPI 08/2018, cod. 02.INEL.ELCA.001/01. A referencia de composição consta no "Caderno Técnico de Composições - SINAPI_CT_LOTE2_ELETROCALHAS_v002"; Para fins de inclusão das "Emendas para Eletrocalhas" somou-se os indices de produtividade e consumo de materiais da composição 02.INEL.ELCA.008/01, do mesmo caderno; Para inclusão da "Fixação de suporte para eletrocalha", somou-se os coeficientes de produtividade e consumo de materiais da composição 91170.</t>
  </si>
  <si>
    <t>ELETROCALHA LISA OU PERFURADA EM CHAPA DE AÇO GALVANIZADO, LARGURA 50 MM E ALTURA 50 MM</t>
  </si>
  <si>
    <t>TAMPA PARA ELETROCALHA LISA OU PERFURADA EM CHAPA DE AÇO GALVANIZADO, LARGURA 50 MM E ALTURA 50 MM</t>
  </si>
  <si>
    <t>PERFIL EMENDA PARA ELETROCALHA 50X50MM</t>
  </si>
  <si>
    <t>SUPORTE TIPO GANCHO/BALANÇO/SUSPENSÃO PARA ELETROCALHA 50X50MM</t>
  </si>
  <si>
    <t>MPMT-03018</t>
  </si>
  <si>
    <t>FORNECIMENTO E INSTALAÇÃO DE CANALETA DUPLA COM TAMPA, EM ALUMINIO, D 25MM, REF. DUTOTEC OU EQUIVALENTE</t>
  </si>
  <si>
    <t>ORSE/SE 01/2017 - 10276</t>
  </si>
  <si>
    <t>Obs.: Composição referenciada na base ORSE/SE JAN/2017, cod. 10276. A cotação dos itens foram feitas de forma a atender o padrão utilizado pelo MPMT; Comercialmente, a canaleta e a tampa é vendida em barra de 3m. Seu valor foi dividido pelo tamanho para obter o valor em metro; Devido a especificidade do material, não foi possível encontrar, no mercado local, 03 cotações do produto e, na internet, o fornecedor não tem representante online. Considerando que não foi possível realizar 03 cotações, foi adotado o menor valor dentre os 02 cotados. Os insumos de mão de obra foram adaptados para utilização da base SINAPI.</t>
  </si>
  <si>
    <t>CANALETA DUPLA, EM ALUMINIO, D 25MM, REF. DUTOTEC</t>
  </si>
  <si>
    <t>ABRAÃO</t>
  </si>
  <si>
    <t>3637-3333</t>
  </si>
  <si>
    <t>ELETRO TARTARI</t>
  </si>
  <si>
    <t>15.062.235/0001-85</t>
  </si>
  <si>
    <t>LUANA</t>
  </si>
  <si>
    <t>3648-5700</t>
  </si>
  <si>
    <t>PLUGMAIS DISTRIBUIDORA</t>
  </si>
  <si>
    <t>07.388.781/0001-82</t>
  </si>
  <si>
    <t>TAMPA PARA CANALETA DUPLA, EM ALUMINIO, D 25MM, COM RANHURA LONGITUDINAL, REF. DUTOTEC</t>
  </si>
  <si>
    <t>MÉDIA:</t>
  </si>
  <si>
    <t>MPMT-05172</t>
  </si>
  <si>
    <t>ORSE - 98307</t>
  </si>
  <si>
    <t>CAIXA SOBREPOR PARA SISTEMA DE CANALETA, REF. DUTOTEC DT-64444.10 OU EQUIVALENTE</t>
  </si>
  <si>
    <t>MÓDULO RJ45, REF. DUTOTEC DX-99240.00 OU EQUIVALENTE</t>
  </si>
  <si>
    <t>MÓDULO CEGO, REF. DUTOTEC DX-99200.00 OU EQUIVALENTE</t>
  </si>
  <si>
    <t>Obs.: Composição referenciada na base ORSE, cód. 98307.</t>
  </si>
  <si>
    <t>RESUMO DA COTAÇÃO</t>
  </si>
  <si>
    <t>WILSON</t>
  </si>
  <si>
    <t>65 3648-5700</t>
  </si>
  <si>
    <t>PLUGMAIS DISTRIB. - INFORM. E TELECOM LTDA</t>
  </si>
  <si>
    <t>MPMT-05173</t>
  </si>
  <si>
    <t>CAIXA DE SOBREPOR PARA SISTEMA DE CANALETA, SENDO 2 MÓDULOS RJ45-CAT6 E 1 MÓDULO CEGO-FORNECIMENTO E INSTALAÇÃO</t>
  </si>
  <si>
    <t>CAIXA DE SOBREPOR PARA SISTEMA DE CANALETA, SENDO 1 MÓDULO RJ45-CAT6 E 2 MÓDULOS CEGOS - FORNECIMENTO E INSTALAÇÃO</t>
  </si>
  <si>
    <t>MPMT-05190</t>
  </si>
  <si>
    <t>CAIXA DE SOBREPOR PARA SISTEMA DE CANALETA, SENDO 3 MÓDULOS RJ45-CAT6 - FORNECIMENTO E INSTALAÇÃO</t>
  </si>
  <si>
    <t>MPMT-03113</t>
  </si>
  <si>
    <t>CURVA VERTICAL INTERNA, MOD. REF.: DT 38041.30 OU EQUIVALENTE - FORNECIMENTO E INSTALAÇÃO</t>
  </si>
  <si>
    <t>Obs.:</t>
  </si>
  <si>
    <t>CURVA  VERTICAL INTERNA, MOD. REF.: DT 38041.30</t>
  </si>
  <si>
    <t>FELIPE</t>
  </si>
  <si>
    <t>65 3648-5750</t>
  </si>
  <si>
    <t>JOSÉ ALFREDO</t>
  </si>
  <si>
    <t>16 3373-2200</t>
  </si>
  <si>
    <t>RTB DISTRIBUIDORA</t>
  </si>
  <si>
    <t>08.249.157/0001-67</t>
  </si>
  <si>
    <t>KARINA</t>
  </si>
  <si>
    <t>11 5031-4669</t>
  </si>
  <si>
    <t>CONNECT LAN COMERCIAL DO BRASIL</t>
  </si>
  <si>
    <t>04.326.382/0001-07</t>
  </si>
  <si>
    <t>MPMT-03020</t>
  </si>
  <si>
    <t>FORNECIMENTO E INSTALAÇÃO DE ADAPTADOR PARA CANALETA/ELETRODUTO 3"X3/4", 3 ENTRADAS, PARA CANALETA D=25MM METALICA. REF. DUTOTEC OU EQUIVALENTE</t>
  </si>
  <si>
    <t>ORSE/SE 01/2017 - 10281</t>
  </si>
  <si>
    <t>Obs.: Composição referenciada na base ORSE/SE 01/2017, cod. 10281. A cotação dos itens foram feitas de forma a atender o padrão utilizado pelo MPMT; Devido a especificidade do material, não foi possível encontrar, no mercado local, 03 cotações do produto e, na internet, o fornecedor não tem representante online. Considerando que não foi possível realizar 03 cotações, foi adotado o menor valor dentre os 02 cotados. Os insumos de mão de obra foram adaptados para utilização do SINAPI.</t>
  </si>
  <si>
    <t>ADAPTADOR PARA CANALETA/ELETRODUTO 3"X3/4", 3 ENTRADAS, PARA CANALETA D=25MM METALICA. REF. DUTOTEC</t>
  </si>
  <si>
    <t>MENOR VALOR</t>
  </si>
  <si>
    <t>EQUIPAMENTOS DE REDE LÓGICA</t>
  </si>
  <si>
    <t>PAREDES E PAINEIS</t>
  </si>
  <si>
    <t>MPMT-02318</t>
  </si>
  <si>
    <t>PAREDE COM PLACAS DE GESSO ACARTONADO (DRYWALL), RESISTENTE A UMIDADE (RU), PARA USO INTERNO, COM DUAS FACES SIMPLES E ESTRUTURA METÁLICA COM GUIAS SIMPLES, COM VÃOS</t>
  </si>
  <si>
    <t>SINAPI - 96359</t>
  </si>
  <si>
    <t>Obs.: Composição referenciada na base SINAPI 08/2017, cod. 96359.</t>
  </si>
  <si>
    <t>MPMT-02309</t>
  </si>
  <si>
    <t>PAREDE COM PLACAS DE GESSO ACARTONADO (DRYWALL), RESISTENTE A UMIDADE (RU), PARA USO INTERNO, COM DUAS FACES SIMPLES E ESTRUTURA METÁLICA COM GUIAS SIMPLES, SEM VÃOS</t>
  </si>
  <si>
    <t>SINAPI - 96358</t>
  </si>
  <si>
    <t>Obs.: Composição referenciada na base SINAPI 08/2017, cod. 96358.</t>
  </si>
  <si>
    <t>MPMT-02324</t>
  </si>
  <si>
    <t>KIT DE PORTA EM MADEIRA, CORRER, PARA VERNIZ, SEMI-OCA, PADRÃO MÉDIO, 90X210CM, ESPESSURA 3,5CM, ITENS INCLUSOS: DOBRADIÇAS, MONTAGEM E INSTALAÇÃO DO BATENTE, FECHADURA COM EXECUÇÃO DO FURO, TRILHOS E CORREDIÇAS - FORNECIMENTO E INSTALAÇÃO</t>
  </si>
  <si>
    <t>SINAPI - 90823 / SBC - 110691</t>
  </si>
  <si>
    <t>Obs.: Composição referenciada nas bases SINAPI 08/2018, cod. 90823 e SBC 09/2018, cod. 110691.</t>
  </si>
  <si>
    <t>KIT DE PORTA COMPLETA, DE CORRER, 90X210CM, MADEIRA LISA</t>
  </si>
  <si>
    <t>42 98402-4257</t>
  </si>
  <si>
    <t>DRZ PORTAS E COLOGICAS LTDA</t>
  </si>
  <si>
    <t>10.652.922/0002-18</t>
  </si>
  <si>
    <t>11 4292-1020</t>
  </si>
  <si>
    <t>LOJA DAS ESQUADRIAS EIRELI - ME</t>
  </si>
  <si>
    <t>16.699.409/0001-88</t>
  </si>
  <si>
    <t>REVESTIMENTO DE PISO</t>
  </si>
  <si>
    <t>REVESTIMENTO DE PAREDES</t>
  </si>
  <si>
    <t>MPMT-02469</t>
  </si>
  <si>
    <t>REVESTIMENTO CERÂMICO PARA PISO COM PLACAS TIPO PORCELANATO POLIDO DE DIMENSÕES 60X60 CM, REF. DELTA AVORIO OU EQUIVALENTE</t>
  </si>
  <si>
    <t>SINAPI - 87263</t>
  </si>
  <si>
    <t>Obs.: Composição referenciada na base SINAPI-MT, 05/2019, cod. 84161.</t>
  </si>
  <si>
    <t>MPMT-02478</t>
  </si>
  <si>
    <t>RODAPÉ EM PORCELANATO POLIDO, 10CM DE ALTURA, COM PLACAS TIPO GRÊS DE DIMENSÕES 60X60CM, REF. DELTA AVÓRIO OU EQUIVALENTE</t>
  </si>
  <si>
    <t>SINAPI 03/2017 - 87263</t>
  </si>
  <si>
    <t>Obs.: Composição referenciada na base SINAPI 03/2017, cod. 87263. Na composição original foi alterados os seguintes itens: 1) Considerando que a composição original previa altura de 7cm para rodapé e, por ser um valor quebrado, a perda de piso é muito alta, desta forma foi alterada o coeficiente de consumo de piso com perda de 10%, uma vez que a nova altura do rodapé é de 10cm (1,00m x 0,10m x 10% = 0,110m²); 2) Os novos coeficientes de consumos foram dados pelo resultado da seguinte conta: (Coef. original / Área de consumo de piso original) x Novo coef. de consumo de piso; 3) Considerando que a composição original previa piso cerâmico convencional e não porcelanato, foi alterado o tipo de argamassa para AC III. 4) Foi alterado o piso cerâmico para porcelanato.</t>
  </si>
  <si>
    <t>SOLEIRA DE GRANITO BRANCO SIENA, LARGURA 10CM, ESPESSURA 2CM, ASSENTADA SOBRE ARGAMASSA TRACO 1:4 (CIMENTO E AREIA)</t>
  </si>
  <si>
    <t>INSTALAÇÕES ELÉTRICAS</t>
  </si>
  <si>
    <t>MPMT-02568</t>
  </si>
  <si>
    <t>MPMT-02569</t>
  </si>
  <si>
    <t>REVESTIMENTO CERÂMICO PARA PAREDES INTERNAS COM PLACAS TIPO GRÊS OU SEMI-GRÊS DE DIMENSÕES 30X60 CM APLICADAS EM AMBIENTES DE ÁREA MAIOR QUE 5 M² NA ALTURA INTEIRA DAS PAREDES - REF. PORTOBELLO BIANCO OU EQUIVALENTE</t>
  </si>
  <si>
    <t>SINAPI - 87273</t>
  </si>
  <si>
    <t>Obs.: Composição referenciada na base SINAPI 05/2020, cod. 87273.</t>
  </si>
  <si>
    <t>AZULEJO 30X60 RETIFICADO REF. PORTOBELLO MODERN PASTEL 26101</t>
  </si>
  <si>
    <t>21/07/2020</t>
  </si>
  <si>
    <t>21 2199-1200</t>
  </si>
  <si>
    <t xml:space="preserve">BOTTINO MATERIAIS DE CONSTRUÇÃO LTDA </t>
  </si>
  <si>
    <t>05.879.152/0009-87</t>
  </si>
  <si>
    <t>SAINT-GOBAIN DIST. BRASIL</t>
  </si>
  <si>
    <t>SERVIÇOS COMPLEMENTARES</t>
  </si>
  <si>
    <t>TOTAL BLOCO B</t>
  </si>
  <si>
    <t>TOTAL BLOCO A</t>
  </si>
  <si>
    <t>MPMT-05067</t>
  </si>
  <si>
    <t>TUBO EM COBRE FLEXÍVEL, DN 3/4", COM ISOLAMENTO, INSTALADO EM RAMAL DE ALIMENTAÇÃO DE AR CONDICIONADO COM CONDENSADORA INDIVIDUAL  FORNECIMENTO E INSTALAÇÃO</t>
  </si>
  <si>
    <t>SINAPI - 97328</t>
  </si>
  <si>
    <t>Obs.: Composição referenciada na base SINAPI-MT 11/2019, cod. 97328.</t>
  </si>
  <si>
    <t>MPMT-03422</t>
  </si>
  <si>
    <t>CABO FLEXIVEL PVC 750 V, 4 CONDUTORES DE 1,5 MM2, INSTALADA EM COMANDO DE EVAPORADORA - FORNECIMENTO E INSTALAÇÃO</t>
  </si>
  <si>
    <t>SINAPI 04/2017 - 91926</t>
  </si>
  <si>
    <t>Obs.: Composição referenciada na base SINAPI 04/2017, cod. 91926. Foi alterado da composição original os seguintes itens: 1) Substituição do insumo "Cabo flexivel" pelo Cabo com 4 condutores de 1,5mm².</t>
  </si>
  <si>
    <t>MPMT-05105</t>
  </si>
  <si>
    <t>AR CONDICIONADO SPLIT HI-WALL, INVERTER, 9.000 BTU's, INCLUSIVE ACESSÓRIOS DE FIXAÇÃO - INSTALAÇÃO</t>
  </si>
  <si>
    <t>SBC - 70444</t>
  </si>
  <si>
    <t>Obs.: Composição referenciada na base SBC-SP 02/2020, cod. 70444.</t>
  </si>
  <si>
    <t>SUPORTE CONDENSADORA, CAP. ATÉ 105KG/PAR, 600MM</t>
  </si>
  <si>
    <t>PAR</t>
  </si>
  <si>
    <t>4007 2808</t>
  </si>
  <si>
    <t>FRIGELAR COM. E IND. LTDA</t>
  </si>
  <si>
    <t>92.660.406/0001-19</t>
  </si>
  <si>
    <t>12 3204-5257</t>
  </si>
  <si>
    <t>FRIOSHOPPING AR CONDICIONADO LTDA</t>
  </si>
  <si>
    <t>10.631.556/0001-30</t>
  </si>
  <si>
    <t>MPMT-05106</t>
  </si>
  <si>
    <t>AR CONDICIONADO SPLIT HI-WALL, INVERTER, 12.000 BTU's, INCLUSIVE ACESSÓRIOS DE FIXAÇÃO - INSTALAÇÃO</t>
  </si>
  <si>
    <t>MPMT-05107</t>
  </si>
  <si>
    <t>AR CONDICIONADO SPLIT HI-WALL, INVERTER, 18.000 BTU's, INCLUSIVE ACESSÓRIOS DE FIXAÇÃO - INSTALAÇÃO</t>
  </si>
  <si>
    <t>SBC - 70556</t>
  </si>
  <si>
    <t>Obs.: Composição referenciada na base SBC-SP 02/2020, cod. 70556.</t>
  </si>
  <si>
    <t>MPMT-05108</t>
  </si>
  <si>
    <t>SBC - 70478</t>
  </si>
  <si>
    <t>Obs.: Composição referenciada na base SBC-SP 02/2020, cod. 70478.</t>
  </si>
  <si>
    <t>AR CONDICIONADO SPLIT HI-WALL, INVERTER, 23.000 BTU's, INCLUSIVE ACESSÓRIOS DE FIXAÇÃO - INSTALAÇÃO</t>
  </si>
  <si>
    <t>MPMT-05111</t>
  </si>
  <si>
    <t>AR CONDICIONADO SPLIT PISO-TETO, INVERTER, 36.000 BTU's, INCLUSIVE ACESSÓRIOS DE FIXAÇÃO - INSTALAÇÃO</t>
  </si>
  <si>
    <t>SBC - 70479</t>
  </si>
  <si>
    <t>Obs.: Composição referenciada na base SBC-SP 02/2020, cod. 70479.</t>
  </si>
  <si>
    <t>SUPORTE CONDENSADORA, CAP. ATÉ 105KG/PAR, 800MM</t>
  </si>
  <si>
    <t>54 3212-4466</t>
  </si>
  <si>
    <t>EMBRAR EQUIPAMENTOS E COMPONENTES LTDA</t>
  </si>
  <si>
    <t>03.343.938/0001-00</t>
  </si>
  <si>
    <t>MPMT-05114</t>
  </si>
  <si>
    <t>SBC - 70585</t>
  </si>
  <si>
    <t>Obs.: Composição referenciada na base SBC-SP 02/2020, cod. 70585.</t>
  </si>
  <si>
    <t>AR CONDICIONADO SPLIT PISO-TETO, INVERTER, 54.000 BTU's, INCLUSIVE ACESSÓRIOS DE FIXAÇÃO - INSTALAÇÃO</t>
  </si>
  <si>
    <t>MPMT-05118</t>
  </si>
  <si>
    <t>AR CONDICIONADO SPLIT HI-WALL, INVERTER, 9.000 BTU's, INCLUSIVE ACESSÓRIOS DE FIXAÇÃO - FORNECIMENTO</t>
  </si>
  <si>
    <t>MPMT-05119</t>
  </si>
  <si>
    <t>AR CONDICIONADO SPLIT HI-WALL, INVERTER, 12.000 BTU's, INCLUSIVE ACESSÓRIOS DE FIXAÇÃO - FORNECIMENTO</t>
  </si>
  <si>
    <t>MPMT-05122</t>
  </si>
  <si>
    <t>MPMT-05124</t>
  </si>
  <si>
    <t>AR CONDICIONADO SPLIT PISO-TETO, INVERTER, 36.000 BTU's, INCLUSIVE ACESSÓRIOS DE FIXAÇÃO - FORNECIMENTO</t>
  </si>
  <si>
    <t>MPMT-05127</t>
  </si>
  <si>
    <t>AR CONDICIONADO SPLIT PISO-TETO, INVERTER, 54.000 BTU's, INCLUSIVE ACESSÓRIOS DE FIXAÇÃO - FORNECIMENTO</t>
  </si>
  <si>
    <t>AR CONDICIONADO SPLIT CASSETE, INVERTER, 23.000 BTU's, INCLUSIVE ACESSÓRIOS DE FIXAÇÃO - FORNECIMENTO</t>
  </si>
  <si>
    <t>MPMT-05104</t>
  </si>
  <si>
    <t>GÁS REFRIGERANTE R410</t>
  </si>
  <si>
    <t>SBC - 70401</t>
  </si>
  <si>
    <t>Obs.: Composição referenciada na base SBC-SP 02/2020, cod. 70401.</t>
  </si>
  <si>
    <t>05/02/2020</t>
  </si>
  <si>
    <t>38 3221-7664</t>
  </si>
  <si>
    <t>REFRIGERAÇÃO MOTA</t>
  </si>
  <si>
    <t>07.671.166/0001-89</t>
  </si>
  <si>
    <t>21 3803-1400</t>
  </si>
  <si>
    <t>ELETROFRIGOR PEÇAS LTDA</t>
  </si>
  <si>
    <t>07.885.198/0001-87</t>
  </si>
  <si>
    <t>MPMT-03438</t>
  </si>
  <si>
    <t>REMOÇÃO MANUAL DE CERCA ELÉTRICA, SEM REAPROVEITAMENTO, INCLUSIVE ACESSÓRIOS</t>
  </si>
  <si>
    <t>MPMT-02570</t>
  </si>
  <si>
    <t>EXECUÇÃO DE PLANO DE CORTE EM GRANITO</t>
  </si>
  <si>
    <t>MPMT-02571</t>
  </si>
  <si>
    <t>PORTA EM CHAPA DE AÇO REFORÇADA, COM PAINEIS REBAIXADOS, COM GUARNIÇÕES, 80X210CM, COM GRADE E VIDRO, CONFORME PROJETO DETALHADO - FORNECIMENTO E INSTALAÇÃO</t>
  </si>
  <si>
    <t>SINAPI - 94807</t>
  </si>
  <si>
    <t>Obs.: Composição referenciada na base SINAPI 02/2019, cod. 94807.</t>
  </si>
  <si>
    <t>PORTA EM CHAPA DE AÇO REFORÇADA, COM PAINEIS REBAIXADOS, COM GUARNIÇÕES, 80X210CM, COM GRADE E VIDRO</t>
  </si>
  <si>
    <t>65 99304-2643</t>
  </si>
  <si>
    <t>SERRALHERIA AÇO FORTE</t>
  </si>
  <si>
    <t>MPMT-02572</t>
  </si>
  <si>
    <t>PORTA EM CHAPA DE AÇO REFORÇADA, COM PAINEIS REBAIXADOS, COM GUARNIÇÕES, 90X210CM, COM GRADE E VIDRO, CONFORME PROJETO DETALHADO - FORNECIMENTO E INSTALAÇÃO</t>
  </si>
  <si>
    <t>PORTA EM CHAPA DE AÇO REFORÇADA, COM PAINEIS REBAIXADOS, COM GUARNIÇÕES, 90X210CM, COM GRADE E VIDRO</t>
  </si>
  <si>
    <t>MPMT-02573</t>
  </si>
  <si>
    <t>PORTA EM CHAPA DE AÇO REFORÇADA, CORRER, COM GUARNIÇÕES, 80X210CM, CONFORME PROJETO DETALHADO - FORNECIMENTO E INSTALAÇÃO</t>
  </si>
  <si>
    <t>PORTA EM CHAPA DE AÇO REFORÇADA, CORRER, COM GUARNIÇÕES, 80X210CM</t>
  </si>
  <si>
    <t>MPMT-02574</t>
  </si>
  <si>
    <t>FORNECIMENTO E INSTALAÇÃO DE PORTA DE CORRER 1F, EM MADEIRA, 0,80X2,10M, COM VISOR EM VIDRO, INCLUSIVE BATENTES E FERRAGENS</t>
  </si>
  <si>
    <t>ORSE - 8204</t>
  </si>
  <si>
    <t>Obs.: Composição referenciada na base ORSE/SE 01/2017, cod. 8204. Foi alterado da composição original o seguinte item: 1) Os itens de ferragens, portal, alizares e batentes foram retirados da composição por estarem inclusos na cotação realizada no mercado local. Os insumos foram adaptados para utilização do SINAPI.</t>
  </si>
  <si>
    <t>MPMT-02575</t>
  </si>
  <si>
    <t>FORNECIMENTO E INSTALAÇÃO DE PORTA DE CORRER 1F, EM MADEIRA, 0,90X2,10M, COM VISOR EM VIDRO, INCLUSIVE BATENTES E FERRAGENS</t>
  </si>
  <si>
    <t>PORTA DE MADEIRA PARA VERNIZ, 2F 160X210CM, ESPESSURA DE 3,5CM, COM VISOR EM VIDRO LAMINADO 6,0 MM, ITENS INCLUSOS: DOBRADIÇAS, MONTAGEM E INSTALAÇÃO DO BATENTE, SEM FECHADURA - FORNECIMENTO E INSTALAÇÃO</t>
  </si>
  <si>
    <t>SINAPI - 73910/009</t>
  </si>
  <si>
    <t>Obs.: Composição referenciada na base SINAPI 05/2017, cod. 73910/009.</t>
  </si>
  <si>
    <t>MPMT-02576</t>
  </si>
  <si>
    <t>MPMT-02062</t>
  </si>
  <si>
    <t>FORNECIMENTO E INSTALAÇÃO DE GRADE EXTERNA, EM BARRA CHATA 1 1/4" X 3/16", CONFORME DETALHAMENTO EM PROJETO</t>
  </si>
  <si>
    <t>SINAPI 04/2017 - 73932/001</t>
  </si>
  <si>
    <t>Obs.: Composição referenciada na base SINAPI 04/2017, cod. 73932/001. Não foi alterado nenhum insumo ou coeficiente da composição original. Considerando que o insumo "Barra de Ferro Retangular" admite qualquer dimensão, foi alterado a descrição do serviço para atender a especificação do projeto.</t>
  </si>
  <si>
    <t>MPMT-02577</t>
  </si>
  <si>
    <t>PORTA DE MADEIRA PARA VERNIZ, SEMI-OCA (LEVE OU MÉDIA), PADRÃO MÉDIO, 60X210CM, ESPESSURA DE 3,5CM, ITENS INCLUSOS: DOBRADIÇAS, MONTAGEM E INSTALAÇÃO DO BATENTE, SEM FECHADURA E FOLHA DA PORTA - INSTALAÇÃO CONSIDERANDO REAPROVEITAMENTO</t>
  </si>
  <si>
    <t>SINAPI - 91013</t>
  </si>
  <si>
    <t>Obs.: Composição referenciada na base SINAPI 05/2020, cod. 91013 E 91009.</t>
  </si>
  <si>
    <t>MPMT-02578</t>
  </si>
  <si>
    <t>PORTA DE MADEIRA PARA VERNIZ, SEMI-OCA (LEVE OU MÉDIA), PADRÃO MÉDIO, 80X210CM, ESPESSURA DE 3,5CM, ITENS INCLUSOS: DOBRADIÇAS, MONTAGEM E INSTALAÇÃO DO BATENTE, SEM FECHADURA E FOLHA DA PORTA - INSTALAÇÃO CONSIDERANDO REAPROVEITAMENTO</t>
  </si>
  <si>
    <t>SINAPI - 91015</t>
  </si>
  <si>
    <t>Obs.: Composição referenciada na base SINAPI 05/2020, cod. 91015 E 91011.</t>
  </si>
  <si>
    <t>MPMT-02579</t>
  </si>
  <si>
    <t>PORTA DE MADEIRA PARA VERNIZ, 2F 120X210CM, ESPESSURA DE 3,5CM, COM VISOR EM VIDRO LAMINADO 6,0 MM, ITENS INCLUSOS: DOBRADIÇAS, MONTAGEM E INSTALAÇÃO DO BATENTE, SEM FECHADURA - INSTALAÇÃO PREVENDO REAPROVEIRAMENTO</t>
  </si>
  <si>
    <t>SINAPI - 73838/001</t>
  </si>
  <si>
    <t>Obs.: Composição referenciada na base SINAPI 08/2017, cod. 73838/001. Os coeficientes foram multiplicados por dois, considerando que a porta terá 2 folhas.</t>
  </si>
  <si>
    <t>MPMT-02580</t>
  </si>
  <si>
    <t>PORTA DE VIDRO TEMPERADO, 2 FOLHAS, 1,60X2,10M, ESPESSURA 10MM, INCLUSIVE ACESSORIOS, INSTALAÇÃO PREVENDO REAPROVEITAMENTO DA PORTA E SUBSTITUIÇÃO DA MOLA HIDRÁULICA</t>
  </si>
  <si>
    <t>MPMT-02581</t>
  </si>
  <si>
    <t>FORNECIMENTO E INSTALAÇÃO DE VENEZIANA FIXA, EM AÇO, PARA SAÍDA DE AR, 0,40 X 1,50 M</t>
  </si>
  <si>
    <t>TCPO 14 - 12.103.000304.SER</t>
  </si>
  <si>
    <t>Obs.: Composição referenciada na base TCPO 14 09/2017, cod. 12.103.000304.SER. A cotação da janela foi realizada de acordo com projeto arquitetônico executivo e atende todas as especificações.</t>
  </si>
  <si>
    <t>VENEZIANA FIXA, EM AÇO, PARA SAÍDA DE AR, COM TELA METALICA, 0,40 X 1,50 M</t>
  </si>
  <si>
    <t>65 3365-9965</t>
  </si>
  <si>
    <t>ALPHA ESQUADRIAS E FACHADAS</t>
  </si>
  <si>
    <t>65 3627-1590</t>
  </si>
  <si>
    <t>ALUPORTE COM. IND. DE ESQUAD. DE ALUMINIO</t>
  </si>
  <si>
    <t>MPMT-02582</t>
  </si>
  <si>
    <t>JANELA DE ALUMÍNIO DE CORRER COM 2 FOLHAS PARA VIDROS, COM VIDROS - INSTALAÇÃO PREVENDO REAPROVEITAMENTO</t>
  </si>
  <si>
    <t>SINAPI - 94570</t>
  </si>
  <si>
    <t>Obs.: Composição referenciada na base SINAPI, 05/2020, Cód. 94570.</t>
  </si>
  <si>
    <t>MPMT-02583</t>
  </si>
  <si>
    <t>SOLEIRA DE GRANITO PRETO SÃO GABRIEL, LARGURA 15CM, ESPESSURA 2CM, ASSENTADA SOBRE ARGAMASSA TRACO 1:4 (CIMENTO E AREIA) - INSTALAÇÃO CONSIDERANDO REAPROVEIRAMENTO DO GRANITO</t>
  </si>
  <si>
    <t>MPMT-02584</t>
  </si>
  <si>
    <t>PEITORIL EM GRANITO PRETO SÃO GABRIEL, LARGURA DE 18CM, ASSENTADO COM ARGAMASSA TRACO 1:4 (CIMENTO E AREIA MEDIA), PREPARO MANUAL DA ARGAMASSA</t>
  </si>
  <si>
    <t>SINAPI 02/2017 - 84088</t>
  </si>
  <si>
    <t>Obs.: Composição referenciada na base SINAPI 02/2017, cod. 84088. Foi alterado da composição original o seguinte item: 1) O insumo "Granito" foi substituído por insumo de cotação e a unidade de medida passou a ser em m2.</t>
  </si>
  <si>
    <t>ELEMENTOS DE FACHADA</t>
  </si>
  <si>
    <t>MPMT-02233</t>
  </si>
  <si>
    <t>FORNECIMENTO E INSTALAÇÃO DE REVESTIMENTO DE FACHADA EM ALUMINIO COMPOSTO (ACM), CONFORME ESPECIFICAÇÕES DE PROJETO EXECUTIVO</t>
  </si>
  <si>
    <t>REVESTIMENTO DE FACHADA EM ALUMINIO COMPOSTO (ACM), CONFORME ESPECIFICAÇÕES DE PROJETO EXECUTIVO</t>
  </si>
  <si>
    <t>PONTUAL COMUNICAÇÃO VISUAL</t>
  </si>
  <si>
    <t>65 3622-2433</t>
  </si>
  <si>
    <t>JANIETE DE OLIVEIRA EIRELI (BRASLUM)</t>
  </si>
  <si>
    <t>MPMT-04014</t>
  </si>
  <si>
    <t>FORNECIMENTO E INSTALAÇÃO DE CUBA QUADRADA DE SEMI-ENCAIXE, LOUÇA BRANCA, REF. DECA COD. L.873.17 OU EQUIVALENTE</t>
  </si>
  <si>
    <t>SINAPI - 86901</t>
  </si>
  <si>
    <t>10/07/0019</t>
  </si>
  <si>
    <t>Obs.: Composição referenciada na base SINAPI 09/2017, cod. 86901.</t>
  </si>
  <si>
    <t>CUBA DE SEMIENCAIXE RETANGULAR COM MESA E VÁLVULA VÁLVULA OCULTA, DECA COD. L.873.17</t>
  </si>
  <si>
    <t>MPMT-03425</t>
  </si>
  <si>
    <t>LUMINÁRIA PLAFON LED 30W, SOBREPOR QUADRADO 30 X 30 CM, BRANCO FRIO 6000K - FORNECIMENTO E INSTALAÇÃO</t>
  </si>
  <si>
    <t>SBC - 60126</t>
  </si>
  <si>
    <t>Obs.: Composição referenciada na base SBC-SP 12/2019, cod. 60126.</t>
  </si>
  <si>
    <t>LUMINÁRIA TIPO PLAFON LED 30W, 30 X 30 CM, SOBREPOR, BRANCO FRIO 6000K</t>
  </si>
  <si>
    <t>11 4210-0494</t>
  </si>
  <si>
    <t>COMERCIAL ILUMINIM LTDA</t>
  </si>
  <si>
    <t>23.429.903/0001-98</t>
  </si>
  <si>
    <t>MADEIRAMADEIRA COMÉRCIO ELETRÔNICO S/A</t>
  </si>
  <si>
    <t>11 5678-7018</t>
  </si>
  <si>
    <t>SLED ME</t>
  </si>
  <si>
    <t>33.779.899/0001-41</t>
  </si>
  <si>
    <t>MPMT-03426</t>
  </si>
  <si>
    <t>LUMINÁRIA PLAFON LED 18W, SOBREPOR QUADRADO 30 X 30 CM, BRANCO FRIO 6000K - FORNECIMENTO E INSTALAÇÃO</t>
  </si>
  <si>
    <t>LUMINÁRIA TIPO PLAFON LED 18W, 30 X 30 CM, SOBREPOR, BRANCO FRIO 6000K</t>
  </si>
  <si>
    <t>RCA PRODUTOS E SERVICOS LTDA. R.C.A.</t>
  </si>
  <si>
    <t>69.207.850/0001-61</t>
  </si>
  <si>
    <t>47 99292-0298</t>
  </si>
  <si>
    <t>LUMIENERGY COM. DE ARTIGOS PARA CASA LTDA</t>
  </si>
  <si>
    <t>14.977.876/0001-05</t>
  </si>
  <si>
    <t>MPMT-03152</t>
  </si>
  <si>
    <t>FORNECIMENTO E INSTALAÇÃO DE LUMINARIA LED, TIPO REFLETOR RETANGULAR, 10 W</t>
  </si>
  <si>
    <t>ORSE - 8739</t>
  </si>
  <si>
    <t>Obs.: Composição referenciada na base ORSE-SE 05/2017, cod. 8739.</t>
  </si>
  <si>
    <t>MPMT-03153</t>
  </si>
  <si>
    <t>FORNECIMENTO E INSTALAÇÃO DE LUMINARIA LED, TIPO REFLETOR RETANGULAR, 30 W</t>
  </si>
  <si>
    <t>MPMT-02536</t>
  </si>
  <si>
    <t>FILETE DECORATIVO TIPO CORDÃO, COR BEGE, 2,0 X 30,0 CM, REF. GABRIELLA GF 3629 OU EQUIVALENTE - FORNECIMENTO E INSTALAÇÃO</t>
  </si>
  <si>
    <t>SETOP - REV-CER-021</t>
  </si>
  <si>
    <t>Obs.: Composição referenciada na base SETOP-MG 07/2017, cod. REV-CER-021.</t>
  </si>
  <si>
    <t>MPMT-02261</t>
  </si>
  <si>
    <t>ORSE/SE 01/2017 - 9418</t>
  </si>
  <si>
    <t>Obs.: Composição referenciada na base ORSE/SE 01/2017, cod. 9418.</t>
  </si>
  <si>
    <t>PISO TÁTIL DIRECIONAL E/OU ALERTA, LADRILHO HIDRÁULICO, PARA DEFICIENTES VISUAIS, DIMENSÕES 25X25CM, APLICADO COM ARGAMASSA INDUSTRIALIZADA, REJUNTADO</t>
  </si>
  <si>
    <t>MPMT-03439</t>
  </si>
  <si>
    <t>FORNECIMENTO E INSTALAÇÃO DE COTOVELO RETO DE 90º PARA ELETROCALHA, ACABAMENTO PRÉ ZINCADO, DIMENSÃO: 150 X 100 MM, INCLUSIVE TAMPA E FIXAÇÃO</t>
  </si>
  <si>
    <t>ORSE/SE - 7816</t>
  </si>
  <si>
    <t>Obs.: Composição referenciada na base ORSE-SE 04/2017, cod. 7816.</t>
  </si>
  <si>
    <t>COTOVELO RETO DE 90º PARA ELETROCALHA, ACABAMENTO PRÉ ZINCADO, DIMENSÃO: 150X100MM</t>
  </si>
  <si>
    <t>ELETROFIOS MATERIAIS ELETRICOS</t>
  </si>
  <si>
    <t>MPMT-03440</t>
  </si>
  <si>
    <t>TÊ HORIZONTAL DE 90º PARA ELETROCALHA, ACABAMENTO PRÉ ZINCADO, DIMENSÃO: 150X100MM - FORNECIMENTO E INSTALAÇÃO</t>
  </si>
  <si>
    <t>ORSE/SE - 8687</t>
  </si>
  <si>
    <t>Obs.: Composição referenciada na base ORSE-SE 04/2017, cod. 8687.</t>
  </si>
  <si>
    <t>TÊ HORIZONTAL DE 90º PARA ELETROCALHA, ACABAMENTO PRÉ ZINCADO, DIMENSÃO: 150X100MM</t>
  </si>
  <si>
    <t>VICTOR</t>
  </si>
  <si>
    <t>65 3634-6949</t>
  </si>
  <si>
    <t>MAQUINA COM. DE PROD. E SERVICOS EIRELI</t>
  </si>
  <si>
    <t>29.382.143/0001-97</t>
  </si>
  <si>
    <t>MPMT-03441</t>
  </si>
  <si>
    <t>FORNECIMENTO E INSTALAÇÃO DE CURVA DE INVERSÃO PARA ELETROCALHA, ACABAMENTO PRÉ ZINCADO, DIMENSÃO: 150X100MM</t>
  </si>
  <si>
    <t>ORSE/SE - 8701</t>
  </si>
  <si>
    <t>Obs.: Composição referenciada na base ORSE-SE 04/2017, cod. 8701.</t>
  </si>
  <si>
    <t>CURVA DE INVERSÃO PARA ELETROCALHA, ACABAMENTO PRÉ ZINCADO, DIMENSÃO: 150X100MM</t>
  </si>
  <si>
    <t>MPMT-03290</t>
  </si>
  <si>
    <t>SAÍDA HORIZONTAL PARA ELETRODUTO, Ø 1" - FORNECIMENTO E INSTALAÇÃO</t>
  </si>
  <si>
    <t>ORSE/SE - 724</t>
  </si>
  <si>
    <t>Obs.: Composição referenciada na base ORSE-SE 04/2017, cod. 724. Foi inserido na composição, os acessorios de fixação.</t>
  </si>
  <si>
    <t>SAÍDA HORIZONTAL PARA ELETRODUTO, 1"</t>
  </si>
  <si>
    <t>MPMT-05139</t>
  </si>
  <si>
    <t>RACK 44U, 19", NA COR PRETO, COM VISOR FRONTAL E LATERAIS REMOVÍVEIS - INSTALAÇÃO</t>
  </si>
  <si>
    <t>SBC - 59319</t>
  </si>
  <si>
    <t>Obs.: Composição referenciada na base SBC-SP, cód. 59319.</t>
  </si>
  <si>
    <t>MPMT-05150</t>
  </si>
  <si>
    <t>RACK 44U, 19", NA COR PRETO, COM VISOR FRONTAL E LATERAIS REMOVÍVEIS - FORNECIMENTO</t>
  </si>
  <si>
    <t>RACK 44U, 19"</t>
  </si>
  <si>
    <t>WELLINGTON</t>
  </si>
  <si>
    <t>MAQUINA COM. DE PROD. E SERV. EIRELI</t>
  </si>
  <si>
    <t>12/02/2020</t>
  </si>
  <si>
    <t>THIAGO</t>
  </si>
  <si>
    <t>11 3334-3720</t>
  </si>
  <si>
    <t>CENTRAL CABOS COM. DE CONEX. ELETRON. LTDA</t>
  </si>
  <si>
    <t>08.626.431/0001-70</t>
  </si>
  <si>
    <t>MPMT-05142</t>
  </si>
  <si>
    <t>SWITCH 24 PORTAS POE, 4P SFP - INSTALAÇÃO</t>
  </si>
  <si>
    <t>SINAPI - 98302</t>
  </si>
  <si>
    <t>Obs.: Composição referenciada na base SINAPI-MT, cód. 98302.</t>
  </si>
  <si>
    <t>MPMT-05153</t>
  </si>
  <si>
    <t>SWITCH 24 PORTAS POE, 4P SFP - FORNECIMENTO</t>
  </si>
  <si>
    <t>SWITCH 24 PORTAS POE, 4P SFP</t>
  </si>
  <si>
    <t>MPMT-05141</t>
  </si>
  <si>
    <t>SWITCH GERENCIÁVEL 48 PORTAS GIGABIT ETHERNET, 4 PORTAS MINI-GBIC SFP - INSTALAÇÃO</t>
  </si>
  <si>
    <t>MPMT-05152</t>
  </si>
  <si>
    <t>SWITCH GERENCIÁVEL 48 PORTAS GIGABIT ETHERNET, 4 PORTAS MINI-GBIC SFP - FORNECIMENTO</t>
  </si>
  <si>
    <t>SWITCH GERENCIÁVEL 48 PORTAS GIGABIT ETHERNET, 4 PORTAS MINI-GBIC SFP+</t>
  </si>
  <si>
    <t>MPMT-05165</t>
  </si>
  <si>
    <t>TRANSCEIVER (GBIC) 1000BASE-SX PARA SWITCHES - INSTALAÇÃO</t>
  </si>
  <si>
    <t>CPOS - 69.09.370</t>
  </si>
  <si>
    <t>Obs.: Composição referenciada na base CPOS, cód. 69.09.370.</t>
  </si>
  <si>
    <t>MPMT-05176</t>
  </si>
  <si>
    <t>TRANSCEIVER (GBIC) 1000BASE-SX PARA SWITCHES - FORNECIMENTO</t>
  </si>
  <si>
    <t>41 3308-5530</t>
  </si>
  <si>
    <t>DREAMSHOP COMERCIO DE EQUIPAMENTOS LTDA</t>
  </si>
  <si>
    <t>07.625.587/0001-73</t>
  </si>
  <si>
    <t>19 3483-4733</t>
  </si>
  <si>
    <t>NET COMPUTADORES</t>
  </si>
  <si>
    <t>02.465.944/0001-60</t>
  </si>
  <si>
    <t>MPMT-05154</t>
  </si>
  <si>
    <t>SINAPI - 98304</t>
  </si>
  <si>
    <t>Obs.: Composição referenciada na base SINAPI-MT, 12/2019, Cód. 98304.</t>
  </si>
  <si>
    <t>PATCH PANEL 24 PORTAS, CATEGORIA 6 - INSTALAÇÃO</t>
  </si>
  <si>
    <t>MPMT-05155</t>
  </si>
  <si>
    <t>PATCH PANEL 24 PORTAS, CATEGORIA 6 - FORNECIMENTO</t>
  </si>
  <si>
    <t>MPMT-05134</t>
  </si>
  <si>
    <t>DISTRIBUIDOR ÓPTICO (D.I.O) COMPLETO, 19", ATÉ 12FO - INSTALAÇÃO</t>
  </si>
  <si>
    <t>SBC - 59251</t>
  </si>
  <si>
    <t>Obs.: Composição referenciada na base SBC-SP, cód. 59251.</t>
  </si>
  <si>
    <t>MPMT-05146</t>
  </si>
  <si>
    <t>DISTRIBUIDOR ÓPTICO (D.I.O) COMPLETO, 19", ATÉ 12FO - FORNECIMENTO</t>
  </si>
  <si>
    <t>DISTRIBUIDOR ÓPTICO (D.I.O) COMPLETO, 19", ATÉ 12FO</t>
  </si>
  <si>
    <t>MPMT-05132</t>
  </si>
  <si>
    <t>PATCH CORD, CORDÃO ÓPTICO DUPLEX ZIP-CORD - FORNECIMENTO E INSTALAÇÃO</t>
  </si>
  <si>
    <t>SBC - 59442</t>
  </si>
  <si>
    <t>Obs.: Composição referenciada na base SBC-SP, cód. 59442.</t>
  </si>
  <si>
    <t>PATCH CORD ÓPTICO, LC/LC</t>
  </si>
  <si>
    <t>13/02/2020</t>
  </si>
  <si>
    <t>NET COMPUTADORES LTDA</t>
  </si>
  <si>
    <t>MPMT-05163</t>
  </si>
  <si>
    <t>PATCH CORD, CAT6, 1,5 M - FORNECIMENTO E INSTALAÇÃO</t>
  </si>
  <si>
    <t>SBC - 59441</t>
  </si>
  <si>
    <t>Obs.: Composição referenciada na base SBC-SP, cód. 59441.</t>
  </si>
  <si>
    <t>MPMT-05138</t>
  </si>
  <si>
    <t>PATCH CORD, CAT6, 2,5 M - FORNECIMENTO E INSTALAÇÃO</t>
  </si>
  <si>
    <t>MPMT-05177</t>
  </si>
  <si>
    <t>CERTIFICAÇÃO DE REDE LÓGICA, INCLUSIVE EMISSÃO DE RELATÓRIO</t>
  </si>
  <si>
    <t>MPMT-05168</t>
  </si>
  <si>
    <t>FUSÃO/EMENDA DE FIBRA ÓPTICA</t>
  </si>
  <si>
    <t>ATA DE REGISTRO DE PREÇO</t>
  </si>
  <si>
    <t>ATA MPMT</t>
  </si>
  <si>
    <t>SERVIÇO DE EMENDA/FUSÃO DE FIBRA ÓPTICA</t>
  </si>
  <si>
    <t>Obs.: Composição referenciada na Ata MPMT 01/2020-PUBLICADA21-01-2020</t>
  </si>
  <si>
    <t>MPMT-05131</t>
  </si>
  <si>
    <t>CABO ÓPTICO MULTIMODO COM PROTEÇÃO METÁLICA ANTI ROEDOR, 2XFO, INSTALADO EM EDIFICAÇÃO INSTITUCIONAL - INSTALAÇÃO</t>
  </si>
  <si>
    <t>SINAPI - 98295</t>
  </si>
  <si>
    <t>Obs.: Composição referenciada na base SINAPI-MT, cód. 98295.</t>
  </si>
  <si>
    <t>CABO ÓPTICO 50 MM, ANTI ROEDOR 4FO</t>
  </si>
  <si>
    <t>MPMT-05169</t>
  </si>
  <si>
    <t>SERVIÇO DE IDENTIFICAÇÃO DE CABO ÓPTICO COM PLAQUETAS</t>
  </si>
  <si>
    <t>Obs.: Composição referenciada na Ata MPMT 01/2020-PUBLICADA 21-01-2020</t>
  </si>
  <si>
    <t>MPMT-05066</t>
  </si>
  <si>
    <t>FORNECIMENTO E COLOCAÇÃO DE ANILHA PARA IDENTIFICAÇÃO DE CABOS</t>
  </si>
  <si>
    <t>ORSE - 698</t>
  </si>
  <si>
    <t>Obs.: Composição referenciada na base ORSE-SE 06/2016, cod. 698.</t>
  </si>
  <si>
    <t>ANILHA DE IDENTIFICAÇÃO DE CABOS</t>
  </si>
  <si>
    <t>11 3223-9065</t>
  </si>
  <si>
    <t>PARPULOV ELETROELETRÔNICOS LTDA ME</t>
  </si>
  <si>
    <t>57.644.825/0001-66</t>
  </si>
  <si>
    <t>VIEW TECH ENGENHARIA DE AUTOMAÇÃO LTDA</t>
  </si>
  <si>
    <t>55 3313-2778</t>
  </si>
  <si>
    <t>USINA IND. COMÉRCIO E IMPORTAÇÃO</t>
  </si>
  <si>
    <t>07.182.837/0001-48</t>
  </si>
  <si>
    <t>MPMT-05167</t>
  </si>
  <si>
    <t>CRIMPAGEM DE CABOS UTP 4 PAR. CAT.6</t>
  </si>
  <si>
    <t>ORSE - 11418</t>
  </si>
  <si>
    <t>Obs.: Composição referenciada na base ORSE, cód. 11418</t>
  </si>
  <si>
    <t>MPMT-05188</t>
  </si>
  <si>
    <t>IDENTIFICAÇÃO DE PONTOS/TOMADA RJ45, COM ETIQUETA AUTOCOLANTE</t>
  </si>
  <si>
    <t>PTO</t>
  </si>
  <si>
    <t>FITA 12MM, BRANCO COM ESCRITA PRETO, TONNER COM 8M</t>
  </si>
  <si>
    <t>31 3218-8000</t>
  </si>
  <si>
    <t>LOJA ELÉTRICA</t>
  </si>
  <si>
    <t>11 2763-5000</t>
  </si>
  <si>
    <t>SUPRICORP SUPRIMENTOS LTDA</t>
  </si>
  <si>
    <t>54.651.716/0011-50</t>
  </si>
  <si>
    <t>65 4020-1655</t>
  </si>
  <si>
    <t>CARTUCHONET LTDA</t>
  </si>
  <si>
    <t>29.778.721/0001-09</t>
  </si>
  <si>
    <t>MPMT-05187</t>
  </si>
  <si>
    <t>SERVIÇO DE CERTIFICAÇÃO DE INSTALAÇÃO DE FIBRA ÓPTICA</t>
  </si>
  <si>
    <t>MPMT-05171</t>
  </si>
  <si>
    <t>ABRACADEIRA DE NYLON PARA AMARRACAO DE CABOS, COMPRIMENTO DE 100 X 2,5 MM - FORNCECIMENTO E INSTALAÇÃO</t>
  </si>
  <si>
    <t xml:space="preserve">Obs.: Composição referenciada na base ORSE, cód. 10764. </t>
  </si>
  <si>
    <t>MPMT-05130</t>
  </si>
  <si>
    <t>BANDEJA FIXA PARA RACK 19", 600 X 480 X 45, CAPACIDADE DE CARGA DE ATÉ 50KG - INSTALAÇÃO</t>
  </si>
  <si>
    <t>SBC - 62706</t>
  </si>
  <si>
    <t>Obs.: Composição referenciada na base SBC-SP, cód. 62706.</t>
  </si>
  <si>
    <t>MPMT-05143</t>
  </si>
  <si>
    <t>BANDEJA FIXA PARA RACK 19", 600 X 480 X 45, CAPACIDADE DE CARGA DE ATÉ 50KG - FORNCECIMENTO</t>
  </si>
  <si>
    <t>BANDEJA FIXA PARA RACK 19"</t>
  </si>
  <si>
    <t>65 3648-3040</t>
  </si>
  <si>
    <t>LEBLON TECNOLOGIA E COMPUTADORES LTDA</t>
  </si>
  <si>
    <t>01.426.365/0001-45</t>
  </si>
  <si>
    <t>MPMT-05156</t>
  </si>
  <si>
    <t>PAINEL/TAMPA CEGA PARA RACK 19", 1U - INSTALAÇÃO</t>
  </si>
  <si>
    <t>SBC - 59448</t>
  </si>
  <si>
    <t>Obs.: Composição referenciada na base SBC-SP, cód. 59448.</t>
  </si>
  <si>
    <t>MPMT-05157</t>
  </si>
  <si>
    <t>PAINEL/TAMPA CEGA PARA RACK 19", 2U - INSTALAÇÃO</t>
  </si>
  <si>
    <t>MPMT-05158</t>
  </si>
  <si>
    <t>PAINEL/TAMPA CEGA PARA RACK 19", 1U - FORNECIMENTO</t>
  </si>
  <si>
    <t>PAINEL/TAMPA CEGA PARA RACK 19", 1U</t>
  </si>
  <si>
    <t>MPMT-05159</t>
  </si>
  <si>
    <t>PAINEL/TAMPA CEGA PARA RACK 19", 2U - FORNECIMENTO</t>
  </si>
  <si>
    <t>PAINEL/TAMPA CEGA PARA RACK 19", 2U</t>
  </si>
  <si>
    <t>MPMT-05135</t>
  </si>
  <si>
    <t>GUIA DE CABOS PARA RACK 19", 1U - INSTALAÇÃO</t>
  </si>
  <si>
    <t>MPMT-05136</t>
  </si>
  <si>
    <t>GUIA DE CABOS PARA RACK 19", 2U - INSTALAÇÃO</t>
  </si>
  <si>
    <t>MPMT-05147</t>
  </si>
  <si>
    <t>GUIA DE CABOS PARA RACK 19", 1U - FORNECIMENTO</t>
  </si>
  <si>
    <t>GUIA DE CABOS PARA RACK 19", 1U</t>
  </si>
  <si>
    <t>MPMT-05148</t>
  </si>
  <si>
    <t>GUIA DE CABOS PARA RACK 19", 2U - FORNECIMENTO</t>
  </si>
  <si>
    <t>GUIA DE CABOS PARA RACK 19", 2U</t>
  </si>
  <si>
    <t>MPMT-05137</t>
  </si>
  <si>
    <t>KIT VENTILAÇÃO PARA RACK, COM 4 VENTILADORES - INSTALAÇÃO</t>
  </si>
  <si>
    <t>MPMT-05149</t>
  </si>
  <si>
    <t>KIT VENTILAÇÃO PARA RACK, COM 4 VENTILADORES - FORNECIMENTO</t>
  </si>
  <si>
    <t>KIT VENTILAÇÃO PARA RACK, COM 4 VENTILADORES</t>
  </si>
  <si>
    <t>MPMT-05166</t>
  </si>
  <si>
    <t>REGUA PARA RACK 8 TOMADAS-INSTALAÇÃO</t>
  </si>
  <si>
    <t>SEDOP - 171056</t>
  </si>
  <si>
    <t>Obs.: Composição referenciada na base SEDOP, cód. 171056</t>
  </si>
  <si>
    <t>MPMT-05175</t>
  </si>
  <si>
    <t>REGUA PARA RACK 8 TOMADAS - FORNECIMENTO</t>
  </si>
  <si>
    <t>11 3070-0070</t>
  </si>
  <si>
    <t>ASOLUÇÃO ELETRONICA EIRELI</t>
  </si>
  <si>
    <t>00.559.915.0001-31</t>
  </si>
  <si>
    <t>41 3027-2165</t>
  </si>
  <si>
    <t>AZ NET TELECOM</t>
  </si>
  <si>
    <t>13.578.459/0001-19</t>
  </si>
  <si>
    <t>11 3403-5806</t>
  </si>
  <si>
    <t>ITCOMTECH COM. E IMPORTAÇÃO LTDA</t>
  </si>
  <si>
    <t>13.393.011/0001-20</t>
  </si>
  <si>
    <t>MPMT-05192</t>
  </si>
  <si>
    <t>CENTRAL PABX HÍBRIDA, REF. INTELBRAS IMPACTA 140 OU EQUIVALENTE - INSTALAÇÃO</t>
  </si>
  <si>
    <t>ORSE - 7841</t>
  </si>
  <si>
    <t>Obs.: Composição referenciada na base ORSE-SE, cód. 7841.</t>
  </si>
  <si>
    <t>MPMT-05193</t>
  </si>
  <si>
    <t>CENTRAL PABX HÍBRIDA, COM PLACAS DE INTERFACE 1E1 R2/RDSI, RAMAL MISTO E RAMAIS ANALÓGICOS, REF. INTELBRAS IMPACTA 140 OU EQUIVALENTE - FORNECIMENTO</t>
  </si>
  <si>
    <t>CENTRAL PABX HÍBRIDA, REF. INTELBRAS IMPACTA 140 OU EQUIVALENTE</t>
  </si>
  <si>
    <t>PLACA INTERFACE 1E1 R2/RDSI IMPACTA 140/220 OU EQUIVALENTE</t>
  </si>
  <si>
    <t>PLACA RAMAL MISTO, 4D E 12A, IMPACTA 140 OU EQUIVALENTE</t>
  </si>
  <si>
    <t>PLACA 24 RAMAIS ANALÓGICOS IMPACTA 140 OU EQUIVALENTE</t>
  </si>
  <si>
    <t>MPMT-07042</t>
  </si>
  <si>
    <t>FORNECIMENTO E INSTALAÇÃO DE PLACA DE INAUGURAÇÃO, 60 X 80 CM</t>
  </si>
  <si>
    <t>ORSE - 3167</t>
  </si>
  <si>
    <t>Obs.: Composição referenciada na base ORSE-SE 07/2017, cod. 3167.</t>
  </si>
  <si>
    <t>MPMT-02540</t>
  </si>
  <si>
    <t>IMPERMEABILIZAÇÃO COM PINTURA A BASE DE COPOLÍMERO ACRÍLICO, DUAS DEMÃOS, REF. VEDAPREN PAREDE OU EQUIVALENTE</t>
  </si>
  <si>
    <t>SINAPI - 98557</t>
  </si>
  <si>
    <t>Obs.: Composição referenciada na base SINAPI-MT 01/2020, cod. 98557. O rendimento do produto foi calculado de acordo com informações do fabricante, sendo o Balde 18kg - Até 150m2/demão. (https://www.vedacit.com.br/produtos-e-solucoes/impermeabilizantes/vedapren-parede)</t>
  </si>
  <si>
    <t>IMPERMEABILIZANTE A BASE DE COPOLÍMERO ACRÍLICO, 18KG, REF. VEDAPREN PAREDE BRANCO</t>
  </si>
  <si>
    <t>11 4176-4455</t>
  </si>
  <si>
    <t>CASA NOVA MERC. DE FERR. ELÉT. E HID. LTDA</t>
  </si>
  <si>
    <t>58.749.730/0001-70</t>
  </si>
  <si>
    <t>11 2596-6666</t>
  </si>
  <si>
    <t>BELA TINTAS LTDA EPP</t>
  </si>
  <si>
    <t>01.154.956/0005-34</t>
  </si>
  <si>
    <t>MPMT-02267</t>
  </si>
  <si>
    <t>RETIRADA DE LIXEIRA METALICA, CHUMBADA EM PASSEIO OU BASE DE CONCRETO</t>
  </si>
  <si>
    <t>ÁREA EXTERNA E URBANIZAÇÃO</t>
  </si>
  <si>
    <t>MPMT-02220</t>
  </si>
  <si>
    <t>EXECUÇÃO DE PÁTIO/ESTACIONAMENTO EM PISO INTERTRAVADO DRENANTE, COM BLOCO RETANGULAR DE 20 X 10 CM, ESPESSURA 8 CM</t>
  </si>
  <si>
    <t>SINAPI - 93681</t>
  </si>
  <si>
    <t>Obs.: Composição referenciada na base SINAPI 05/2017, cod. 93681.</t>
  </si>
  <si>
    <t>PISO INTERTRAVADO DRENANTE, COM BLOCO RETANGULAR DE 20 X 10 CM, ESPESSURA 8 CM</t>
  </si>
  <si>
    <t>RAFAEL</t>
  </si>
  <si>
    <t>19 3209-4307</t>
  </si>
  <si>
    <t>DRENALTEC INDUSTRIA E COMERCIO LTDA</t>
  </si>
  <si>
    <t>14.989.343/0001-35</t>
  </si>
  <si>
    <t>GUSTAVO</t>
  </si>
  <si>
    <t>65 3055-1510</t>
  </si>
  <si>
    <t>PANTANAL INDUSTRIA DE PISOS DRENANTES</t>
  </si>
  <si>
    <t>22.229.537/0001-60</t>
  </si>
  <si>
    <t>FREDERICO</t>
  </si>
  <si>
    <t>65 3667-4802</t>
  </si>
  <si>
    <t>GEOBLOCOS INDUSTRIA DE ARTEFATOS CIMENTO</t>
  </si>
  <si>
    <t>13.537.179/0001-62</t>
  </si>
  <si>
    <t>MPMT-02501</t>
  </si>
  <si>
    <t>INSTALAÇÃO DE BATE-RODAS, PRÉ-MOLDADO EM CONCRETO, DIMENSÕES 50X15X12 CM, PARA URBANIZAÇÃO INTERNA DE EMPREENDIMENTOS</t>
  </si>
  <si>
    <t>SINAPI - 94275</t>
  </si>
  <si>
    <t>Obs.: Composição referenciada na base SINAPI-MT, 07/2019, cod. 94275.</t>
  </si>
  <si>
    <t>MPMT-07048</t>
  </si>
  <si>
    <t>INSTALAÇÃO DE PLACA DE SINALIZAÇÃO, METÁLICA, NÃO INCLUSO O FORNECIMENTO DA PLACA</t>
  </si>
  <si>
    <t>SEDOP - 240843</t>
  </si>
  <si>
    <t>Obs.: Composição referenciada na base SEDOP-PA 04/2018, cod. 240843.</t>
  </si>
  <si>
    <t>INFRAESTRUTURA DE SONORIZAÇÃO, CONTROLE DE ACESSO E ESCUTAS</t>
  </si>
  <si>
    <t>MPMT-03180</t>
  </si>
  <si>
    <t>ORSE/SE - 707</t>
  </si>
  <si>
    <t>Obs.: Composição referenciada na base ORSE - SE, 04/2017, cod. 707.</t>
  </si>
  <si>
    <t>FORNECIMENTO E INSTALAÇÃO DE CAIXA DE PASSAGEM METALICA EMBUTIDA NO PISO, DIMENSOES 30 X 30 X 15 CM</t>
  </si>
  <si>
    <t>MPMT-03179</t>
  </si>
  <si>
    <t>SINAPI - 83366</t>
  </si>
  <si>
    <t>Obs.: Composição referenciada na base SINAPI 05/2017, cod. 83366.</t>
  </si>
  <si>
    <t>FORNECIMENTO E INSTALAÇÃO DE CAIXA DE PASSAGEM METALICA EMBUTIDA, DIMENSOES 40 X 40 X 15 CM</t>
  </si>
  <si>
    <t>MPMT-03333</t>
  </si>
  <si>
    <t>FORNECIMENTO E CRIMPAGEM DE CONECTOR RJ-45, CATEGORIA 6E, EM CABO UTP</t>
  </si>
  <si>
    <t>IOPES - 160807</t>
  </si>
  <si>
    <t>12/07/208</t>
  </si>
  <si>
    <t>Obs.: Composição referenciada na base IOPES 03/2018, cod. 160807.</t>
  </si>
  <si>
    <t>MPMT-03309</t>
  </si>
  <si>
    <t>ELETRODUTO DE AÇO GALVANIZADO, CLASSE LEVE, DN 2", APARENTE, INSTALADO EM POSTE - FORNECIMENTO E INSTALAÇÃO</t>
  </si>
  <si>
    <t>SINAPI - 95750</t>
  </si>
  <si>
    <t>Obs.: Composição referenciada na base SINAPI 08/2018, cod. 95750.</t>
  </si>
  <si>
    <t>MPMT-02585</t>
  </si>
  <si>
    <t>PLACA DE OBRA EM CHAPA DE ACO GALVANIZADO</t>
  </si>
  <si>
    <t>SINAPI - 74209/001</t>
  </si>
  <si>
    <t>Obs.: Composição referenciada na base SINAPI 12/2019, cod. 74209/001.</t>
  </si>
  <si>
    <t>MPMT-01008</t>
  </si>
  <si>
    <t>ENTRADA PROVISORIA DE ENERGIA ELETRICA AEREA TRIFASICA 100A EM POSTE MADEIRA</t>
  </si>
  <si>
    <t>SINAPI - 41598</t>
  </si>
  <si>
    <t>Obs.: Composição referenciada na base SINAPI 05/2017, cod. 41598.</t>
  </si>
  <si>
    <t>MPMT-02303</t>
  </si>
  <si>
    <t>ALUGUEL DE CONTAINER 2,30 X 6,00 M, ALT. 2,50 M, PARA ALMOXARIFADO</t>
  </si>
  <si>
    <t>UND/MÊS</t>
  </si>
  <si>
    <t>MÊS</t>
  </si>
  <si>
    <t>MPMT-01013</t>
  </si>
  <si>
    <t>LOCACAO CONVENCIONAL DE OBRA, ATRAVÉS DE GABARITO DE TABUAS CORRIDAS PONTALETADAS, COM REAPROVEITAMENTO DE 10 VEZES</t>
  </si>
  <si>
    <t>SINAPI - 74077/002</t>
  </si>
  <si>
    <t>Obs.: Composição referenciada na base SINAPI-MT, 03/2018, Cód. 74077/002.</t>
  </si>
  <si>
    <t>MPMT-07036</t>
  </si>
  <si>
    <t>CAÇAMBA BOTA-FORA, CAPACIDADE 5M³</t>
  </si>
  <si>
    <t>KELEN</t>
  </si>
  <si>
    <t>65 3621-4911</t>
  </si>
  <si>
    <t>PAPA ENTULHO</t>
  </si>
  <si>
    <t>DALILA</t>
  </si>
  <si>
    <t>65 3641-0202</t>
  </si>
  <si>
    <t>BRAVO LOCAÇÕES DE CAÇAMBAS</t>
  </si>
  <si>
    <t>65 3623-4070</t>
  </si>
  <si>
    <t>LOCASIM</t>
  </si>
  <si>
    <t>MPMT-03442</t>
  </si>
  <si>
    <t>DESMONTAGEM E REMOÇÃO DE MOTOR PARA PORTÃO ELETRÔNICO, INCLUSIVE CREMALHEIRAS E SENSORES</t>
  </si>
  <si>
    <t>MPMT-03443</t>
  </si>
  <si>
    <t>INSTALAÇÃO CONSIDERANDO REAPROVEITAMENTO DE LUMINARIA SOBREPOR COM ALETAS REFLETORAS, LAMPADA TUBULAR 2 X 32 W, REF. ABALUX A401 OU EQUIVALENTE. INCLUSO LAMPADAS</t>
  </si>
  <si>
    <t>SINAPI - 73953/005</t>
  </si>
  <si>
    <t>Obs.: Composição referenciada na base SINAPI 05/2017, cod. 73953/005.</t>
  </si>
  <si>
    <t>MPMT-02329</t>
  </si>
  <si>
    <t>PAREDE EM DRYWALL, COMPOSTA POR PERFIS GUIAS E MONTANTES EM AÇO GALVANIZADO, CHAPAS EM GESSO EM APENAS UMA DAS FACES, PARA ÁREAS MOLHADAS (RU), MONTANTES SIMPLES A CADA 400MM</t>
  </si>
  <si>
    <t>TCPO 14 - 06.502.000051.SER</t>
  </si>
  <si>
    <t>Obs.: Composição referenciada na base TCPO 06/2017, cod. 06.502.000051.SER; O valor do insumo "Cola para Fixação" foi dividido pela quantidade de produto da embalagem para chegar ao valor por "Kg"; O preço do insumo coletado no banco de dados do TCPOWeb foi pesquisado com filtro para Cuiabá-MT; Foi retirada da composição original o insumo "Banda Acustica" por não ser encontrado na região para aquisição; A composição foi adaptada para atender a especificação de projeto, desta forma todos os insumos referentes à aplicação das chapas de gesso foram divididos por 2, uma vez que a composição prevê placa de gesso apenas em um lado da parede; Itens relacionados a estrutura não foi alterado; Coeficiente de mão de obra sofreu adaptação.</t>
  </si>
  <si>
    <t>MPMT-08011</t>
  </si>
  <si>
    <t>Obs.: A permanencia do Engenheiro em obra será  de no mínimo 3 horas semanais, o encarregado deverá permanecer na obra em tempo integral, considerando que os serviços serão executados de segunda a sexta.</t>
  </si>
  <si>
    <t>ADMINISTRAÇÃO LOCAL DE OBRA</t>
  </si>
  <si>
    <t>ARAME RECOZIDO 16 BWG, D = 1,65 MM (0,016 KG/M) OU 18 BWG, D = 1,25 MM (0,01 KG/M)</t>
  </si>
  <si>
    <t>ARGAMASSA COLANTE AC II</t>
  </si>
  <si>
    <t>ARGAMASSA COLANTE TIPO AC III</t>
  </si>
  <si>
    <t>ARGAMASSA COLANTE TIPO AC III E</t>
  </si>
  <si>
    <t>ARGAMASSA PARA REVESTIMENTO DECORATIVO MONOCAMADA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</si>
  <si>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</si>
  <si>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</si>
  <si>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</si>
  <si>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</si>
  <si>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</si>
  <si>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</si>
  <si>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</si>
  <si>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</si>
  <si>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</si>
  <si>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</si>
  <si>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</si>
  <si>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</si>
  <si>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</si>
  <si>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</si>
  <si>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</si>
  <si>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</si>
  <si>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</si>
  <si>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</si>
  <si>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</si>
  <si>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</si>
  <si>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</si>
  <si>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</si>
  <si>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</si>
  <si>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</si>
  <si>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</si>
  <si>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</si>
  <si>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</si>
  <si>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</si>
  <si>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</si>
  <si>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</si>
  <si>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</si>
  <si>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</si>
  <si>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</si>
  <si>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</si>
  <si>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</si>
  <si>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</si>
  <si>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CONCRETO USINADO BOMBEAVEL, CLASSE DE RESISTENCIA C30, COM BRITA 0 E 1, SLUMP = 220 +/- 30 MM, EXCLUI SERVICO DE BOMBEAMENTO (NBR 8953)</t>
  </si>
  <si>
    <t>CUMEEIRA PARA TELHA DE CONCRETO, PARA 2 AGUAS DE TELHADO, COR CINZA, RENDIMENTO DE *3* TELHAS/M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</si>
  <si>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</si>
  <si>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</si>
  <si>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</si>
  <si>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</si>
  <si>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</si>
  <si>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</si>
  <si>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</si>
  <si>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</si>
  <si>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</si>
  <si>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</si>
  <si>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</si>
  <si>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</si>
  <si>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</si>
  <si>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TELHA DE CONCRETO TIPO CLASSICA, COR CINZA, COMPRIMENTO DE *42* CM,  RENDIMENTO DE *10* TELHAS/M2</t>
  </si>
  <si>
    <t>ESTRUTURA DE MADEIRA PROVISÓRIA PARA SUPORTE DE CAIXA D ÁGUA ELEVADA DE 1000 LITROS. AF_05/2018_P</t>
  </si>
  <si>
    <t>ESTRUTURA DE MADEIRA PROVISÓRIA PARA SUPORTE DE CAIXA D ÁGUA ELEVADA DE 3000 LITROS. AF_05/2018_P</t>
  </si>
  <si>
    <t>EXECUÇÃO DE PAVIMENTO COM APLICAÇÃO DE PRÉ-MISTURADO A FRIO, CAMADA DE ROLAMENTO - EXCLUSIVE CARGA E TRANSPORTE. AF_11/2019</t>
  </si>
  <si>
    <t>EXECUÇÃO DE PAVIMENTO COM APLICAÇÃO DE PRÉ-MISTURADO A FRIO, CAMADA DE BINDER - EXCLUSIVE CARGA E TRANSPORTE. AF_11/2019</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</si>
  <si>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</si>
  <si>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</si>
  <si>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</si>
  <si>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</si>
  <si>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</si>
  <si>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</si>
  <si>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</si>
  <si>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</si>
  <si>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</si>
  <si>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</si>
  <si>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</si>
  <si>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</si>
  <si>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</si>
  <si>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</si>
  <si>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</si>
  <si>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</si>
  <si>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</si>
  <si>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</si>
  <si>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</si>
  <si>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</si>
  <si>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</si>
  <si>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</si>
  <si>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</si>
  <si>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</si>
  <si>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</si>
  <si>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</si>
  <si>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</si>
  <si>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</si>
  <si>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</si>
  <si>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</si>
  <si>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</si>
  <si>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</si>
  <si>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</si>
  <si>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</si>
  <si>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</si>
  <si>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</si>
  <si>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</si>
  <si>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</si>
  <si>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</si>
  <si>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</si>
  <si>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</si>
  <si>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</si>
  <si>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</si>
  <si>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</si>
  <si>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</si>
  <si>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</si>
  <si>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</si>
  <si>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</si>
  <si>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</si>
  <si>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</si>
  <si>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</si>
  <si>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</si>
  <si>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</si>
  <si>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</si>
  <si>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</si>
  <si>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</si>
  <si>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</si>
  <si>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</si>
  <si>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</si>
  <si>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</si>
  <si>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</si>
  <si>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</si>
  <si>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</si>
  <si>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</si>
  <si>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</si>
  <si>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</si>
  <si>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</si>
  <si>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</si>
  <si>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</si>
  <si>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</si>
  <si>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</si>
  <si>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</si>
  <si>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</si>
  <si>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</si>
  <si>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</si>
  <si>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</si>
  <si>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</si>
  <si>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</si>
  <si>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</si>
  <si>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</si>
  <si>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</si>
  <si>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</si>
  <si>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</si>
  <si>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</si>
  <si>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</si>
  <si>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</si>
  <si>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</si>
  <si>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</si>
  <si>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</si>
  <si>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</si>
  <si>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</si>
  <si>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</si>
  <si>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</si>
  <si>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</si>
  <si>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</si>
  <si>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</si>
  <si>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</si>
  <si>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</si>
  <si>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</si>
  <si>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</si>
  <si>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</si>
  <si>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</si>
  <si>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</si>
  <si>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</si>
  <si>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</si>
  <si>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</si>
  <si>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</si>
  <si>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</si>
  <si>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</si>
  <si>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</si>
  <si>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</si>
  <si>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</si>
  <si>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</si>
  <si>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</si>
  <si>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</si>
  <si>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</si>
  <si>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</si>
  <si>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</si>
  <si>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</si>
  <si>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</si>
  <si>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</si>
  <si>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</si>
  <si>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</si>
  <si>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</si>
  <si>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</si>
  <si>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</si>
  <si>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</si>
  <si>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</si>
  <si>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</si>
  <si>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</si>
  <si>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</si>
  <si>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</si>
  <si>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</si>
  <si>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</si>
  <si>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AMPLIAÇÃO E REFORMA DA SEDE DAS PROMOTORIAS DE JUSTIÇA DE CÁCERES-MT</t>
  </si>
  <si>
    <t>Cáceres - MT</t>
  </si>
  <si>
    <t>Rua dos Scaff, 28 - Bairro Cavalhada</t>
  </si>
  <si>
    <t>Junho/2020</t>
  </si>
  <si>
    <t>15 meses</t>
  </si>
  <si>
    <t>11.1</t>
  </si>
  <si>
    <t>33.0</t>
  </si>
  <si>
    <t>34.0</t>
  </si>
  <si>
    <t>35.0</t>
  </si>
  <si>
    <t>36.0</t>
  </si>
  <si>
    <t>37.0</t>
  </si>
  <si>
    <t>38.0</t>
  </si>
  <si>
    <t>39.0</t>
  </si>
  <si>
    <t>40.0</t>
  </si>
  <si>
    <t>1.1</t>
  </si>
  <si>
    <t>8.8</t>
  </si>
  <si>
    <t>2.1</t>
  </si>
  <si>
    <t>2.3</t>
  </si>
  <si>
    <t>3.6</t>
  </si>
  <si>
    <t>3.1</t>
  </si>
  <si>
    <t>6.8</t>
  </si>
  <si>
    <t>18.6</t>
  </si>
  <si>
    <t>2.2</t>
  </si>
  <si>
    <t>2.4</t>
  </si>
  <si>
    <t>2.5</t>
  </si>
  <si>
    <t>2.6</t>
  </si>
  <si>
    <t>6.1</t>
  </si>
  <si>
    <t>4.1</t>
  </si>
  <si>
    <t>3.2</t>
  </si>
  <si>
    <t>3.3</t>
  </si>
  <si>
    <t>3.4</t>
  </si>
  <si>
    <t>3.5</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</si>
  <si>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</si>
  <si>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</si>
  <si>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</si>
  <si>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</si>
  <si>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</si>
  <si>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</si>
  <si>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</si>
  <si>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</si>
  <si>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</si>
  <si>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</si>
  <si>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</si>
  <si>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</si>
  <si>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</si>
  <si>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</si>
  <si>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</si>
  <si>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</si>
  <si>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</si>
  <si>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</si>
  <si>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</si>
  <si>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</si>
  <si>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</si>
  <si>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</si>
  <si>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</si>
  <si>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</si>
  <si>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</si>
  <si>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5.1</t>
  </si>
  <si>
    <t>4.2</t>
  </si>
  <si>
    <t>4.3</t>
  </si>
  <si>
    <t>4.4</t>
  </si>
  <si>
    <t>4.5</t>
  </si>
  <si>
    <t>4.6</t>
  </si>
  <si>
    <t>4.7</t>
  </si>
  <si>
    <t>4.8</t>
  </si>
  <si>
    <t>4.9</t>
  </si>
  <si>
    <t>4.10</t>
  </si>
  <si>
    <t>4.11</t>
  </si>
  <si>
    <t>4.12</t>
  </si>
  <si>
    <t>4.13</t>
  </si>
  <si>
    <t>4.14</t>
  </si>
  <si>
    <t>5.2</t>
  </si>
  <si>
    <t>5.3</t>
  </si>
  <si>
    <t>5.4</t>
  </si>
  <si>
    <t>5.5</t>
  </si>
  <si>
    <t>5.6</t>
  </si>
  <si>
    <t>5.7</t>
  </si>
  <si>
    <t>5.8</t>
  </si>
  <si>
    <t>5.9</t>
  </si>
  <si>
    <t>8.6</t>
  </si>
  <si>
    <t>8.9</t>
  </si>
  <si>
    <t>6.2</t>
  </si>
  <si>
    <t>6.3</t>
  </si>
  <si>
    <t>6.4</t>
  </si>
  <si>
    <t>6.5</t>
  </si>
  <si>
    <t>6.6</t>
  </si>
  <si>
    <t>6.7</t>
  </si>
  <si>
    <t>6.9</t>
  </si>
  <si>
    <t>7.1</t>
  </si>
  <si>
    <t>7.2</t>
  </si>
  <si>
    <t>7.3</t>
  </si>
  <si>
    <t>7.4</t>
  </si>
  <si>
    <t>7.5</t>
  </si>
  <si>
    <t>8.1</t>
  </si>
  <si>
    <t>9.3</t>
  </si>
  <si>
    <t>8.2</t>
  </si>
  <si>
    <t>8.3</t>
  </si>
  <si>
    <t>8.4</t>
  </si>
  <si>
    <t>8.5</t>
  </si>
  <si>
    <t>8.7</t>
  </si>
  <si>
    <t>8.10</t>
  </si>
  <si>
    <t>8.11</t>
  </si>
  <si>
    <t>8.12</t>
  </si>
  <si>
    <t>8.13</t>
  </si>
  <si>
    <t>8.14</t>
  </si>
  <si>
    <t>8.15</t>
  </si>
  <si>
    <t>8.16</t>
  </si>
  <si>
    <t>9.1</t>
  </si>
  <si>
    <t>9.2</t>
  </si>
  <si>
    <t>9.4</t>
  </si>
  <si>
    <t>9.5</t>
  </si>
  <si>
    <t>9.6</t>
  </si>
  <si>
    <t>9.7</t>
  </si>
  <si>
    <t>9.8</t>
  </si>
  <si>
    <t>10.1</t>
  </si>
  <si>
    <t>10.2</t>
  </si>
  <si>
    <t>10.3</t>
  </si>
  <si>
    <t>10.4</t>
  </si>
  <si>
    <t>10.5</t>
  </si>
  <si>
    <t>10.6</t>
  </si>
  <si>
    <t>10.7</t>
  </si>
  <si>
    <t>10.8</t>
  </si>
  <si>
    <t>10.9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</si>
  <si>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</si>
  <si>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</si>
  <si>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</si>
  <si>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</si>
  <si>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</si>
  <si>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</si>
  <si>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</si>
  <si>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</si>
  <si>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</si>
  <si>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</si>
  <si>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</si>
  <si>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</si>
  <si>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</si>
  <si>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</si>
  <si>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</si>
  <si>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</si>
  <si>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</si>
  <si>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</si>
  <si>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</si>
  <si>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</si>
  <si>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</si>
  <si>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</si>
  <si>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</si>
  <si>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</si>
  <si>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</si>
  <si>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</si>
  <si>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</si>
  <si>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</si>
  <si>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</si>
  <si>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</si>
  <si>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</si>
  <si>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</si>
  <si>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</si>
  <si>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</si>
  <si>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</si>
  <si>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</si>
  <si>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</si>
  <si>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</si>
  <si>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</si>
  <si>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</si>
  <si>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</si>
  <si>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</si>
  <si>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</si>
  <si>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</si>
  <si>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</si>
  <si>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</si>
  <si>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</si>
  <si>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</si>
  <si>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</si>
  <si>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</si>
  <si>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</si>
  <si>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</si>
  <si>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</si>
  <si>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</si>
  <si>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</si>
  <si>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</si>
  <si>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</si>
  <si>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</si>
  <si>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</si>
  <si>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</si>
  <si>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</si>
  <si>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</si>
  <si>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</si>
  <si>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</si>
  <si>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</si>
  <si>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</si>
  <si>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</si>
  <si>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</si>
  <si>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</si>
  <si>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</si>
  <si>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</si>
  <si>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</si>
  <si>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</si>
  <si>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</si>
  <si>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</si>
  <si>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</si>
  <si>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</si>
  <si>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</si>
  <si>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</si>
  <si>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</si>
  <si>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</si>
  <si>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</si>
  <si>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</si>
  <si>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</si>
  <si>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</si>
  <si>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</si>
  <si>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</si>
  <si>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</si>
  <si>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</si>
  <si>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</si>
  <si>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10.100</t>
  </si>
  <si>
    <t>10.101</t>
  </si>
  <si>
    <t>10.102</t>
  </si>
  <si>
    <t>10.103</t>
  </si>
  <si>
    <t>10.104</t>
  </si>
  <si>
    <t>10.105</t>
  </si>
  <si>
    <t>10.106</t>
  </si>
  <si>
    <t>10.107</t>
  </si>
  <si>
    <t>10.108</t>
  </si>
  <si>
    <t>10.109</t>
  </si>
  <si>
    <t>11.2</t>
  </si>
  <si>
    <t>11.3</t>
  </si>
  <si>
    <t>11.4</t>
  </si>
  <si>
    <t>11.5</t>
  </si>
  <si>
    <t>11.6</t>
  </si>
  <si>
    <t>11.7</t>
  </si>
  <si>
    <t>11.8</t>
  </si>
  <si>
    <t>11.9</t>
  </si>
  <si>
    <t>11.10</t>
  </si>
  <si>
    <t>11.11</t>
  </si>
  <si>
    <t>11.12</t>
  </si>
  <si>
    <t>11.13</t>
  </si>
  <si>
    <t>11.14</t>
  </si>
  <si>
    <t>12.1</t>
  </si>
  <si>
    <t>12.2</t>
  </si>
  <si>
    <t>12.3</t>
  </si>
  <si>
    <t>12.4</t>
  </si>
  <si>
    <t>12.5</t>
  </si>
  <si>
    <t>12.6</t>
  </si>
  <si>
    <t>12.7</t>
  </si>
  <si>
    <t>12.8</t>
  </si>
  <si>
    <t>12.9</t>
  </si>
  <si>
    <t>12.10</t>
  </si>
  <si>
    <t>12.11</t>
  </si>
  <si>
    <t>12.12</t>
  </si>
  <si>
    <t>12.13</t>
  </si>
  <si>
    <t>12.14</t>
  </si>
  <si>
    <t>12.15</t>
  </si>
  <si>
    <t>12.16</t>
  </si>
  <si>
    <t>12.17</t>
  </si>
  <si>
    <t>12.18</t>
  </si>
  <si>
    <t>12.19</t>
  </si>
  <si>
    <t>12.20</t>
  </si>
  <si>
    <t>12.21</t>
  </si>
  <si>
    <t>12.22</t>
  </si>
  <si>
    <t>12.23</t>
  </si>
  <si>
    <t>13.1</t>
  </si>
  <si>
    <t>18.1</t>
  </si>
  <si>
    <t>15.1</t>
  </si>
  <si>
    <t>13.2</t>
  </si>
  <si>
    <t>13.3</t>
  </si>
  <si>
    <t>13.4</t>
  </si>
  <si>
    <t>13.5</t>
  </si>
  <si>
    <t>13.6</t>
  </si>
  <si>
    <t>13.7</t>
  </si>
  <si>
    <t>13.8</t>
  </si>
  <si>
    <t>13.9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</si>
  <si>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</si>
  <si>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</si>
  <si>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</si>
  <si>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</si>
  <si>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</si>
  <si>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</si>
  <si>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</si>
  <si>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</si>
  <si>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</si>
  <si>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</si>
  <si>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</si>
  <si>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</si>
  <si>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</si>
  <si>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</si>
  <si>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</si>
  <si>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</si>
  <si>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</si>
  <si>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</si>
  <si>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</si>
  <si>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</si>
  <si>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</si>
  <si>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</si>
  <si>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</si>
  <si>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</si>
  <si>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</si>
  <si>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</si>
  <si>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</si>
  <si>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</si>
  <si>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</si>
  <si>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</si>
  <si>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</si>
  <si>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</si>
  <si>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</si>
  <si>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</si>
  <si>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</si>
  <si>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</si>
  <si>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</si>
  <si>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</si>
  <si>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</si>
  <si>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</si>
  <si>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</si>
  <si>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</si>
  <si>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</si>
  <si>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</si>
  <si>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</si>
  <si>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</si>
  <si>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</si>
  <si>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</si>
  <si>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</si>
  <si>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</si>
  <si>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</si>
  <si>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</si>
  <si>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</si>
  <si>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</si>
  <si>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</si>
  <si>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</si>
  <si>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</si>
  <si>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</si>
  <si>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</si>
  <si>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</si>
  <si>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</si>
  <si>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</si>
  <si>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</si>
  <si>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</si>
  <si>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</si>
  <si>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</si>
  <si>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</si>
  <si>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</si>
  <si>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</si>
  <si>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</si>
  <si>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</si>
  <si>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</si>
  <si>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</si>
  <si>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</si>
  <si>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</si>
  <si>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</si>
  <si>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</si>
  <si>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</si>
  <si>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</si>
  <si>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14.1</t>
  </si>
  <si>
    <t>14.2</t>
  </si>
  <si>
    <t>14.9</t>
  </si>
  <si>
    <t>14.6</t>
  </si>
  <si>
    <t>14.8</t>
  </si>
  <si>
    <t>14.5</t>
  </si>
  <si>
    <t>14.4</t>
  </si>
  <si>
    <t>14.7</t>
  </si>
  <si>
    <t>14.3</t>
  </si>
  <si>
    <t>14.10</t>
  </si>
  <si>
    <t>14.11</t>
  </si>
  <si>
    <t>14.12</t>
  </si>
  <si>
    <t>14.13</t>
  </si>
  <si>
    <t>14.14</t>
  </si>
  <si>
    <t>14.15</t>
  </si>
  <si>
    <t>14.16</t>
  </si>
  <si>
    <t>14.17</t>
  </si>
  <si>
    <t>14.18</t>
  </si>
  <si>
    <t>14.19</t>
  </si>
  <si>
    <t>14.20</t>
  </si>
  <si>
    <t>14.21</t>
  </si>
  <si>
    <t>14.22</t>
  </si>
  <si>
    <t>14.23</t>
  </si>
  <si>
    <t>15.2</t>
  </si>
  <si>
    <t>15.3</t>
  </si>
  <si>
    <t>15.4</t>
  </si>
  <si>
    <t>15.5</t>
  </si>
  <si>
    <t>15.6</t>
  </si>
  <si>
    <t>15.7</t>
  </si>
  <si>
    <t>15.8</t>
  </si>
  <si>
    <t>15.9</t>
  </si>
  <si>
    <t>15.10</t>
  </si>
  <si>
    <t>16.1</t>
  </si>
  <si>
    <t>16.2</t>
  </si>
  <si>
    <t>16.3</t>
  </si>
  <si>
    <t>16.4</t>
  </si>
  <si>
    <t>16.5</t>
  </si>
  <si>
    <t>16.6</t>
  </si>
  <si>
    <t>16.7</t>
  </si>
  <si>
    <t>16.8</t>
  </si>
  <si>
    <t>17.1</t>
  </si>
  <si>
    <t>17.2</t>
  </si>
  <si>
    <t>17.3</t>
  </si>
  <si>
    <t>17.4</t>
  </si>
  <si>
    <t>17.5</t>
  </si>
  <si>
    <t>17.6</t>
  </si>
  <si>
    <t>17.7</t>
  </si>
  <si>
    <t>17.8</t>
  </si>
  <si>
    <t>17.9</t>
  </si>
  <si>
    <t>17.10</t>
  </si>
  <si>
    <t>17.11</t>
  </si>
  <si>
    <t>17.12</t>
  </si>
  <si>
    <t>17.13</t>
  </si>
  <si>
    <t>17.14</t>
  </si>
  <si>
    <t>17.15</t>
  </si>
  <si>
    <t>17.16</t>
  </si>
  <si>
    <t>17.17</t>
  </si>
  <si>
    <t>17.18</t>
  </si>
  <si>
    <t>17.19</t>
  </si>
  <si>
    <t>17.20</t>
  </si>
  <si>
    <t>17.21</t>
  </si>
  <si>
    <t>17.22</t>
  </si>
  <si>
    <t>17.23</t>
  </si>
  <si>
    <t>17.24</t>
  </si>
  <si>
    <t>17.25</t>
  </si>
  <si>
    <t>17.26</t>
  </si>
  <si>
    <t>17.27</t>
  </si>
  <si>
    <t>18.5</t>
  </si>
  <si>
    <t>18.8</t>
  </si>
  <si>
    <t>18.3</t>
  </si>
  <si>
    <t>18.2</t>
  </si>
  <si>
    <t>18.4</t>
  </si>
  <si>
    <t>18.7</t>
  </si>
  <si>
    <t>18.9</t>
  </si>
  <si>
    <t>18.10</t>
  </si>
  <si>
    <t>18.11</t>
  </si>
  <si>
    <t>18.12</t>
  </si>
  <si>
    <t>18.13</t>
  </si>
  <si>
    <t>18.14</t>
  </si>
  <si>
    <t>18.15</t>
  </si>
  <si>
    <t>18.16</t>
  </si>
  <si>
    <t>18.17</t>
  </si>
  <si>
    <t>18.18</t>
  </si>
  <si>
    <t>18.19</t>
  </si>
  <si>
    <t>18.20</t>
  </si>
  <si>
    <t>18.21</t>
  </si>
  <si>
    <t>19.1</t>
  </si>
  <si>
    <t>19.2</t>
  </si>
  <si>
    <t>20.1</t>
  </si>
  <si>
    <t>20.2</t>
  </si>
  <si>
    <t>20.3</t>
  </si>
  <si>
    <t>20.4</t>
  </si>
  <si>
    <t>20.5</t>
  </si>
  <si>
    <t>21.1</t>
  </si>
  <si>
    <t>23.7</t>
  </si>
  <si>
    <t>21.2</t>
  </si>
  <si>
    <t>21.3</t>
  </si>
  <si>
    <t>22.1</t>
  </si>
  <si>
    <t>22.2</t>
  </si>
  <si>
    <t>22.3</t>
  </si>
  <si>
    <t>22.4</t>
  </si>
  <si>
    <t>22.5</t>
  </si>
  <si>
    <t>22.6</t>
  </si>
  <si>
    <t>22.7</t>
  </si>
  <si>
    <t>22.8</t>
  </si>
  <si>
    <t>22.9</t>
  </si>
  <si>
    <t>23.1</t>
  </si>
  <si>
    <t>23.2</t>
  </si>
  <si>
    <t>23.3</t>
  </si>
  <si>
    <t>23.4</t>
  </si>
  <si>
    <t>23.5</t>
  </si>
  <si>
    <t>23.6</t>
  </si>
  <si>
    <t>23.8</t>
  </si>
  <si>
    <t>23.9</t>
  </si>
  <si>
    <t>23.10</t>
  </si>
  <si>
    <t>23.11</t>
  </si>
  <si>
    <t>23.12</t>
  </si>
  <si>
    <t>23.13</t>
  </si>
  <si>
    <t>23.14</t>
  </si>
  <si>
    <t>23.15</t>
  </si>
  <si>
    <t>23.16</t>
  </si>
  <si>
    <t>23.17</t>
  </si>
  <si>
    <t>23.18</t>
  </si>
  <si>
    <t>23.19</t>
  </si>
  <si>
    <t>23.20</t>
  </si>
  <si>
    <t>23.21</t>
  </si>
  <si>
    <t>23.22</t>
  </si>
  <si>
    <t>23.23</t>
  </si>
  <si>
    <t>24.1</t>
  </si>
  <si>
    <t>26.6</t>
  </si>
  <si>
    <t>31.1</t>
  </si>
  <si>
    <t>24.2</t>
  </si>
  <si>
    <t>24.3</t>
  </si>
  <si>
    <t>24.4</t>
  </si>
  <si>
    <t>24.5</t>
  </si>
  <si>
    <t>24.6</t>
  </si>
  <si>
    <t>24.7</t>
  </si>
  <si>
    <t>24.8</t>
  </si>
  <si>
    <t>24.9</t>
  </si>
  <si>
    <t>24.10</t>
  </si>
  <si>
    <t>24.11</t>
  </si>
  <si>
    <t>24.12</t>
  </si>
  <si>
    <t>24.13</t>
  </si>
  <si>
    <t>25.1</t>
  </si>
  <si>
    <t>26.1</t>
  </si>
  <si>
    <t>26.2</t>
  </si>
  <si>
    <t>26.3</t>
  </si>
  <si>
    <t>26.4</t>
  </si>
  <si>
    <t>26.5</t>
  </si>
  <si>
    <t>26.7</t>
  </si>
  <si>
    <t>26.8</t>
  </si>
  <si>
    <t>26.9</t>
  </si>
  <si>
    <t>26.10</t>
  </si>
  <si>
    <t>27.1</t>
  </si>
  <si>
    <t>27.2</t>
  </si>
  <si>
    <t>27.3</t>
  </si>
  <si>
    <t>28.1</t>
  </si>
  <si>
    <t>28.2</t>
  </si>
  <si>
    <t>28.3</t>
  </si>
  <si>
    <t>28.4</t>
  </si>
  <si>
    <t>28.5</t>
  </si>
  <si>
    <t>28.6</t>
  </si>
  <si>
    <t>28.7</t>
  </si>
  <si>
    <t>29.1</t>
  </si>
  <si>
    <t>29.2</t>
  </si>
  <si>
    <t>29.3</t>
  </si>
  <si>
    <t>29.4</t>
  </si>
  <si>
    <t>29.5</t>
  </si>
  <si>
    <t>30.1</t>
  </si>
  <si>
    <t>30.2</t>
  </si>
  <si>
    <t>30.3</t>
  </si>
  <si>
    <t>32.1</t>
  </si>
  <si>
    <t>32.2</t>
  </si>
  <si>
    <t>32.3</t>
  </si>
  <si>
    <t>33.1</t>
  </si>
  <si>
    <t>34.1</t>
  </si>
  <si>
    <t>34.2</t>
  </si>
  <si>
    <t>35.1</t>
  </si>
  <si>
    <t>35.2</t>
  </si>
  <si>
    <t>35.3</t>
  </si>
  <si>
    <t>35.4</t>
  </si>
  <si>
    <t>35.5</t>
  </si>
  <si>
    <t>35.6</t>
  </si>
  <si>
    <t>36.1</t>
  </si>
  <si>
    <t>36.2</t>
  </si>
  <si>
    <t>36.3</t>
  </si>
  <si>
    <t>36.4</t>
  </si>
  <si>
    <t>36.5</t>
  </si>
  <si>
    <t>36.6</t>
  </si>
  <si>
    <t>36.7</t>
  </si>
  <si>
    <t>36.8</t>
  </si>
  <si>
    <t>36.9</t>
  </si>
  <si>
    <t>36.10</t>
  </si>
  <si>
    <t>36.11</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</si>
  <si>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</si>
  <si>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</si>
  <si>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</si>
  <si>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</si>
  <si>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</si>
  <si>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</si>
  <si>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</si>
  <si>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</si>
  <si>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</si>
  <si>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</si>
  <si>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</si>
  <si>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</si>
  <si>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</si>
  <si>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</si>
  <si>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</si>
  <si>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</si>
  <si>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</si>
  <si>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</si>
  <si>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</si>
  <si>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</si>
  <si>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</si>
  <si>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</si>
  <si>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</si>
  <si>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</si>
  <si>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</si>
  <si>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</si>
  <si>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</si>
  <si>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</si>
  <si>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</si>
  <si>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</si>
  <si>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</si>
  <si>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</si>
  <si>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</si>
  <si>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</si>
  <si>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</si>
  <si>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</si>
  <si>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</si>
  <si>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</si>
  <si>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</si>
  <si>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38.1</t>
  </si>
  <si>
    <t>38.2</t>
  </si>
  <si>
    <t>38.3</t>
  </si>
  <si>
    <t>38.4</t>
  </si>
  <si>
    <t>39.1</t>
  </si>
  <si>
    <t>39.2</t>
  </si>
  <si>
    <t>39.7</t>
  </si>
  <si>
    <t>39.3</t>
  </si>
  <si>
    <t>39.4</t>
  </si>
  <si>
    <t>39.5</t>
  </si>
  <si>
    <t>39.6</t>
  </si>
  <si>
    <t>40.1</t>
  </si>
  <si>
    <t>40.2</t>
  </si>
  <si>
    <t>MÊS 13</t>
  </si>
  <si>
    <t>MÊS 14</t>
  </si>
  <si>
    <t>MÊS 15</t>
  </si>
  <si>
    <t>CÁCERES</t>
  </si>
  <si>
    <t>MOBI</t>
  </si>
  <si>
    <t>2.7</t>
  </si>
  <si>
    <t>DESMOB</t>
  </si>
  <si>
    <t>27.4</t>
  </si>
  <si>
    <t>um milhão, setecentos e dez mil, seissentos e setenta e três reais e quarenta e um centavos</t>
  </si>
  <si>
    <r>
      <t xml:space="preserve">Alíquota de </t>
    </r>
    <r>
      <rPr>
        <b/>
        <i/>
        <u/>
        <sz val="10"/>
        <color indexed="10"/>
        <rFont val="Calibri"/>
        <family val="2"/>
      </rPr>
      <t>Cáceres</t>
    </r>
    <r>
      <rPr>
        <i/>
        <sz val="10"/>
        <color indexed="10"/>
        <rFont val="Calibri"/>
        <family val="2"/>
      </rPr>
      <t xml:space="preserve"> = 5,0%</t>
    </r>
  </si>
  <si>
    <r>
      <t xml:space="preserve">Alíquota de </t>
    </r>
    <r>
      <rPr>
        <b/>
        <i/>
        <u/>
        <sz val="10"/>
        <color rgb="FFFF0000"/>
        <rFont val="Calibri"/>
        <family val="2"/>
      </rPr>
      <t>Cáceres</t>
    </r>
    <r>
      <rPr>
        <i/>
        <sz val="10"/>
        <color indexed="10"/>
        <rFont val="Calibri"/>
        <family val="2"/>
      </rPr>
      <t xml:space="preserve"> = 5,0%</t>
    </r>
  </si>
  <si>
    <t>BASE DE PREÇOS:
SINAPI 06/2020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</si>
</sst>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R$&quot;\ * #,##0.00_-;\-&quot;R$&quot;\ * #,##0.00_-;_-&quot;R$&quot;\ * &quot;-&quot;??_-;_-@_-"/>
    <numFmt numFmtId="43" formatCode="_-* #,##0.00_-;\-* #,##0.00_-;_-* &quot;-&quot;??_-;_-@_-"/>
    <numFmt numFmtId="164" formatCode="0.000"/>
    <numFmt numFmtId="165" formatCode="_-* #,##0.0000_-;\-* #,##0.0000_-;_-* &quot;-&quot;??_-;_-@_-"/>
  </numFmts>
  <fonts count="39"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b/>
      <sz val="9"/>
      <color theme="1"/>
      <name val="Calibri"/>
      <family val="2"/>
      <scheme val="minor"/>
    </font>
    <font>
      <sz val="9"/>
      <color theme="1"/>
      <name val="Calibri"/>
      <family val="2"/>
      <scheme val="minor"/>
    </font>
    <font>
      <sz val="10"/>
      <name val="Calibri"/>
      <family val="2"/>
      <scheme val="minor"/>
    </font>
    <font>
      <sz val="10"/>
      <name val="Arial"/>
      <family val="2"/>
    </font>
    <font>
      <b/>
      <sz val="10"/>
      <color theme="0"/>
      <name val="Calibri Light"/>
      <family val="2"/>
    </font>
    <font>
      <sz val="11"/>
      <color theme="1"/>
      <name val="Calibri Light"/>
      <family val="2"/>
    </font>
    <font>
      <b/>
      <sz val="9"/>
      <color rgb="FFFFFFFF"/>
      <name val="Calibri Light"/>
      <family val="2"/>
    </font>
    <font>
      <b/>
      <sz val="9"/>
      <color rgb="FF000000"/>
      <name val="Calibri Light"/>
      <family val="2"/>
    </font>
    <font>
      <sz val="9"/>
      <color rgb="FF000000"/>
      <name val="Calibri Light"/>
      <family val="2"/>
    </font>
    <font>
      <b/>
      <sz val="10"/>
      <color theme="0"/>
      <name val="Calibri"/>
      <family val="2"/>
      <scheme val="minor"/>
    </font>
    <font>
      <sz val="8"/>
      <color theme="1"/>
      <name val="Calibri"/>
      <family val="2"/>
      <scheme val="minor"/>
    </font>
    <font>
      <b/>
      <sz val="10"/>
      <name val="Calibri"/>
      <family val="2"/>
      <scheme val="minor"/>
    </font>
    <font>
      <b/>
      <sz val="11"/>
      <color theme="3" tint="-0.249977111117893"/>
      <name val="Calibri"/>
      <family val="2"/>
      <scheme val="minor"/>
    </font>
    <font>
      <sz val="10"/>
      <color theme="0"/>
      <name val="Calibri"/>
      <family val="2"/>
      <scheme val="minor"/>
    </font>
    <font>
      <i/>
      <sz val="10"/>
      <name val="Calibri"/>
      <family val="2"/>
      <scheme val="minor"/>
    </font>
    <font>
      <b/>
      <sz val="10"/>
      <color theme="0"/>
      <name val="Calibri"/>
      <family val="2"/>
    </font>
    <font>
      <sz val="10"/>
      <color theme="1"/>
      <name val="Calibri"/>
      <family val="2"/>
    </font>
    <font>
      <b/>
      <sz val="10"/>
      <name val="Calibri"/>
      <family val="2"/>
    </font>
    <font>
      <sz val="10"/>
      <name val="Calibri"/>
      <family val="2"/>
    </font>
    <font>
      <b/>
      <sz val="10"/>
      <color theme="1"/>
      <name val="Calibri"/>
      <family val="2"/>
    </font>
    <font>
      <b/>
      <i/>
      <sz val="10"/>
      <color theme="1"/>
      <name val="Calibri"/>
      <family val="2"/>
    </font>
    <font>
      <i/>
      <sz val="10"/>
      <color theme="1"/>
      <name val="Calibri"/>
      <family val="2"/>
    </font>
    <font>
      <i/>
      <sz val="10"/>
      <name val="Calibri"/>
      <family val="2"/>
    </font>
    <font>
      <b/>
      <i/>
      <sz val="10"/>
      <name val="Calibri"/>
      <family val="2"/>
    </font>
    <font>
      <b/>
      <i/>
      <sz val="10"/>
      <color rgb="FFFF0000"/>
      <name val="Calibri"/>
      <family val="2"/>
    </font>
    <font>
      <i/>
      <sz val="10"/>
      <color rgb="FFFF0000"/>
      <name val="Calibri"/>
      <family val="2"/>
    </font>
    <font>
      <b/>
      <i/>
      <u/>
      <sz val="10"/>
      <color indexed="10"/>
      <name val="Calibri"/>
      <family val="2"/>
    </font>
    <font>
      <i/>
      <sz val="10"/>
      <color indexed="10"/>
      <name val="Calibri"/>
      <family val="2"/>
    </font>
    <font>
      <sz val="10"/>
      <color rgb="FFFF0000"/>
      <name val="Calibri"/>
      <family val="2"/>
    </font>
    <font>
      <i/>
      <sz val="8"/>
      <color theme="1" tint="0.499984740745262"/>
      <name val="Calibri"/>
      <family val="2"/>
    </font>
    <font>
      <i/>
      <u/>
      <sz val="8"/>
      <color theme="1" tint="0.499984740745262"/>
      <name val="Calibri"/>
      <family val="2"/>
    </font>
    <font>
      <b/>
      <i/>
      <u/>
      <sz val="10"/>
      <color rgb="FFFF0000"/>
      <name val="Calibri"/>
      <family val="2"/>
    </font>
    <font>
      <sz val="10"/>
      <color theme="0" tint="-0.34998626667073579"/>
      <name val="Calibri"/>
      <family val="2"/>
      <scheme val="minor"/>
    </font>
    <font>
      <u/>
      <sz val="11"/>
      <color theme="10"/>
      <name val="Calibri"/>
      <family val="2"/>
      <scheme val="minor"/>
    </font>
    <font>
      <sz val="8"/>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6" tint="-0.499984740745262"/>
        <bgColor indexed="64"/>
      </patternFill>
    </fill>
    <fill>
      <patternFill patternType="solid">
        <fgColor theme="6" tint="0.59999389629810485"/>
        <bgColor indexed="64"/>
      </patternFill>
    </fill>
    <fill>
      <patternFill patternType="solid">
        <fgColor theme="5" tint="-0.249977111117893"/>
        <bgColor indexed="64"/>
      </patternFill>
    </fill>
    <fill>
      <patternFill patternType="solid">
        <fgColor theme="1"/>
        <bgColor indexed="64"/>
      </patternFill>
    </fill>
  </fills>
  <borders count="63">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thin">
        <color indexed="64"/>
      </left>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hair">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s>
  <cellStyleXfs count="18">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xf numFmtId="9" fontId="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7" fillId="0" borderId="0" applyNumberFormat="0" applyFill="0" applyBorder="0" applyAlignment="0" applyProtection="0"/>
  </cellStyleXfs>
  <cellXfs count="374">
    <xf numFmtId="0" fontId="0" fillId="0" borderId="0" xfId="0"/>
    <xf numFmtId="0" fontId="2"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wrapText="1"/>
    </xf>
    <xf numFmtId="43" fontId="2" fillId="0" borderId="0" xfId="1" applyFont="1" applyAlignment="1">
      <alignment horizontal="center" vertical="center" wrapText="1"/>
    </xf>
    <xf numFmtId="43" fontId="2" fillId="0" borderId="0" xfId="1" applyFont="1" applyAlignment="1">
      <alignment horizontal="right" vertical="center" wrapText="1"/>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Alignment="1">
      <alignment horizontal="center" vertical="center"/>
    </xf>
    <xf numFmtId="0" fontId="2" fillId="0" borderId="0" xfId="1" applyNumberFormat="1" applyFont="1" applyAlignment="1">
      <alignment horizontal="center" vertical="center"/>
    </xf>
    <xf numFmtId="0" fontId="2" fillId="0" borderId="0" xfId="1" applyNumberFormat="1" applyFont="1" applyAlignment="1">
      <alignment horizontal="right" vertical="center"/>
    </xf>
    <xf numFmtId="0" fontId="3" fillId="0" borderId="0" xfId="0" applyFont="1" applyAlignment="1">
      <alignment horizontal="right" vertical="center"/>
    </xf>
    <xf numFmtId="0" fontId="3" fillId="0" borderId="3" xfId="0" applyFont="1" applyBorder="1" applyAlignment="1">
      <alignment horizontal="center" vertical="center" wrapText="1"/>
    </xf>
    <xf numFmtId="0" fontId="3" fillId="0" borderId="3" xfId="1" applyNumberFormat="1" applyFont="1" applyBorder="1" applyAlignment="1">
      <alignment horizontal="center" vertical="center" wrapText="1"/>
    </xf>
    <xf numFmtId="0" fontId="3" fillId="0" borderId="4" xfId="0" applyFont="1" applyBorder="1" applyAlignment="1">
      <alignment horizontal="left" vertical="center"/>
    </xf>
    <xf numFmtId="0" fontId="2" fillId="0" borderId="4" xfId="0" applyFont="1" applyBorder="1" applyAlignment="1">
      <alignment horizontal="center" vertical="center"/>
    </xf>
    <xf numFmtId="0" fontId="2" fillId="0" borderId="4" xfId="0" applyFont="1" applyBorder="1" applyAlignment="1">
      <alignment horizontal="left" vertical="center"/>
    </xf>
    <xf numFmtId="0" fontId="3" fillId="0" borderId="4" xfId="0" applyFont="1" applyBorder="1" applyAlignment="1">
      <alignment horizontal="right" vertical="center"/>
    </xf>
    <xf numFmtId="0" fontId="2" fillId="0" borderId="4" xfId="1" applyNumberFormat="1" applyFont="1" applyBorder="1" applyAlignment="1">
      <alignment horizontal="right" vertical="center"/>
    </xf>
    <xf numFmtId="0" fontId="3" fillId="0" borderId="4" xfId="1" applyNumberFormat="1" applyFont="1" applyBorder="1" applyAlignment="1">
      <alignment horizontal="right" vertical="center"/>
    </xf>
    <xf numFmtId="0" fontId="3" fillId="0" borderId="0" xfId="0" applyFont="1" applyBorder="1" applyAlignment="1">
      <alignment horizontal="right" vertical="center"/>
    </xf>
    <xf numFmtId="0" fontId="4" fillId="0" borderId="0" xfId="0" applyFont="1" applyBorder="1" applyAlignment="1">
      <alignment horizontal="left" vertical="center"/>
    </xf>
    <xf numFmtId="0" fontId="5" fillId="0" borderId="0" xfId="0" applyFont="1" applyBorder="1" applyAlignment="1">
      <alignment vertical="center"/>
    </xf>
    <xf numFmtId="10" fontId="5" fillId="0" borderId="0" xfId="0" applyNumberFormat="1" applyFont="1" applyBorder="1" applyAlignment="1">
      <alignment horizontal="left" vertical="center"/>
    </xf>
    <xf numFmtId="17" fontId="5" fillId="0" borderId="0" xfId="0" applyNumberFormat="1" applyFont="1" applyBorder="1" applyAlignment="1">
      <alignment horizontal="left" vertical="center"/>
    </xf>
    <xf numFmtId="0" fontId="2" fillId="0" borderId="0" xfId="0" applyFont="1" applyBorder="1" applyAlignment="1">
      <alignment vertical="center"/>
    </xf>
    <xf numFmtId="0" fontId="2" fillId="0" borderId="0" xfId="0" applyFont="1" applyBorder="1" applyAlignment="1">
      <alignment horizontal="center" vertical="center"/>
    </xf>
    <xf numFmtId="10" fontId="2" fillId="0" borderId="0" xfId="2" applyNumberFormat="1" applyFont="1" applyBorder="1" applyAlignment="1">
      <alignment horizontal="center" vertical="center"/>
    </xf>
    <xf numFmtId="43" fontId="2" fillId="0" borderId="0" xfId="0" applyNumberFormat="1" applyFont="1" applyBorder="1" applyAlignment="1">
      <alignment horizontal="right" vertical="center"/>
    </xf>
    <xf numFmtId="43" fontId="3" fillId="0" borderId="6" xfId="0" applyNumberFormat="1" applyFont="1" applyBorder="1" applyAlignment="1">
      <alignment horizontal="center" vertical="center"/>
    </xf>
    <xf numFmtId="0" fontId="4" fillId="0" borderId="4" xfId="0" applyFont="1" applyBorder="1" applyAlignment="1">
      <alignment horizontal="left" vertical="center"/>
    </xf>
    <xf numFmtId="0" fontId="2" fillId="0" borderId="4" xfId="0" applyFont="1" applyBorder="1" applyAlignment="1">
      <alignment horizontal="right" vertical="center"/>
    </xf>
    <xf numFmtId="0" fontId="2" fillId="0" borderId="0" xfId="0" applyFont="1"/>
    <xf numFmtId="0" fontId="2" fillId="0" borderId="0" xfId="0" applyFont="1" applyAlignment="1">
      <alignment horizontal="right" vertical="center"/>
    </xf>
    <xf numFmtId="0" fontId="2" fillId="0" borderId="10" xfId="0" applyFont="1" applyBorder="1" applyAlignment="1">
      <alignment horizontal="center" vertical="center"/>
    </xf>
    <xf numFmtId="0" fontId="2" fillId="0" borderId="9" xfId="0" applyFont="1" applyBorder="1" applyAlignment="1">
      <alignment horizontal="center" vertical="center"/>
    </xf>
    <xf numFmtId="0" fontId="2" fillId="0" borderId="0" xfId="0" applyFont="1" applyBorder="1" applyAlignment="1">
      <alignment horizontal="left" vertical="center"/>
    </xf>
    <xf numFmtId="43" fontId="3" fillId="0" borderId="6" xfId="0" applyNumberFormat="1" applyFont="1" applyBorder="1" applyAlignment="1">
      <alignment horizontal="right" vertical="center"/>
    </xf>
    <xf numFmtId="10" fontId="3" fillId="0" borderId="6" xfId="2" applyNumberFormat="1" applyFont="1" applyBorder="1" applyAlignment="1">
      <alignment horizontal="right" vertical="center"/>
    </xf>
    <xf numFmtId="0" fontId="2" fillId="0" borderId="0" xfId="1" applyNumberFormat="1" applyFont="1" applyBorder="1" applyAlignment="1">
      <alignment horizontal="right" vertical="center"/>
    </xf>
    <xf numFmtId="0" fontId="2" fillId="0" borderId="0" xfId="1" applyNumberFormat="1" applyFont="1" applyBorder="1" applyAlignment="1">
      <alignment horizontal="center" vertical="center"/>
    </xf>
    <xf numFmtId="0" fontId="3" fillId="0" borderId="0" xfId="1" applyNumberFormat="1" applyFont="1" applyBorder="1" applyAlignment="1">
      <alignment horizontal="right" vertical="center"/>
    </xf>
    <xf numFmtId="0" fontId="2" fillId="0" borderId="0" xfId="1" applyNumberFormat="1" applyFont="1" applyAlignment="1">
      <alignment horizontal="left" vertical="center"/>
    </xf>
    <xf numFmtId="10" fontId="3" fillId="0" borderId="6" xfId="2" applyNumberFormat="1" applyFont="1" applyBorder="1" applyAlignment="1">
      <alignment horizontal="center" vertical="center"/>
    </xf>
    <xf numFmtId="0" fontId="2" fillId="0" borderId="24" xfId="0" applyFont="1" applyBorder="1" applyAlignment="1">
      <alignment horizontal="left" vertical="center" wrapText="1"/>
    </xf>
    <xf numFmtId="0" fontId="2" fillId="0" borderId="24" xfId="0" applyFont="1" applyBorder="1" applyAlignment="1">
      <alignment horizontal="center" vertical="center"/>
    </xf>
    <xf numFmtId="0" fontId="2" fillId="0" borderId="0" xfId="0" applyFont="1" applyFill="1" applyAlignment="1">
      <alignment wrapText="1"/>
    </xf>
    <xf numFmtId="0" fontId="2" fillId="0" borderId="25" xfId="0" applyFont="1" applyBorder="1" applyAlignment="1">
      <alignment horizontal="center" vertical="center"/>
    </xf>
    <xf numFmtId="0" fontId="2" fillId="0" borderId="25" xfId="0" applyFont="1" applyBorder="1" applyAlignment="1">
      <alignment horizontal="left" vertical="center" wrapText="1"/>
    </xf>
    <xf numFmtId="10" fontId="2" fillId="0" borderId="25" xfId="2" applyNumberFormat="1" applyFont="1" applyBorder="1" applyAlignment="1">
      <alignment horizontal="center" vertical="center"/>
    </xf>
    <xf numFmtId="43" fontId="2" fillId="0" borderId="26" xfId="0" applyNumberFormat="1" applyFont="1" applyBorder="1" applyAlignment="1">
      <alignment horizontal="right" vertical="center"/>
    </xf>
    <xf numFmtId="10" fontId="2" fillId="0" borderId="27" xfId="0" applyNumberFormat="1" applyFont="1" applyBorder="1" applyAlignment="1">
      <alignment horizontal="right" vertical="center"/>
    </xf>
    <xf numFmtId="10" fontId="2" fillId="0" borderId="24" xfId="2" applyNumberFormat="1" applyFont="1" applyBorder="1" applyAlignment="1">
      <alignment horizontal="center" vertical="center"/>
    </xf>
    <xf numFmtId="43" fontId="2" fillId="0" borderId="28" xfId="0" applyNumberFormat="1" applyFont="1" applyBorder="1" applyAlignment="1">
      <alignment horizontal="right" vertical="center"/>
    </xf>
    <xf numFmtId="10" fontId="2" fillId="0" borderId="29" xfId="0" applyNumberFormat="1" applyFont="1" applyBorder="1" applyAlignment="1">
      <alignment horizontal="right" vertical="center"/>
    </xf>
    <xf numFmtId="10" fontId="2" fillId="0" borderId="24" xfId="2" applyNumberFormat="1" applyFont="1" applyFill="1" applyBorder="1" applyAlignment="1">
      <alignment horizontal="right" vertical="center"/>
    </xf>
    <xf numFmtId="43" fontId="2" fillId="0" borderId="24" xfId="0" applyNumberFormat="1" applyFont="1" applyFill="1" applyBorder="1" applyAlignment="1">
      <alignment horizontal="right" vertical="center"/>
    </xf>
    <xf numFmtId="0" fontId="2" fillId="0" borderId="4" xfId="1" applyNumberFormat="1" applyFont="1" applyBorder="1" applyAlignment="1">
      <alignment horizontal="left" vertical="center"/>
    </xf>
    <xf numFmtId="0" fontId="2" fillId="0" borderId="0" xfId="1" applyNumberFormat="1" applyFont="1" applyBorder="1" applyAlignment="1">
      <alignment horizontal="left" vertical="center"/>
    </xf>
    <xf numFmtId="0" fontId="3" fillId="0" borderId="0" xfId="0" applyFont="1" applyBorder="1" applyAlignment="1">
      <alignment horizontal="left" vertical="center"/>
    </xf>
    <xf numFmtId="0" fontId="2" fillId="0" borderId="0" xfId="0" applyNumberFormat="1" applyFont="1" applyBorder="1" applyAlignment="1">
      <alignment horizontal="lef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wrapText="1"/>
    </xf>
    <xf numFmtId="0" fontId="2" fillId="0" borderId="11" xfId="0" applyFont="1" applyBorder="1" applyAlignment="1">
      <alignment horizontal="center" vertical="center" wrapText="1"/>
    </xf>
    <xf numFmtId="0" fontId="9" fillId="0" borderId="0" xfId="0" applyFont="1" applyBorder="1"/>
    <xf numFmtId="0" fontId="12" fillId="0" borderId="17" xfId="0" applyFont="1" applyBorder="1" applyAlignment="1">
      <alignment horizontal="center" vertical="center"/>
    </xf>
    <xf numFmtId="0" fontId="12" fillId="0" borderId="0" xfId="0" applyFont="1" applyBorder="1" applyAlignment="1">
      <alignment vertical="center" wrapText="1"/>
    </xf>
    <xf numFmtId="10" fontId="12" fillId="0" borderId="0" xfId="0" applyNumberFormat="1" applyFont="1" applyBorder="1" applyAlignment="1">
      <alignment horizontal="center" vertical="center"/>
    </xf>
    <xf numFmtId="10" fontId="12" fillId="0" borderId="18" xfId="0" applyNumberFormat="1" applyFont="1" applyBorder="1" applyAlignment="1">
      <alignment horizontal="center" vertical="center"/>
    </xf>
    <xf numFmtId="0" fontId="11" fillId="0" borderId="19" xfId="0" applyFont="1" applyBorder="1" applyAlignment="1">
      <alignment horizontal="center" vertical="center"/>
    </xf>
    <xf numFmtId="0" fontId="11" fillId="0" borderId="1" xfId="0" applyFont="1" applyBorder="1" applyAlignment="1">
      <alignment horizontal="center" vertical="center" wrapText="1"/>
    </xf>
    <xf numFmtId="10" fontId="11" fillId="0" borderId="1" xfId="0" applyNumberFormat="1" applyFont="1" applyBorder="1" applyAlignment="1">
      <alignment horizontal="center" vertical="center"/>
    </xf>
    <xf numFmtId="10" fontId="11" fillId="0" borderId="20" xfId="0" applyNumberFormat="1" applyFont="1" applyBorder="1" applyAlignment="1">
      <alignment horizontal="center" vertical="center"/>
    </xf>
    <xf numFmtId="0" fontId="12" fillId="0" borderId="18" xfId="0" applyFont="1" applyBorder="1" applyAlignment="1">
      <alignment horizontal="center" vertical="center"/>
    </xf>
    <xf numFmtId="164" fontId="6" fillId="0" borderId="0" xfId="1" applyNumberFormat="1" applyFont="1" applyBorder="1" applyAlignment="1">
      <alignment horizontal="right" vertical="center"/>
    </xf>
    <xf numFmtId="2" fontId="6" fillId="0" borderId="18" xfId="1" applyNumberFormat="1" applyFont="1" applyBorder="1" applyAlignment="1">
      <alignment horizontal="right" vertical="center"/>
    </xf>
    <xf numFmtId="0" fontId="3" fillId="2" borderId="24" xfId="0" applyFont="1" applyFill="1" applyBorder="1" applyAlignment="1">
      <alignment horizontal="center" vertical="center"/>
    </xf>
    <xf numFmtId="0" fontId="2" fillId="0" borderId="24" xfId="0" applyFont="1" applyFill="1" applyBorder="1" applyAlignment="1">
      <alignment horizontal="center" vertical="center"/>
    </xf>
    <xf numFmtId="43" fontId="2" fillId="0" borderId="24" xfId="1" applyFont="1" applyBorder="1" applyAlignment="1">
      <alignment horizontal="center" vertical="center"/>
    </xf>
    <xf numFmtId="43" fontId="2" fillId="0" borderId="24" xfId="1" applyFont="1" applyBorder="1" applyAlignment="1">
      <alignment horizontal="right" vertical="center"/>
    </xf>
    <xf numFmtId="0" fontId="2" fillId="0" borderId="0" xfId="0" applyFont="1" applyFill="1" applyBorder="1" applyAlignment="1">
      <alignment horizontal="center" vertical="center"/>
    </xf>
    <xf numFmtId="0" fontId="3" fillId="0" borderId="5" xfId="0" applyFont="1" applyBorder="1" applyAlignment="1">
      <alignment horizontal="center" vertical="center"/>
    </xf>
    <xf numFmtId="0" fontId="2" fillId="0" borderId="0" xfId="0" applyFont="1" applyFill="1" applyBorder="1" applyAlignment="1">
      <alignment horizontal="left" vertical="center" wrapText="1"/>
    </xf>
    <xf numFmtId="10" fontId="2" fillId="4" borderId="24" xfId="2" applyNumberFormat="1" applyFont="1" applyFill="1" applyBorder="1" applyAlignment="1">
      <alignment horizontal="right" vertical="center"/>
    </xf>
    <xf numFmtId="43" fontId="2" fillId="4" borderId="24" xfId="0" applyNumberFormat="1" applyFont="1" applyFill="1" applyBorder="1" applyAlignment="1">
      <alignment horizontal="right" vertical="center"/>
    </xf>
    <xf numFmtId="10" fontId="2" fillId="4" borderId="25" xfId="2" applyNumberFormat="1" applyFont="1" applyFill="1" applyBorder="1" applyAlignment="1">
      <alignment horizontal="right" vertical="center"/>
    </xf>
    <xf numFmtId="43" fontId="2" fillId="4" borderId="25" xfId="0" applyNumberFormat="1" applyFont="1" applyFill="1" applyBorder="1" applyAlignment="1">
      <alignment horizontal="right" vertical="center"/>
    </xf>
    <xf numFmtId="0" fontId="13" fillId="5" borderId="24" xfId="0" applyFont="1" applyFill="1" applyBorder="1" applyAlignment="1">
      <alignment horizontal="center" vertical="center"/>
    </xf>
    <xf numFmtId="0" fontId="13" fillId="5" borderId="24" xfId="0" applyFont="1" applyFill="1" applyBorder="1" applyAlignment="1">
      <alignment horizontal="left" vertical="center" wrapText="1"/>
    </xf>
    <xf numFmtId="0" fontId="13" fillId="5" borderId="24" xfId="1" applyNumberFormat="1" applyFont="1" applyFill="1" applyBorder="1" applyAlignment="1">
      <alignment horizontal="center" vertical="center"/>
    </xf>
    <xf numFmtId="0" fontId="13" fillId="5" borderId="24" xfId="1" applyNumberFormat="1" applyFont="1" applyFill="1" applyBorder="1" applyAlignment="1">
      <alignment horizontal="right" vertical="center"/>
    </xf>
    <xf numFmtId="0" fontId="3" fillId="2" borderId="24" xfId="0" applyFont="1" applyFill="1" applyBorder="1" applyAlignment="1">
      <alignment horizontal="right" vertical="center" wrapText="1"/>
    </xf>
    <xf numFmtId="43" fontId="3" fillId="2" borderId="24" xfId="1" applyFont="1" applyFill="1" applyBorder="1" applyAlignment="1">
      <alignment horizontal="center" vertical="center"/>
    </xf>
    <xf numFmtId="43" fontId="3" fillId="2" borderId="24" xfId="1" applyFont="1" applyFill="1" applyBorder="1" applyAlignment="1">
      <alignment horizontal="right" vertical="center"/>
    </xf>
    <xf numFmtId="43" fontId="16" fillId="2" borderId="24" xfId="1" applyFont="1" applyFill="1" applyBorder="1" applyAlignment="1">
      <alignment horizontal="right" vertical="center"/>
    </xf>
    <xf numFmtId="0" fontId="10" fillId="5" borderId="5" xfId="0" applyFont="1" applyFill="1" applyBorder="1" applyAlignment="1">
      <alignment horizontal="center" vertical="center" wrapText="1"/>
    </xf>
    <xf numFmtId="0" fontId="10" fillId="5" borderId="22" xfId="0" applyFont="1" applyFill="1" applyBorder="1" applyAlignment="1">
      <alignment horizontal="center" vertical="center" wrapText="1"/>
    </xf>
    <xf numFmtId="10" fontId="10" fillId="5" borderId="5" xfId="0" applyNumberFormat="1" applyFont="1" applyFill="1" applyBorder="1" applyAlignment="1">
      <alignment horizontal="center" vertical="center"/>
    </xf>
    <xf numFmtId="10" fontId="17" fillId="5" borderId="24" xfId="2" applyNumberFormat="1" applyFont="1" applyFill="1" applyBorder="1" applyAlignment="1">
      <alignment horizontal="right" vertical="center"/>
    </xf>
    <xf numFmtId="43" fontId="17" fillId="5" borderId="24" xfId="0" applyNumberFormat="1" applyFont="1" applyFill="1" applyBorder="1" applyAlignment="1">
      <alignment horizontal="right" vertical="center"/>
    </xf>
    <xf numFmtId="0" fontId="2" fillId="5" borderId="0" xfId="0" applyFont="1" applyFill="1" applyBorder="1"/>
    <xf numFmtId="0" fontId="2" fillId="0" borderId="0" xfId="0" applyFont="1" applyBorder="1"/>
    <xf numFmtId="0" fontId="15" fillId="0" borderId="1" xfId="3" applyFont="1" applyBorder="1" applyAlignment="1">
      <alignment horizontal="center" vertical="center" wrapText="1"/>
    </xf>
    <xf numFmtId="0" fontId="15" fillId="0" borderId="0" xfId="3" applyFont="1" applyAlignment="1">
      <alignment vertical="center" wrapText="1"/>
    </xf>
    <xf numFmtId="0" fontId="6" fillId="0" borderId="0" xfId="3" applyNumberFormat="1" applyFont="1" applyAlignment="1">
      <alignment horizontal="center" vertical="center" wrapText="1"/>
    </xf>
    <xf numFmtId="0" fontId="6" fillId="0" borderId="0" xfId="3" applyFont="1" applyAlignment="1">
      <alignment horizontal="left" vertical="center" wrapText="1"/>
    </xf>
    <xf numFmtId="0" fontId="6" fillId="0" borderId="0" xfId="3" applyFont="1" applyAlignment="1">
      <alignment horizontal="center" vertical="center" wrapText="1"/>
    </xf>
    <xf numFmtId="0" fontId="6" fillId="0" borderId="0" xfId="3" applyNumberFormat="1" applyFont="1" applyAlignment="1">
      <alignment horizontal="right" vertical="center" wrapText="1"/>
    </xf>
    <xf numFmtId="0" fontId="6" fillId="0" borderId="0" xfId="3" applyFont="1" applyAlignment="1">
      <alignment vertical="center" wrapText="1"/>
    </xf>
    <xf numFmtId="4" fontId="6" fillId="0" borderId="0" xfId="3" applyNumberFormat="1" applyFont="1" applyAlignment="1">
      <alignment horizontal="right" vertical="center" wrapText="1"/>
    </xf>
    <xf numFmtId="0" fontId="6" fillId="0" borderId="0" xfId="3" applyNumberFormat="1" applyFont="1" applyAlignment="1">
      <alignment horizontal="center" vertical="center"/>
    </xf>
    <xf numFmtId="43" fontId="6" fillId="0" borderId="0" xfId="1" applyFont="1" applyAlignment="1">
      <alignment horizontal="right" vertical="center" wrapText="1"/>
    </xf>
    <xf numFmtId="0" fontId="6" fillId="0" borderId="0" xfId="3" applyFont="1" applyAlignment="1">
      <alignment horizontal="right" vertical="center" wrapText="1"/>
    </xf>
    <xf numFmtId="0" fontId="13" fillId="5" borderId="38" xfId="0" applyFont="1" applyFill="1" applyBorder="1" applyAlignment="1">
      <alignment horizontal="center" vertical="center"/>
    </xf>
    <xf numFmtId="0" fontId="13" fillId="5" borderId="39" xfId="0" applyFont="1" applyFill="1" applyBorder="1" applyAlignment="1">
      <alignment horizontal="center" vertical="center"/>
    </xf>
    <xf numFmtId="0" fontId="6" fillId="0" borderId="0" xfId="0" applyFont="1" applyAlignment="1">
      <alignment horizontal="center" vertical="center"/>
    </xf>
    <xf numFmtId="17" fontId="2" fillId="0" borderId="4" xfId="1" applyNumberFormat="1" applyFont="1" applyBorder="1" applyAlignment="1">
      <alignment horizontal="left" vertical="center"/>
    </xf>
    <xf numFmtId="10" fontId="2" fillId="0" borderId="0" xfId="0" applyNumberFormat="1" applyFont="1" applyAlignment="1">
      <alignment horizontal="left" vertical="center"/>
    </xf>
    <xf numFmtId="0" fontId="2" fillId="0" borderId="0" xfId="0" applyFont="1" applyBorder="1" applyAlignment="1">
      <alignment horizontal="right" vertical="center"/>
    </xf>
    <xf numFmtId="0" fontId="13" fillId="5" borderId="24" xfId="0" applyFont="1" applyFill="1" applyBorder="1" applyAlignment="1">
      <alignment horizontal="center" vertical="center"/>
    </xf>
    <xf numFmtId="0" fontId="15" fillId="0" borderId="34" xfId="0" applyFont="1" applyBorder="1" applyAlignment="1">
      <alignment horizontal="center" vertical="center" wrapText="1"/>
    </xf>
    <xf numFmtId="0" fontId="15" fillId="0" borderId="37" xfId="0" applyFont="1" applyBorder="1" applyAlignment="1">
      <alignment horizontal="center" vertical="center"/>
    </xf>
    <xf numFmtId="0" fontId="15" fillId="0" borderId="33"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20" xfId="0" applyFont="1" applyBorder="1" applyAlignment="1">
      <alignment horizontal="center" vertical="center" wrapText="1"/>
    </xf>
    <xf numFmtId="0" fontId="6" fillId="0" borderId="17" xfId="0" applyFont="1" applyBorder="1" applyAlignment="1">
      <alignment horizontal="center" vertical="center"/>
    </xf>
    <xf numFmtId="0" fontId="6" fillId="0" borderId="0" xfId="0" applyFont="1" applyBorder="1" applyAlignment="1">
      <alignment horizontal="center" vertical="center"/>
    </xf>
    <xf numFmtId="0" fontId="6" fillId="0" borderId="0" xfId="0" applyFont="1" applyBorder="1" applyAlignment="1">
      <alignment horizontal="left" vertical="center" wrapText="1"/>
    </xf>
    <xf numFmtId="2" fontId="6" fillId="0" borderId="0" xfId="0" applyNumberFormat="1" applyFont="1" applyBorder="1" applyAlignment="1">
      <alignment horizontal="right" vertical="center"/>
    </xf>
    <xf numFmtId="0" fontId="6" fillId="0" borderId="1" xfId="3" applyFont="1" applyBorder="1" applyAlignment="1">
      <alignment horizontal="center" vertical="center" wrapText="1"/>
    </xf>
    <xf numFmtId="0" fontId="6" fillId="0" borderId="1" xfId="3" applyFont="1" applyBorder="1" applyAlignment="1">
      <alignment vertical="center" wrapText="1"/>
    </xf>
    <xf numFmtId="0" fontId="20" fillId="0" borderId="0" xfId="0" applyFont="1"/>
    <xf numFmtId="0" fontId="22" fillId="0" borderId="0" xfId="3" applyFont="1" applyBorder="1"/>
    <xf numFmtId="0" fontId="22" fillId="0" borderId="0" xfId="3" applyFont="1" applyBorder="1" applyAlignment="1">
      <alignment horizontal="center"/>
    </xf>
    <xf numFmtId="10" fontId="20" fillId="0" borderId="0" xfId="4" applyNumberFormat="1" applyFont="1" applyBorder="1" applyAlignment="1">
      <alignment horizontal="center"/>
    </xf>
    <xf numFmtId="0" fontId="23" fillId="0" borderId="0" xfId="3" applyFont="1" applyBorder="1" applyAlignment="1">
      <alignment horizontal="right"/>
    </xf>
    <xf numFmtId="10" fontId="23" fillId="0" borderId="0" xfId="3" applyNumberFormat="1" applyFont="1" applyBorder="1" applyAlignment="1">
      <alignment horizontal="center"/>
    </xf>
    <xf numFmtId="0" fontId="22" fillId="0" borderId="0" xfId="3" applyFont="1" applyBorder="1" applyAlignment="1">
      <alignment horizontal="left"/>
    </xf>
    <xf numFmtId="10" fontId="22" fillId="0" borderId="0" xfId="4" applyNumberFormat="1" applyFont="1" applyBorder="1" applyAlignment="1">
      <alignment horizontal="center"/>
    </xf>
    <xf numFmtId="0" fontId="19" fillId="3" borderId="0" xfId="3" applyFont="1" applyFill="1" applyBorder="1" applyAlignment="1">
      <alignment horizontal="right" vertical="center"/>
    </xf>
    <xf numFmtId="0" fontId="19" fillId="3" borderId="0" xfId="3" applyFont="1" applyFill="1" applyBorder="1" applyAlignment="1">
      <alignment vertical="center"/>
    </xf>
    <xf numFmtId="10" fontId="19" fillId="3" borderId="0" xfId="2" applyNumberFormat="1" applyFont="1" applyFill="1" applyBorder="1" applyAlignment="1" applyProtection="1">
      <alignment horizontal="right" vertical="center"/>
    </xf>
    <xf numFmtId="0" fontId="24" fillId="0" borderId="0" xfId="3" applyFont="1" applyBorder="1" applyAlignment="1">
      <alignment horizontal="center" vertical="center"/>
    </xf>
    <xf numFmtId="0" fontId="25" fillId="0" borderId="0" xfId="3" applyFont="1" applyBorder="1" applyAlignment="1">
      <alignment horizontal="left" vertical="center"/>
    </xf>
    <xf numFmtId="0" fontId="22" fillId="0" borderId="0" xfId="3" applyFont="1" applyBorder="1" applyAlignment="1">
      <alignment vertical="center"/>
    </xf>
    <xf numFmtId="0" fontId="26" fillId="0" borderId="0" xfId="3" applyFont="1" applyBorder="1" applyAlignment="1">
      <alignment horizontal="left" vertical="center"/>
    </xf>
    <xf numFmtId="0" fontId="28" fillId="0" borderId="0" xfId="3" applyFont="1" applyBorder="1" applyAlignment="1">
      <alignment horizontal="left" vertical="center"/>
    </xf>
    <xf numFmtId="0" fontId="29" fillId="0" borderId="0" xfId="3" applyFont="1" applyBorder="1" applyAlignment="1">
      <alignment horizontal="left"/>
    </xf>
    <xf numFmtId="17" fontId="2" fillId="0" borderId="0" xfId="1" quotePrefix="1" applyNumberFormat="1" applyFont="1" applyBorder="1" applyAlignment="1">
      <alignment horizontal="left" vertical="center"/>
    </xf>
    <xf numFmtId="10" fontId="2" fillId="0" borderId="0" xfId="2" applyNumberFormat="1" applyFont="1" applyBorder="1" applyAlignment="1">
      <alignment horizontal="left" vertical="center"/>
    </xf>
    <xf numFmtId="10" fontId="2" fillId="0" borderId="4" xfId="2" applyNumberFormat="1" applyFont="1" applyBorder="1" applyAlignment="1">
      <alignment horizontal="left" vertical="center"/>
    </xf>
    <xf numFmtId="10" fontId="2" fillId="0" borderId="0" xfId="2" applyNumberFormat="1" applyFont="1" applyAlignment="1">
      <alignment horizontal="left" vertical="center"/>
    </xf>
    <xf numFmtId="17" fontId="2" fillId="0" borderId="0" xfId="1" applyNumberFormat="1" applyFont="1" applyAlignment="1">
      <alignment horizontal="left" vertical="center"/>
    </xf>
    <xf numFmtId="0" fontId="6" fillId="0" borderId="12" xfId="0" applyFont="1" applyFill="1" applyBorder="1" applyAlignment="1">
      <alignment horizontal="right" vertical="center"/>
    </xf>
    <xf numFmtId="0" fontId="6" fillId="0" borderId="0" xfId="0" applyFont="1" applyFill="1" applyBorder="1" applyAlignment="1">
      <alignment horizontal="right" vertical="center"/>
    </xf>
    <xf numFmtId="0" fontId="15" fillId="0" borderId="47" xfId="0" applyFont="1" applyBorder="1" applyAlignment="1">
      <alignment horizontal="center" vertical="center"/>
    </xf>
    <xf numFmtId="0" fontId="2" fillId="0" borderId="0" xfId="0" applyFont="1" applyAlignment="1">
      <alignment vertical="center"/>
    </xf>
    <xf numFmtId="0" fontId="13" fillId="5" borderId="31" xfId="0" applyFont="1" applyFill="1" applyBorder="1" applyAlignment="1">
      <alignment vertical="center" wrapText="1"/>
    </xf>
    <xf numFmtId="0" fontId="13" fillId="5" borderId="46" xfId="0" applyFont="1" applyFill="1" applyBorder="1" applyAlignment="1">
      <alignment vertical="center" wrapText="1"/>
    </xf>
    <xf numFmtId="0" fontId="13" fillId="5" borderId="47" xfId="0" applyFont="1" applyFill="1" applyBorder="1" applyAlignment="1">
      <alignment horizontal="center" vertical="center"/>
    </xf>
    <xf numFmtId="0" fontId="6" fillId="0" borderId="0" xfId="0" applyFont="1" applyFill="1" applyBorder="1" applyAlignment="1">
      <alignment vertical="center"/>
    </xf>
    <xf numFmtId="0" fontId="6" fillId="0" borderId="10" xfId="0" applyFont="1" applyFill="1" applyBorder="1" applyAlignment="1">
      <alignment horizontal="right" vertical="center"/>
    </xf>
    <xf numFmtId="0" fontId="6" fillId="0" borderId="5" xfId="0" applyFont="1" applyFill="1" applyBorder="1" applyAlignment="1">
      <alignment vertical="center"/>
    </xf>
    <xf numFmtId="0" fontId="2" fillId="0" borderId="5" xfId="0" applyFont="1" applyBorder="1" applyAlignment="1">
      <alignment vertical="center"/>
    </xf>
    <xf numFmtId="0" fontId="6" fillId="0" borderId="5" xfId="0" applyFont="1" applyBorder="1" applyAlignment="1">
      <alignment horizontal="right" vertical="center"/>
    </xf>
    <xf numFmtId="0" fontId="15" fillId="0" borderId="19"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48"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2" fillId="0" borderId="17" xfId="0" applyFont="1" applyBorder="1" applyAlignment="1">
      <alignment horizontal="center" vertical="center" wrapText="1"/>
    </xf>
    <xf numFmtId="2" fontId="2" fillId="0" borderId="0" xfId="0" applyNumberFormat="1" applyFont="1" applyBorder="1" applyAlignment="1">
      <alignment horizontal="center" vertical="center" wrapText="1"/>
    </xf>
    <xf numFmtId="0" fontId="2" fillId="0" borderId="0" xfId="0" applyFont="1" applyBorder="1" applyAlignment="1">
      <alignment horizontal="right" vertical="center" wrapText="1"/>
    </xf>
    <xf numFmtId="44" fontId="2" fillId="0" borderId="0" xfId="6" applyFont="1" applyBorder="1" applyAlignment="1">
      <alignment horizontal="right" vertical="center" wrapText="1"/>
    </xf>
    <xf numFmtId="0" fontId="2" fillId="0" borderId="18" xfId="0" applyFont="1" applyBorder="1" applyAlignment="1">
      <alignment horizontal="center" vertical="center" wrapText="1"/>
    </xf>
    <xf numFmtId="0" fontId="2" fillId="0" borderId="0" xfId="0" applyFont="1" applyAlignment="1">
      <alignment vertical="center" wrapText="1"/>
    </xf>
    <xf numFmtId="44" fontId="15" fillId="0" borderId="50" xfId="0" applyNumberFormat="1" applyFont="1" applyFill="1" applyBorder="1" applyAlignment="1">
      <alignment horizontal="right" vertical="center"/>
    </xf>
    <xf numFmtId="0" fontId="15" fillId="0" borderId="50" xfId="0" applyFont="1" applyFill="1" applyBorder="1" applyAlignment="1">
      <alignment vertical="center"/>
    </xf>
    <xf numFmtId="0" fontId="15" fillId="0" borderId="51" xfId="0" applyFont="1" applyFill="1" applyBorder="1" applyAlignment="1">
      <alignment vertical="center"/>
    </xf>
    <xf numFmtId="0" fontId="3" fillId="0" borderId="6" xfId="0" applyFont="1" applyBorder="1" applyAlignment="1">
      <alignment horizontal="right" vertical="center"/>
    </xf>
    <xf numFmtId="0" fontId="3" fillId="0" borderId="6" xfId="0" applyFont="1" applyBorder="1" applyAlignment="1">
      <alignment horizontal="center" vertical="center"/>
    </xf>
    <xf numFmtId="0" fontId="21" fillId="2" borderId="0" xfId="3" applyFont="1" applyFill="1" applyBorder="1" applyAlignment="1">
      <alignment horizontal="center"/>
    </xf>
    <xf numFmtId="43" fontId="2" fillId="0" borderId="0" xfId="0" applyNumberFormat="1" applyFont="1" applyAlignment="1">
      <alignment wrapText="1"/>
    </xf>
    <xf numFmtId="0" fontId="13" fillId="5" borderId="24" xfId="0" applyFont="1" applyFill="1" applyBorder="1" applyAlignment="1">
      <alignment horizontal="center" vertical="center"/>
    </xf>
    <xf numFmtId="0" fontId="6" fillId="0" borderId="1" xfId="3" applyNumberFormat="1" applyFont="1" applyBorder="1" applyAlignment="1">
      <alignment horizontal="center" vertical="center"/>
    </xf>
    <xf numFmtId="43" fontId="6" fillId="0" borderId="1" xfId="1" applyFont="1" applyBorder="1" applyAlignment="1">
      <alignment horizontal="right" vertical="center" wrapText="1"/>
    </xf>
    <xf numFmtId="14" fontId="6" fillId="0" borderId="0" xfId="0" applyNumberFormat="1" applyFont="1" applyAlignment="1">
      <alignment horizontal="left" vertical="center" wrapText="1"/>
    </xf>
    <xf numFmtId="0" fontId="6" fillId="0" borderId="0" xfId="0" applyFont="1" applyAlignment="1">
      <alignment horizontal="left" vertical="center"/>
    </xf>
    <xf numFmtId="14" fontId="6" fillId="0" borderId="1" xfId="0" applyNumberFormat="1" applyFont="1" applyBorder="1" applyAlignment="1">
      <alignment horizontal="left" vertical="center" wrapText="1"/>
    </xf>
    <xf numFmtId="43" fontId="15" fillId="0" borderId="39" xfId="1" applyFont="1" applyBorder="1" applyAlignment="1">
      <alignment horizontal="right" vertical="center"/>
    </xf>
    <xf numFmtId="0" fontId="36" fillId="0" borderId="0" xfId="0" applyFont="1" applyAlignment="1">
      <alignment horizontal="center" vertical="center"/>
    </xf>
    <xf numFmtId="0" fontId="36" fillId="0" borderId="0" xfId="0" applyFont="1" applyAlignment="1">
      <alignment horizontal="left" vertical="center" wrapText="1"/>
    </xf>
    <xf numFmtId="0" fontId="36" fillId="0" borderId="0" xfId="0" applyFont="1" applyAlignment="1">
      <alignment horizontal="right" vertical="center"/>
    </xf>
    <xf numFmtId="0" fontId="13" fillId="5" borderId="24" xfId="0" applyFont="1" applyFill="1" applyBorder="1" applyAlignment="1">
      <alignment horizontal="center" vertical="center"/>
    </xf>
    <xf numFmtId="0" fontId="6" fillId="0" borderId="0" xfId="0" quotePrefix="1" applyFont="1" applyAlignment="1">
      <alignment horizontal="left" vertical="center"/>
    </xf>
    <xf numFmtId="0" fontId="6" fillId="0" borderId="0" xfId="0" applyFont="1" applyAlignment="1">
      <alignment horizontal="left" vertical="center" wrapText="1"/>
    </xf>
    <xf numFmtId="2" fontId="6" fillId="0" borderId="0" xfId="0" applyNumberFormat="1" applyFont="1" applyAlignment="1">
      <alignment horizontal="right" vertical="center"/>
    </xf>
    <xf numFmtId="0" fontId="15" fillId="0" borderId="40" xfId="0" applyFont="1" applyBorder="1" applyAlignment="1">
      <alignment horizontal="center" vertical="center" wrapText="1"/>
    </xf>
    <xf numFmtId="0" fontId="15" fillId="0" borderId="53" xfId="0" applyFont="1" applyBorder="1" applyAlignment="1">
      <alignment horizontal="center" vertical="center"/>
    </xf>
    <xf numFmtId="0" fontId="15" fillId="0" borderId="14" xfId="0" applyFont="1" applyBorder="1" applyAlignment="1">
      <alignment horizontal="center" vertical="center" wrapText="1"/>
    </xf>
    <xf numFmtId="0" fontId="15" fillId="0" borderId="16" xfId="0" applyFont="1" applyBorder="1" applyAlignment="1">
      <alignment horizontal="center" vertical="center" wrapText="1"/>
    </xf>
    <xf numFmtId="14" fontId="6" fillId="0" borderId="54" xfId="0" quotePrefix="1" applyNumberFormat="1" applyFont="1" applyBorder="1" applyAlignment="1">
      <alignment horizontal="center" vertical="center"/>
    </xf>
    <xf numFmtId="0" fontId="6" fillId="0" borderId="4" xfId="0" quotePrefix="1" applyFont="1" applyBorder="1" applyAlignment="1">
      <alignment horizontal="center" vertical="center"/>
    </xf>
    <xf numFmtId="0" fontId="6" fillId="0" borderId="4" xfId="17" quotePrefix="1" applyFont="1" applyFill="1" applyBorder="1" applyAlignment="1">
      <alignment horizontal="center" vertical="center"/>
    </xf>
    <xf numFmtId="0" fontId="6" fillId="0" borderId="4" xfId="0" applyFont="1" applyBorder="1" applyAlignment="1">
      <alignment horizontal="center" vertical="center"/>
    </xf>
    <xf numFmtId="43" fontId="6" fillId="0" borderId="55" xfId="5" applyFont="1" applyFill="1" applyBorder="1" applyAlignment="1">
      <alignment horizontal="right" vertical="center"/>
    </xf>
    <xf numFmtId="14" fontId="6" fillId="0" borderId="17" xfId="0" quotePrefix="1" applyNumberFormat="1" applyFont="1" applyBorder="1" applyAlignment="1">
      <alignment horizontal="center" vertical="center"/>
    </xf>
    <xf numFmtId="0" fontId="6" fillId="0" borderId="0" xfId="0" quotePrefix="1" applyFont="1" applyAlignment="1">
      <alignment horizontal="center" vertical="center"/>
    </xf>
    <xf numFmtId="0" fontId="6" fillId="0" borderId="0" xfId="17" quotePrefix="1" applyFont="1" applyFill="1" applyBorder="1" applyAlignment="1">
      <alignment horizontal="center" vertical="center"/>
    </xf>
    <xf numFmtId="43" fontId="6" fillId="0" borderId="18" xfId="5" applyFont="1" applyFill="1" applyBorder="1" applyAlignment="1">
      <alignment horizontal="right" vertical="center"/>
    </xf>
    <xf numFmtId="0" fontId="6" fillId="0" borderId="1" xfId="0" quotePrefix="1" applyFont="1" applyBorder="1" applyAlignment="1">
      <alignment horizontal="center" vertical="center"/>
    </xf>
    <xf numFmtId="0" fontId="6" fillId="0" borderId="1" xfId="17" quotePrefix="1" applyFont="1" applyFill="1" applyBorder="1" applyAlignment="1">
      <alignment horizontal="center" vertical="center"/>
    </xf>
    <xf numFmtId="0" fontId="6" fillId="0" borderId="1" xfId="0" applyFont="1" applyBorder="1" applyAlignment="1">
      <alignment horizontal="center" vertical="center"/>
    </xf>
    <xf numFmtId="43" fontId="6" fillId="0" borderId="20" xfId="5" applyFont="1" applyFill="1" applyBorder="1" applyAlignment="1">
      <alignment horizontal="right" vertical="center"/>
    </xf>
    <xf numFmtId="0" fontId="15" fillId="0" borderId="56" xfId="0" applyFont="1" applyBorder="1" applyAlignment="1">
      <alignment horizontal="center" vertical="center" wrapText="1"/>
    </xf>
    <xf numFmtId="0" fontId="15" fillId="0" borderId="57" xfId="0" applyFont="1" applyBorder="1" applyAlignment="1">
      <alignment horizontal="center" vertical="center" wrapText="1"/>
    </xf>
    <xf numFmtId="0" fontId="13" fillId="3" borderId="38" xfId="0" applyFont="1" applyFill="1" applyBorder="1" applyAlignment="1">
      <alignment horizontal="center" vertical="center"/>
    </xf>
    <xf numFmtId="0" fontId="13" fillId="3" borderId="39" xfId="0" applyFont="1" applyFill="1" applyBorder="1" applyAlignment="1">
      <alignment horizontal="center" vertical="center"/>
    </xf>
    <xf numFmtId="2" fontId="6" fillId="0" borderId="0" xfId="1" applyNumberFormat="1" applyFont="1" applyBorder="1" applyAlignment="1">
      <alignment horizontal="right" vertical="center"/>
    </xf>
    <xf numFmtId="43" fontId="6" fillId="0" borderId="18" xfId="5" applyFont="1" applyBorder="1" applyAlignment="1">
      <alignment horizontal="right" vertical="center"/>
    </xf>
    <xf numFmtId="0" fontId="6" fillId="0" borderId="0" xfId="17" quotePrefix="1" applyFont="1" applyBorder="1" applyAlignment="1">
      <alignment horizontal="center" vertical="center"/>
    </xf>
    <xf numFmtId="164" fontId="6" fillId="0" borderId="0" xfId="0" applyNumberFormat="1" applyFont="1" applyAlignment="1">
      <alignment horizontal="right" vertical="center"/>
    </xf>
    <xf numFmtId="14" fontId="6" fillId="0" borderId="17" xfId="0" applyNumberFormat="1" applyFont="1" applyBorder="1" applyAlignment="1">
      <alignment horizontal="center" vertical="center"/>
    </xf>
    <xf numFmtId="43" fontId="6" fillId="0" borderId="18" xfId="1" applyFont="1" applyBorder="1" applyAlignment="1">
      <alignment horizontal="right" vertical="center"/>
    </xf>
    <xf numFmtId="43" fontId="15" fillId="0" borderId="47" xfId="1" applyFont="1" applyBorder="1" applyAlignment="1">
      <alignment horizontal="right" vertical="center"/>
    </xf>
    <xf numFmtId="14" fontId="6" fillId="0" borderId="15" xfId="0" applyNumberFormat="1" applyFont="1" applyBorder="1" applyAlignment="1">
      <alignment horizontal="left" vertical="center" wrapText="1"/>
    </xf>
    <xf numFmtId="0" fontId="6" fillId="0" borderId="15" xfId="0" applyFont="1" applyBorder="1" applyAlignment="1">
      <alignment horizontal="left" vertical="center"/>
    </xf>
    <xf numFmtId="0" fontId="15" fillId="0" borderId="2" xfId="0" applyFont="1" applyBorder="1" applyAlignment="1">
      <alignment horizontal="center" vertical="center" wrapText="1"/>
    </xf>
    <xf numFmtId="0" fontId="15" fillId="0" borderId="58" xfId="0" applyFont="1" applyBorder="1" applyAlignment="1">
      <alignment horizontal="center" vertical="center" wrapText="1"/>
    </xf>
    <xf numFmtId="164" fontId="6" fillId="0" borderId="0" xfId="1" applyNumberFormat="1" applyFont="1" applyFill="1" applyBorder="1" applyAlignment="1">
      <alignment horizontal="right" vertical="center"/>
    </xf>
    <xf numFmtId="0" fontId="6" fillId="0" borderId="15" xfId="0" quotePrefix="1" applyFont="1" applyBorder="1" applyAlignment="1">
      <alignment horizontal="left" vertical="center"/>
    </xf>
    <xf numFmtId="14" fontId="6" fillId="0" borderId="1" xfId="0" applyNumberFormat="1" applyFont="1" applyBorder="1" applyAlignment="1">
      <alignment horizontal="left" vertical="center"/>
    </xf>
    <xf numFmtId="14" fontId="6" fillId="0" borderId="19" xfId="0" quotePrefix="1" applyNumberFormat="1" applyFont="1" applyBorder="1" applyAlignment="1">
      <alignment horizontal="center" vertical="center"/>
    </xf>
    <xf numFmtId="0" fontId="13" fillId="5" borderId="24" xfId="0" applyFont="1" applyFill="1" applyBorder="1" applyAlignment="1">
      <alignment horizontal="center" vertical="center"/>
    </xf>
    <xf numFmtId="165" fontId="6" fillId="0" borderId="0" xfId="1" applyNumberFormat="1" applyFont="1" applyAlignment="1">
      <alignment horizontal="right" vertical="center"/>
    </xf>
    <xf numFmtId="0" fontId="13" fillId="3" borderId="59" xfId="0" applyFont="1" applyFill="1" applyBorder="1" applyAlignment="1">
      <alignment horizontal="center" vertical="center"/>
    </xf>
    <xf numFmtId="0" fontId="13" fillId="3" borderId="61" xfId="0" applyFont="1" applyFill="1" applyBorder="1" applyAlignment="1">
      <alignment horizontal="center" vertical="center"/>
    </xf>
    <xf numFmtId="0" fontId="2" fillId="0" borderId="0" xfId="0" quotePrefix="1" applyFont="1" applyAlignment="1">
      <alignment horizontal="center" vertical="center"/>
    </xf>
    <xf numFmtId="165" fontId="6" fillId="0" borderId="0" xfId="1" applyNumberFormat="1" applyFont="1" applyBorder="1" applyAlignment="1">
      <alignment horizontal="right" vertical="center"/>
    </xf>
    <xf numFmtId="0" fontId="13" fillId="5" borderId="24" xfId="0" applyFont="1" applyFill="1" applyBorder="1" applyAlignment="1">
      <alignment horizontal="center" vertical="center"/>
    </xf>
    <xf numFmtId="0" fontId="6" fillId="0" borderId="0" xfId="0" applyFont="1" applyAlignment="1">
      <alignment horizontal="right" vertical="center"/>
    </xf>
    <xf numFmtId="0" fontId="6" fillId="0" borderId="1" xfId="0" applyFont="1" applyBorder="1" applyAlignment="1">
      <alignment horizontal="right" vertical="center"/>
    </xf>
    <xf numFmtId="0" fontId="15" fillId="0" borderId="7" xfId="0" applyFont="1" applyBorder="1" applyAlignment="1">
      <alignment horizontal="center" vertical="center" wrapText="1"/>
    </xf>
    <xf numFmtId="0" fontId="15" fillId="0" borderId="15" xfId="0" applyFont="1" applyBorder="1" applyAlignment="1">
      <alignment horizontal="center" vertical="center" wrapText="1"/>
    </xf>
    <xf numFmtId="0" fontId="6" fillId="0" borderId="15" xfId="0" applyFont="1" applyBorder="1" applyAlignment="1">
      <alignment horizontal="right" vertical="center"/>
    </xf>
    <xf numFmtId="0" fontId="2" fillId="0" borderId="0" xfId="0" applyFont="1" applyBorder="1" applyAlignment="1">
      <alignment horizontal="center"/>
    </xf>
    <xf numFmtId="0" fontId="3" fillId="0" borderId="1" xfId="0" applyFont="1" applyBorder="1" applyAlignment="1">
      <alignment horizontal="center"/>
    </xf>
    <xf numFmtId="0" fontId="3" fillId="0" borderId="0" xfId="0" applyFont="1" applyBorder="1" applyAlignment="1">
      <alignment horizontal="center"/>
    </xf>
    <xf numFmtId="0" fontId="2" fillId="0" borderId="4" xfId="0" applyFont="1" applyBorder="1" applyAlignment="1">
      <alignment horizontal="left" vertical="center" wrapText="1"/>
    </xf>
    <xf numFmtId="0" fontId="3" fillId="0" borderId="2" xfId="0" applyFont="1" applyBorder="1" applyAlignment="1">
      <alignment horizontal="center" vertical="center"/>
    </xf>
    <xf numFmtId="0" fontId="5" fillId="0" borderId="4" xfId="0" applyFont="1" applyBorder="1" applyAlignment="1">
      <alignment horizontal="left" vertical="center" wrapText="1"/>
    </xf>
    <xf numFmtId="0" fontId="3" fillId="0" borderId="6" xfId="0" applyFont="1" applyBorder="1" applyAlignment="1">
      <alignment horizontal="right" vertical="center"/>
    </xf>
    <xf numFmtId="0" fontId="14" fillId="0" borderId="7" xfId="0" applyFont="1" applyBorder="1" applyAlignment="1">
      <alignment horizontal="center" vertical="center"/>
    </xf>
    <xf numFmtId="0" fontId="13" fillId="5" borderId="0" xfId="0" applyFont="1" applyFill="1" applyBorder="1" applyAlignment="1">
      <alignment horizontal="center" vertical="center"/>
    </xf>
    <xf numFmtId="0" fontId="2" fillId="0" borderId="45" xfId="0" applyFont="1" applyBorder="1" applyAlignment="1">
      <alignment horizontal="center" vertical="center" wrapText="1"/>
    </xf>
    <xf numFmtId="0" fontId="13" fillId="6" borderId="24" xfId="0" applyFont="1" applyFill="1" applyBorder="1" applyAlignment="1">
      <alignment horizontal="center" vertical="center" wrapText="1"/>
    </xf>
    <xf numFmtId="0" fontId="13" fillId="5" borderId="24" xfId="0" applyFont="1" applyFill="1" applyBorder="1" applyAlignment="1">
      <alignment horizontal="center" vertical="center"/>
    </xf>
    <xf numFmtId="0" fontId="13" fillId="5" borderId="28" xfId="0" applyFont="1" applyFill="1" applyBorder="1" applyAlignment="1">
      <alignment horizontal="center" vertical="center"/>
    </xf>
    <xf numFmtId="10" fontId="3" fillId="0" borderId="23" xfId="2" applyNumberFormat="1" applyFont="1" applyBorder="1" applyAlignment="1">
      <alignment horizontal="right" vertical="center"/>
    </xf>
    <xf numFmtId="10" fontId="3" fillId="0" borderId="10" xfId="2" applyNumberFormat="1" applyFont="1" applyBorder="1" applyAlignment="1">
      <alignment horizontal="right" vertical="center"/>
    </xf>
    <xf numFmtId="0" fontId="3" fillId="0" borderId="11" xfId="0" applyFont="1" applyBorder="1" applyAlignment="1">
      <alignment horizontal="center" vertical="center"/>
    </xf>
    <xf numFmtId="0" fontId="3" fillId="0" borderId="9" xfId="0" applyFont="1" applyBorder="1" applyAlignment="1">
      <alignment horizontal="center" vertical="center"/>
    </xf>
    <xf numFmtId="0" fontId="3" fillId="0" borderId="0" xfId="0" applyFont="1" applyBorder="1" applyAlignment="1">
      <alignment horizontal="center" vertical="center"/>
    </xf>
    <xf numFmtId="0" fontId="3" fillId="0" borderId="5" xfId="0" applyFont="1" applyBorder="1" applyAlignment="1">
      <alignment horizontal="center" vertical="center"/>
    </xf>
    <xf numFmtId="0" fontId="3" fillId="0" borderId="13"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2" xfId="0" applyFont="1" applyBorder="1" applyAlignment="1">
      <alignment horizontal="center" vertical="center"/>
    </xf>
    <xf numFmtId="0" fontId="3" fillId="0" borderId="6" xfId="0" applyFont="1" applyBorder="1" applyAlignment="1">
      <alignment horizontal="center" vertical="center"/>
    </xf>
    <xf numFmtId="0" fontId="15" fillId="0" borderId="42" xfId="0" applyFont="1" applyBorder="1" applyAlignment="1">
      <alignment horizontal="center" vertical="center"/>
    </xf>
    <xf numFmtId="0" fontId="15" fillId="0" borderId="6" xfId="0" applyFont="1" applyBorder="1" applyAlignment="1">
      <alignment horizontal="center" vertical="center"/>
    </xf>
    <xf numFmtId="0" fontId="15" fillId="0" borderId="43" xfId="0" applyFont="1" applyBorder="1" applyAlignment="1">
      <alignment horizontal="center" vertical="center"/>
    </xf>
    <xf numFmtId="0" fontId="18" fillId="0" borderId="30" xfId="0" applyFont="1" applyBorder="1" applyAlignment="1">
      <alignment horizontal="left" vertical="center" wrapText="1"/>
    </xf>
    <xf numFmtId="0" fontId="18" fillId="0" borderId="31" xfId="0" applyFont="1" applyBorder="1" applyAlignment="1">
      <alignment horizontal="left" vertical="center" wrapText="1"/>
    </xf>
    <xf numFmtId="0" fontId="18" fillId="0" borderId="32" xfId="0" applyFont="1" applyBorder="1" applyAlignment="1">
      <alignment horizontal="left" vertical="center" wrapText="1"/>
    </xf>
    <xf numFmtId="0" fontId="6" fillId="0" borderId="40" xfId="0" applyFont="1" applyBorder="1" applyAlignment="1">
      <alignment horizontal="center" vertical="center" wrapText="1"/>
    </xf>
    <xf numFmtId="0" fontId="6" fillId="0" borderId="41" xfId="0" applyFont="1" applyBorder="1" applyAlignment="1">
      <alignment horizontal="center" vertical="center"/>
    </xf>
    <xf numFmtId="0" fontId="6" fillId="0" borderId="12" xfId="0" applyFont="1" applyBorder="1" applyAlignment="1">
      <alignment horizontal="right" vertical="center"/>
    </xf>
    <xf numFmtId="0" fontId="6" fillId="0" borderId="0" xfId="0" applyFont="1" applyAlignment="1">
      <alignment horizontal="right" vertical="center"/>
    </xf>
    <xf numFmtId="0" fontId="6" fillId="0" borderId="12"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8" xfId="0" applyFont="1" applyBorder="1" applyAlignment="1">
      <alignment horizontal="right" vertical="center"/>
    </xf>
    <xf numFmtId="0" fontId="6" fillId="0" borderId="1" xfId="0" applyFont="1" applyBorder="1" applyAlignment="1">
      <alignment horizontal="right" vertical="center"/>
    </xf>
    <xf numFmtId="0" fontId="18" fillId="0" borderId="30" xfId="0" applyFont="1" applyBorder="1" applyAlignment="1">
      <alignment horizontal="left" vertical="top" wrapText="1"/>
    </xf>
    <xf numFmtId="0" fontId="18" fillId="0" borderId="31" xfId="0" applyFont="1" applyBorder="1" applyAlignment="1">
      <alignment horizontal="left" vertical="top" wrapText="1"/>
    </xf>
    <xf numFmtId="0" fontId="18" fillId="0" borderId="32" xfId="0" applyFont="1" applyBorder="1" applyAlignment="1">
      <alignment horizontal="left" vertical="top" wrapText="1"/>
    </xf>
    <xf numFmtId="0" fontId="15" fillId="0" borderId="35" xfId="0" applyFont="1" applyBorder="1" applyAlignment="1">
      <alignment horizontal="center" vertical="center"/>
    </xf>
    <xf numFmtId="0" fontId="15" fillId="0" borderId="7" xfId="0" applyFont="1" applyBorder="1" applyAlignment="1">
      <alignment horizontal="center" vertical="center"/>
    </xf>
    <xf numFmtId="0" fontId="15" fillId="0" borderId="36" xfId="0" applyFont="1" applyBorder="1" applyAlignment="1">
      <alignment horizontal="center" vertical="center"/>
    </xf>
    <xf numFmtId="0" fontId="13" fillId="5" borderId="44" xfId="0" applyFont="1" applyFill="1" applyBorder="1" applyAlignment="1">
      <alignment horizontal="left" vertical="center" wrapText="1"/>
    </xf>
    <xf numFmtId="0" fontId="13" fillId="5" borderId="6" xfId="0" applyFont="1" applyFill="1" applyBorder="1" applyAlignment="1">
      <alignment horizontal="left" vertical="center" wrapText="1"/>
    </xf>
    <xf numFmtId="0" fontId="13" fillId="5" borderId="43" xfId="0" applyFont="1" applyFill="1" applyBorder="1" applyAlignment="1">
      <alignment horizontal="left" vertical="center" wrapText="1"/>
    </xf>
    <xf numFmtId="0" fontId="15" fillId="0" borderId="15" xfId="0" applyFont="1" applyBorder="1" applyAlignment="1">
      <alignment horizontal="center" vertical="center"/>
    </xf>
    <xf numFmtId="0" fontId="13" fillId="3" borderId="60" xfId="0" applyFont="1" applyFill="1" applyBorder="1" applyAlignment="1">
      <alignment horizontal="center" vertical="center" wrapText="1"/>
    </xf>
    <xf numFmtId="0" fontId="15" fillId="0" borderId="7" xfId="0" applyFont="1" applyBorder="1" applyAlignment="1">
      <alignment horizontal="center" vertical="center" wrapText="1"/>
    </xf>
    <xf numFmtId="0" fontId="6" fillId="0" borderId="0" xfId="0" applyFont="1" applyAlignment="1">
      <alignment horizontal="center" vertical="center" wrapText="1"/>
    </xf>
    <xf numFmtId="0" fontId="15" fillId="0" borderId="42" xfId="0" applyFont="1" applyBorder="1" applyAlignment="1">
      <alignment horizontal="right" vertical="center"/>
    </xf>
    <xf numFmtId="0" fontId="15" fillId="0" borderId="6" xfId="0" applyFont="1" applyBorder="1" applyAlignment="1">
      <alignment horizontal="right" vertical="center"/>
    </xf>
    <xf numFmtId="0" fontId="15" fillId="0" borderId="43" xfId="0" applyFont="1" applyBorder="1" applyAlignment="1">
      <alignment horizontal="right" vertical="center"/>
    </xf>
    <xf numFmtId="0" fontId="6" fillId="0" borderId="30" xfId="0" applyFont="1" applyBorder="1" applyAlignment="1">
      <alignment horizontal="left" vertical="top" wrapText="1"/>
    </xf>
    <xf numFmtId="0" fontId="6" fillId="0" borderId="31" xfId="0" applyFont="1" applyBorder="1" applyAlignment="1">
      <alignment horizontal="left" vertical="top" wrapText="1"/>
    </xf>
    <xf numFmtId="0" fontId="6" fillId="0" borderId="32" xfId="0" applyFont="1" applyBorder="1" applyAlignment="1">
      <alignment horizontal="left" vertical="top" wrapText="1"/>
    </xf>
    <xf numFmtId="0" fontId="6" fillId="0" borderId="30" xfId="0" applyFont="1" applyBorder="1" applyAlignment="1">
      <alignment horizontal="left" vertical="center" wrapText="1"/>
    </xf>
    <xf numFmtId="0" fontId="6" fillId="0" borderId="31" xfId="0" applyFont="1" applyBorder="1" applyAlignment="1">
      <alignment horizontal="left" vertical="center" wrapText="1"/>
    </xf>
    <xf numFmtId="0" fontId="6" fillId="0" borderId="32" xfId="0" applyFont="1" applyBorder="1" applyAlignment="1">
      <alignment horizontal="left" vertical="center" wrapText="1"/>
    </xf>
    <xf numFmtId="0" fontId="15" fillId="0" borderId="15"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13" fillId="3" borderId="52" xfId="0" applyFont="1" applyFill="1" applyBorder="1" applyAlignment="1">
      <alignment horizontal="center" vertical="center" wrapText="1"/>
    </xf>
    <xf numFmtId="0" fontId="6" fillId="0" borderId="13" xfId="0" applyFont="1" applyBorder="1" applyAlignment="1">
      <alignment horizontal="right" vertical="center"/>
    </xf>
    <xf numFmtId="0" fontId="6" fillId="0" borderId="15" xfId="0" applyFont="1" applyBorder="1" applyAlignment="1">
      <alignment horizontal="right" vertical="center"/>
    </xf>
    <xf numFmtId="0" fontId="6" fillId="0" borderId="13" xfId="0" applyFont="1" applyBorder="1" applyAlignment="1">
      <alignment horizontal="center" vertical="center" wrapText="1"/>
    </xf>
    <xf numFmtId="0" fontId="6" fillId="0" borderId="16" xfId="0" applyFont="1" applyBorder="1" applyAlignment="1">
      <alignment horizontal="center" vertical="center" wrapText="1"/>
    </xf>
    <xf numFmtId="0" fontId="15" fillId="0" borderId="30" xfId="0" applyFont="1" applyBorder="1" applyAlignment="1">
      <alignment horizontal="right" vertical="center"/>
    </xf>
    <xf numFmtId="0" fontId="15" fillId="0" borderId="31" xfId="0" applyFont="1" applyBorder="1" applyAlignment="1">
      <alignment horizontal="right" vertical="center"/>
    </xf>
    <xf numFmtId="0" fontId="15" fillId="0" borderId="46" xfId="0" applyFont="1" applyBorder="1" applyAlignment="1">
      <alignment horizontal="right" vertical="center"/>
    </xf>
    <xf numFmtId="3" fontId="6" fillId="0" borderId="0" xfId="0" applyNumberFormat="1" applyFont="1" applyAlignment="1">
      <alignment horizontal="center" vertical="center" wrapText="1"/>
    </xf>
    <xf numFmtId="0" fontId="15" fillId="0" borderId="30" xfId="0" applyFont="1" applyBorder="1" applyAlignment="1">
      <alignment horizontal="center" vertical="center"/>
    </xf>
    <xf numFmtId="0" fontId="15" fillId="0" borderId="31" xfId="0" applyFont="1" applyBorder="1" applyAlignment="1">
      <alignment horizontal="center" vertical="center"/>
    </xf>
    <xf numFmtId="0" fontId="15" fillId="0" borderId="32" xfId="0" applyFont="1" applyBorder="1" applyAlignment="1">
      <alignment horizontal="center" vertical="center"/>
    </xf>
    <xf numFmtId="0" fontId="33" fillId="0" borderId="1" xfId="0" applyFont="1" applyBorder="1" applyAlignment="1">
      <alignment horizontal="left" vertical="center" wrapText="1"/>
    </xf>
    <xf numFmtId="0" fontId="32" fillId="0" borderId="0" xfId="3" applyFont="1" applyBorder="1" applyAlignment="1">
      <alignment horizontal="right"/>
    </xf>
    <xf numFmtId="0" fontId="19" fillId="5" borderId="0" xfId="3" applyFont="1" applyFill="1" applyBorder="1" applyAlignment="1">
      <alignment horizontal="center"/>
    </xf>
    <xf numFmtId="0" fontId="21" fillId="2" borderId="0" xfId="3" applyFont="1" applyFill="1" applyBorder="1" applyAlignment="1">
      <alignment horizontal="center"/>
    </xf>
    <xf numFmtId="0" fontId="22" fillId="0" borderId="0" xfId="3" applyFont="1" applyBorder="1" applyAlignment="1">
      <alignment horizontal="center" vertical="center"/>
    </xf>
    <xf numFmtId="0" fontId="28" fillId="0" borderId="0" xfId="3" applyFont="1" applyBorder="1" applyAlignment="1">
      <alignment horizontal="right" vertical="center"/>
    </xf>
    <xf numFmtId="0" fontId="27" fillId="0" borderId="0" xfId="3" applyFont="1" applyBorder="1" applyAlignment="1">
      <alignment horizontal="right" vertical="center"/>
    </xf>
    <xf numFmtId="0" fontId="15" fillId="0" borderId="30" xfId="0" applyFont="1" applyBorder="1" applyAlignment="1">
      <alignment horizontal="center" vertical="center" wrapText="1"/>
    </xf>
    <xf numFmtId="0" fontId="15" fillId="0" borderId="46" xfId="0" applyFont="1" applyBorder="1" applyAlignment="1">
      <alignment horizontal="center" vertical="center" wrapText="1"/>
    </xf>
    <xf numFmtId="0" fontId="15" fillId="0" borderId="46" xfId="0" applyFont="1" applyBorder="1" applyAlignment="1">
      <alignment horizontal="center" vertical="center"/>
    </xf>
    <xf numFmtId="0" fontId="13" fillId="5" borderId="30" xfId="0" applyFont="1" applyFill="1" applyBorder="1" applyAlignment="1">
      <alignment horizontal="center" vertical="center"/>
    </xf>
    <xf numFmtId="0" fontId="13" fillId="5" borderId="31" xfId="0" applyFont="1" applyFill="1" applyBorder="1" applyAlignment="1">
      <alignment horizontal="center" vertical="center"/>
    </xf>
    <xf numFmtId="0" fontId="6" fillId="0" borderId="17"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5" xfId="0" applyFont="1" applyFill="1" applyBorder="1" applyAlignment="1">
      <alignment horizontal="center" vertical="center" wrapText="1"/>
    </xf>
    <xf numFmtId="14" fontId="6" fillId="0" borderId="0" xfId="0" applyNumberFormat="1" applyFont="1" applyFill="1" applyBorder="1" applyAlignment="1">
      <alignment horizontal="left" vertical="center" wrapText="1"/>
    </xf>
    <xf numFmtId="0" fontId="6" fillId="0" borderId="0" xfId="0" applyFont="1" applyFill="1" applyBorder="1" applyAlignment="1">
      <alignment horizontal="left" vertical="center"/>
    </xf>
    <xf numFmtId="0" fontId="6" fillId="0" borderId="12"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22" xfId="0" applyFont="1" applyFill="1" applyBorder="1" applyAlignment="1">
      <alignment horizontal="center" vertical="center" wrapText="1"/>
    </xf>
    <xf numFmtId="14" fontId="6" fillId="0" borderId="5" xfId="0" applyNumberFormat="1" applyFont="1" applyFill="1" applyBorder="1" applyAlignment="1">
      <alignment horizontal="left" vertical="center" wrapText="1"/>
    </xf>
    <xf numFmtId="14" fontId="6" fillId="0" borderId="5" xfId="0" applyNumberFormat="1" applyFont="1" applyBorder="1" applyAlignment="1">
      <alignment horizontal="left" vertical="center"/>
    </xf>
    <xf numFmtId="0" fontId="15" fillId="0" borderId="49" xfId="0" applyFont="1" applyFill="1" applyBorder="1" applyAlignment="1">
      <alignment horizontal="right" vertical="center"/>
    </xf>
    <xf numFmtId="0" fontId="15" fillId="0" borderId="50" xfId="0" applyFont="1" applyFill="1" applyBorder="1" applyAlignment="1">
      <alignment horizontal="right" vertical="center"/>
    </xf>
    <xf numFmtId="0" fontId="33" fillId="0" borderId="0" xfId="0" applyFont="1" applyBorder="1" applyAlignment="1">
      <alignment horizontal="left" vertical="center" wrapText="1"/>
    </xf>
    <xf numFmtId="0" fontId="11" fillId="0" borderId="17" xfId="0" applyFont="1" applyBorder="1" applyAlignment="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10" fillId="5" borderId="21" xfId="0" applyFont="1" applyFill="1" applyBorder="1" applyAlignment="1">
      <alignment horizontal="center" vertical="center"/>
    </xf>
    <xf numFmtId="0" fontId="10" fillId="5" borderId="5" xfId="0" applyFont="1" applyFill="1" applyBorder="1" applyAlignment="1">
      <alignment horizontal="center" vertical="center"/>
    </xf>
    <xf numFmtId="0" fontId="8" fillId="5" borderId="30" xfId="0" applyFont="1" applyFill="1" applyBorder="1" applyAlignment="1">
      <alignment horizontal="center" vertical="center"/>
    </xf>
    <xf numFmtId="0" fontId="8" fillId="5" borderId="31" xfId="0" applyFont="1" applyFill="1" applyBorder="1" applyAlignment="1">
      <alignment horizontal="center" vertical="center"/>
    </xf>
    <xf numFmtId="0" fontId="8" fillId="5" borderId="32" xfId="0" applyFont="1" applyFill="1" applyBorder="1" applyAlignment="1">
      <alignment horizontal="center" vertical="center"/>
    </xf>
    <xf numFmtId="0" fontId="10" fillId="5" borderId="14" xfId="0" applyFont="1" applyFill="1" applyBorder="1" applyAlignment="1">
      <alignment horizontal="center" vertical="center" wrapText="1"/>
    </xf>
    <xf numFmtId="0" fontId="10" fillId="5" borderId="21" xfId="0"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16" xfId="0" applyFont="1" applyFill="1" applyBorder="1" applyAlignment="1">
      <alignment horizontal="center" vertical="center" wrapText="1"/>
    </xf>
    <xf numFmtId="0" fontId="6" fillId="0" borderId="0" xfId="17" quotePrefix="1" applyFont="1" applyAlignment="1">
      <alignment horizontal="center" vertical="center"/>
    </xf>
    <xf numFmtId="0" fontId="6" fillId="0" borderId="24" xfId="0" applyFont="1" applyBorder="1" applyAlignment="1">
      <alignment horizontal="center" vertical="center" wrapText="1"/>
    </xf>
    <xf numFmtId="0" fontId="13" fillId="3" borderId="62" xfId="0" applyFont="1" applyFill="1" applyBorder="1" applyAlignment="1">
      <alignment horizontal="center" vertical="center" wrapText="1"/>
    </xf>
    <xf numFmtId="0" fontId="13" fillId="3" borderId="31" xfId="0" applyFont="1" applyFill="1" applyBorder="1" applyAlignment="1">
      <alignment horizontal="center" vertical="center" wrapText="1"/>
    </xf>
    <xf numFmtId="0" fontId="13" fillId="3" borderId="46" xfId="0" applyFont="1" applyFill="1" applyBorder="1" applyAlignment="1">
      <alignment horizontal="center" vertical="center" wrapText="1"/>
    </xf>
    <xf numFmtId="43" fontId="6" fillId="0" borderId="0" xfId="1" applyFont="1" applyBorder="1" applyAlignment="1">
      <alignment horizontal="right" vertical="center"/>
    </xf>
    <xf numFmtId="10" fontId="2" fillId="0" borderId="0" xfId="2" applyNumberFormat="1" applyFont="1" applyAlignment="1">
      <alignment wrapText="1"/>
    </xf>
    <xf numFmtId="0" fontId="6" fillId="0" borderId="0" xfId="3" applyNumberFormat="1" applyFont="1" applyBorder="1" applyAlignment="1">
      <alignment horizontal="center" vertical="center" wrapText="1"/>
    </xf>
    <xf numFmtId="0" fontId="6" fillId="0" borderId="0" xfId="3" applyFont="1" applyBorder="1" applyAlignment="1">
      <alignment horizontal="left" vertical="center" wrapText="1"/>
    </xf>
    <xf numFmtId="0" fontId="6" fillId="0" borderId="0" xfId="3" applyFont="1" applyBorder="1" applyAlignment="1">
      <alignment horizontal="center" vertical="center" wrapText="1"/>
    </xf>
    <xf numFmtId="0" fontId="6" fillId="0" borderId="0" xfId="3" applyNumberFormat="1" applyFont="1" applyBorder="1" applyAlignment="1">
      <alignment horizontal="right" vertical="center" wrapText="1"/>
    </xf>
    <xf numFmtId="0" fontId="2" fillId="0" borderId="0" xfId="0" applyFont="1" applyFill="1" applyAlignment="1">
      <alignment horizontal="center" vertical="center"/>
    </xf>
    <xf numFmtId="0" fontId="2" fillId="0" borderId="0" xfId="0" applyFont="1" applyFill="1" applyAlignment="1">
      <alignment horizontal="left" vertical="center" wrapText="1"/>
    </xf>
    <xf numFmtId="0" fontId="2" fillId="0" borderId="0" xfId="0" applyFont="1" applyFill="1" applyAlignment="1">
      <alignment horizontal="right" vertical="center"/>
    </xf>
  </cellXfs>
  <cellStyles count="18">
    <cellStyle name="Hiperlink" xfId="17" builtinId="8"/>
    <cellStyle name="Moeda" xfId="6" builtinId="4"/>
    <cellStyle name="Moeda 2" xfId="14" xr:uid="{E8492693-2448-446A-9C2C-B82B497D40DC}"/>
    <cellStyle name="Normal" xfId="0" builtinId="0"/>
    <cellStyle name="Normal 2" xfId="3" xr:uid="{00000000-0005-0000-0000-000002000000}"/>
    <cellStyle name="Porcentagem" xfId="2" builtinId="5"/>
    <cellStyle name="Porcentagem 2" xfId="8" xr:uid="{15BFAD40-BB97-4AB0-8DA8-A013D53E1C2C}"/>
    <cellStyle name="Porcentagem 2 2" xfId="4" xr:uid="{00000000-0005-0000-0000-000004000000}"/>
    <cellStyle name="Vírgula" xfId="1" builtinId="3"/>
    <cellStyle name="Vírgula 2" xfId="7" xr:uid="{4107322C-04D8-41B2-B563-908547128E77}"/>
    <cellStyle name="Vírgula 2 2" xfId="15" xr:uid="{237C3D1C-3969-4357-A92E-851C946F8E0A}"/>
    <cellStyle name="Vírgula 3" xfId="5" xr:uid="{00000000-0005-0000-0000-000006000000}"/>
    <cellStyle name="Vírgula 3 2" xfId="9" xr:uid="{5779A8A8-0EBB-480D-8C8E-2D466DDEEB46}"/>
    <cellStyle name="Vírgula 3 2 2" xfId="16" xr:uid="{A8099F39-E486-4C0D-AB65-9658447133B9}"/>
    <cellStyle name="Vírgula 3 3" xfId="11" xr:uid="{1616BF62-9243-46F3-83C6-7063BA8E3B70}"/>
    <cellStyle name="Vírgula 3 4" xfId="13" xr:uid="{A78CB88E-4E13-4CAC-B410-4BE139FF96EF}"/>
    <cellStyle name="Vírgula 4" xfId="10" xr:uid="{A8D7492D-A145-4649-8261-68DAAB531FC0}"/>
    <cellStyle name="Vírgula 5" xfId="12" xr:uid="{114E3803-67AF-48AC-8A3E-5A088FE34FC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 val="cobertura_quadra"/>
      <sheetName val="CRON_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hyperlink" Target="https://www.copafer.com.br/torneira-de-mesa-para-lavatorio-bica-baixa-link-1197-c-lnk-deca-p1105875?v=1105876" TargetMode="External"/><Relationship Id="rId21" Type="http://schemas.openxmlformats.org/officeDocument/2006/relationships/hyperlink" Target="https://www.padovani.com.br/coluna-suspensa-para-lavatorio-aspen-e-vogue-plus-branca-c510---deca-/p" TargetMode="External"/><Relationship Id="rId42" Type="http://schemas.openxmlformats.org/officeDocument/2006/relationships/hyperlink" Target="https://www.madeiramadeira.com.br/barra-apoio-antiderrapante-40-cm-aco-inox-1-1-4-astra-543166.html" TargetMode="External"/><Relationship Id="rId47" Type="http://schemas.openxmlformats.org/officeDocument/2006/relationships/hyperlink" Target="http://www.lojaeletrica.com.br/caixa-aquatic-sem-tampa-2x4-64221-pial-2320802800096,product,2320802800096,dept,0.aspx" TargetMode="External"/><Relationship Id="rId63" Type="http://schemas.openxmlformats.org/officeDocument/2006/relationships/hyperlink" Target="https://www.lojadasesquadrias.com.br/kit-porta-de-correr-com-folha-lisa-jequitiba-incluso-fechadura-e-puxador-concha" TargetMode="External"/><Relationship Id="rId68" Type="http://schemas.openxmlformats.org/officeDocument/2006/relationships/hyperlink" Target="https://www.frioshopping.com/ferramentas/gas-fluido-refrigerante/gas-refrigerante-chemours-r410a-11-350kg" TargetMode="External"/><Relationship Id="rId84" Type="http://schemas.openxmlformats.org/officeDocument/2006/relationships/hyperlink" Target="https://netcomputadores.com.br/p/28270016-furukawa-cabo-optico-fiberlan/21989" TargetMode="External"/><Relationship Id="rId89" Type="http://schemas.openxmlformats.org/officeDocument/2006/relationships/hyperlink" Target="https://www.solucaocabos.com.br/regua-padrao-rack-com-8-tomadas-10a-43/p" TargetMode="External"/><Relationship Id="rId16" Type="http://schemas.openxmlformats.org/officeDocument/2006/relationships/hyperlink" Target="https://www.cec.com.br/metais-e-acessorios/assentos/vogue-plus/assento-sanitario-termofixo-slow-close-easy-clean-vogue-plus-branco?produto=1224716" TargetMode="External"/><Relationship Id="rId11" Type="http://schemas.openxmlformats.org/officeDocument/2006/relationships/hyperlink" Target="https://lojaobrafacil.com.br/caixa-acoplada-abnt-vogueplus-deca-cdc01f" TargetMode="External"/><Relationship Id="rId32" Type="http://schemas.openxmlformats.org/officeDocument/2006/relationships/hyperlink" Target="https://www.copafer.com.br/ducha-jet-control-eletronica-7800w-220v-7896451834195-lorenzetti-p1087597?v=1087598" TargetMode="External"/><Relationship Id="rId37" Type="http://schemas.openxmlformats.org/officeDocument/2006/relationships/hyperlink" Target="https://www.cec.com.br/pisos-e-revestimentos/revest-para-parede/revestimentos-para-parede-ate-45x45/piso-ceramico-esmaltado-brilhante-borda-bold-cargo-plus-white-45x45cm?produto=1228168" TargetMode="External"/><Relationship Id="rId53" Type="http://schemas.openxmlformats.org/officeDocument/2006/relationships/hyperlink" Target="https://www.lojashidromar.com.br/incendio/botoeira-liga-e-desliga-bomba-de-incendio-rm-1848.html" TargetMode="External"/><Relationship Id="rId58" Type="http://schemas.openxmlformats.org/officeDocument/2006/relationships/hyperlink" Target="https://www.segurancajato.com.br/detector-de-fumaca-e-co-com-alarme-unee-smart-udfcs" TargetMode="External"/><Relationship Id="rId74" Type="http://schemas.openxmlformats.org/officeDocument/2006/relationships/hyperlink" Target="https://www.iluminim.com.br/luminaria-plafon-30x30-32w-led-sobrepor-branco-frio" TargetMode="External"/><Relationship Id="rId79" Type="http://schemas.openxmlformats.org/officeDocument/2006/relationships/hyperlink" Target="https://www.lumienergy.com.br/painel-de-led-taschibra-quadrado-de-sobrepor-18w-6500k-bivolt" TargetMode="External"/><Relationship Id="rId5" Type="http://schemas.openxmlformats.org/officeDocument/2006/relationships/hyperlink" Target="https://www.cec.com.br/material-de-construcao/loucas/banheiro/bacia/para-caixa-acoplada/bacia-para-caixa-acoplada-vogue-plus-branca?produto=1131610" TargetMode="External"/><Relationship Id="rId90" Type="http://schemas.openxmlformats.org/officeDocument/2006/relationships/hyperlink" Target="https://www.itcomtech.com.br/produto/regua-calha-pdu-8-tomadas-padrao-nbr-14136-de-20a-modelo-19-polegadas/326" TargetMode="External"/><Relationship Id="rId95" Type="http://schemas.openxmlformats.org/officeDocument/2006/relationships/hyperlink" Target="https://www.upperseg.com.br/telefonia/placas-p-centrais-pabx/placa-24-ramais-analogicos-p-central-impacta-94-140-220-intelbras/" TargetMode="External"/><Relationship Id="rId22" Type="http://schemas.openxmlformats.org/officeDocument/2006/relationships/hyperlink" Target="https://lojaobrafacil.com.br/lavatorio-de-coluna-vogue-plus-deca-l-51-17" TargetMode="External"/><Relationship Id="rId27" Type="http://schemas.openxmlformats.org/officeDocument/2006/relationships/hyperlink" Target="https://www.padovani.com.br/torneira-para-lavatorio-mesa-baixa-link---1197-c-lnk/p" TargetMode="External"/><Relationship Id="rId43" Type="http://schemas.openxmlformats.org/officeDocument/2006/relationships/hyperlink" Target="https://www.taqi.com.br/produto/acessorios-para-banheiro/barra-de-apoio-jackwal-40-cm-reta-inox-6017/108231/" TargetMode="External"/><Relationship Id="rId48" Type="http://schemas.openxmlformats.org/officeDocument/2006/relationships/hyperlink" Target="https://www.copafer.com.br/disjuntor-din-tripolar-80a-sdd63c80-steck-p1108010?v=1108011" TargetMode="External"/><Relationship Id="rId64" Type="http://schemas.openxmlformats.org/officeDocument/2006/relationships/hyperlink" Target="https://www.madeiramadeira.com.br/kit-porta-de-madeira-correr-lisa-pe91-gold-esel-213cmx90-5cmx12cm-112834.html" TargetMode="External"/><Relationship Id="rId69" Type="http://schemas.openxmlformats.org/officeDocument/2006/relationships/hyperlink" Target="https://www.eletrofrigor.com.br/gas-r410a-refrigerant-dac-11-300-kg.html" TargetMode="External"/><Relationship Id="rId80" Type="http://schemas.openxmlformats.org/officeDocument/2006/relationships/hyperlink" Target="https://www.dreamshop.com.br/modulo-mini-gbic-sfp-p-switch-hp-cisco-dell-1000base-sx-multimodo-pr-28-376041.htm" TargetMode="External"/><Relationship Id="rId85" Type="http://schemas.openxmlformats.org/officeDocument/2006/relationships/hyperlink" Target="https://www.gimba.com.br/fitas-para-rotuladores/fita-para-rotulador-12mmx8m-m231-brother/?PID=1312" TargetMode="External"/><Relationship Id="rId3" Type="http://schemas.openxmlformats.org/officeDocument/2006/relationships/hyperlink" Target="https://livencasa.com/Caixa-para-Bacia-Acoplada-Duna-Monte-Carlo-Village-Vogue%20Plus-Clean-Level-CD01-Branco-Deca" TargetMode="External"/><Relationship Id="rId12" Type="http://schemas.openxmlformats.org/officeDocument/2006/relationships/hyperlink" Target="https://www.cec.com.br/material-de-construcao/loucas/banheiro/bacia/caixa-acoplada/caixa-acoplada-duo-3/6-litros-vogue-plus-conforto-branca?produto=1227766" TargetMode="External"/><Relationship Id="rId17" Type="http://schemas.openxmlformats.org/officeDocument/2006/relationships/hyperlink" Target="https://www.padovani.com.br/assento-termofixo-branco-com-slow-close-vogue-plus-ap516---deca/p" TargetMode="External"/><Relationship Id="rId25" Type="http://schemas.openxmlformats.org/officeDocument/2006/relationships/hyperlink" Target="https://www.telhanorte.com.br/torneira-para-lavatorio-link-1197c-bica-pequena-cromada-deca-972584/p" TargetMode="External"/><Relationship Id="rId33" Type="http://schemas.openxmlformats.org/officeDocument/2006/relationships/hyperlink" Target="https://www.casadastorneiras.com.br/ducha-higienica-docol-p985784?v=985783" TargetMode="External"/><Relationship Id="rId38" Type="http://schemas.openxmlformats.org/officeDocument/2006/relationships/hyperlink" Target="https://www.balaroti.com.br/ceramica-a-45x45-cargo-plus-white-53432/p" TargetMode="External"/><Relationship Id="rId46" Type="http://schemas.openxmlformats.org/officeDocument/2006/relationships/hyperlink" Target="https://www.diba695.com.br/-caixa-4x2-estanque-cinza-aquatic-64221-6201/p" TargetMode="External"/><Relationship Id="rId59" Type="http://schemas.openxmlformats.org/officeDocument/2006/relationships/hyperlink" Target="https://www.prontecdistribuidora.com.br/produto.php?cod_produto=10114582" TargetMode="External"/><Relationship Id="rId67" Type="http://schemas.openxmlformats.org/officeDocument/2006/relationships/hyperlink" Target="https://www.telhanorte.com.br/revestimento-de-parede-bold-30x60cm-idea-bianco-portobello-1457993/p" TargetMode="External"/><Relationship Id="rId20" Type="http://schemas.openxmlformats.org/officeDocument/2006/relationships/hyperlink" Target="https://www.cec.com.br/material-de-construcao/loucas/coluna-para-lavatorio-suspensa-vogue-plus-branca?produto=1042836" TargetMode="External"/><Relationship Id="rId41" Type="http://schemas.openxmlformats.org/officeDocument/2006/relationships/hyperlink" Target="https://www.balaroti.com.br/ceramica-a-45x45-cargo-plus-white-53432/p" TargetMode="External"/><Relationship Id="rId54" Type="http://schemas.openxmlformats.org/officeDocument/2006/relationships/hyperlink" Target="https://www.americanas.com.br/produto/36154677/sirene-preta-de-alta-potencia-120db-piezzoeletrica-12v?cor=Preta" TargetMode="External"/><Relationship Id="rId62" Type="http://schemas.openxmlformats.org/officeDocument/2006/relationships/hyperlink" Target="https://www.pormadeonline.com.br/kit-porta-de-correr-lisa-semi-oca-curupixa-pormade.html" TargetMode="External"/><Relationship Id="rId70" Type="http://schemas.openxmlformats.org/officeDocument/2006/relationships/hyperlink" Target="https://www.refrigeracaomota.com.br/produto/gas-refrigerante-r410a-11-300-kg/" TargetMode="External"/><Relationship Id="rId75" Type="http://schemas.openxmlformats.org/officeDocument/2006/relationships/hyperlink" Target="https://www.madeiramadeira.com.br/plafon-led-de-sobrepor-quadrado-32w-30-x-30-cm-branco-frio-6000k-1083668.html" TargetMode="External"/><Relationship Id="rId83" Type="http://schemas.openxmlformats.org/officeDocument/2006/relationships/hyperlink" Target="https://netcomputadores.com.br/p/lclc10ga5m-axion-cabo-optico-lc-lc/21200" TargetMode="External"/><Relationship Id="rId88" Type="http://schemas.openxmlformats.org/officeDocument/2006/relationships/hyperlink" Target="https://www.yabex.com.br/informatica-redes-e-wireless/bandeja-fixa-para-rack/bandeja-fixa-para-rack-1u-curitiba-19pol-600mm-preto/p" TargetMode="External"/><Relationship Id="rId91" Type="http://schemas.openxmlformats.org/officeDocument/2006/relationships/hyperlink" Target="https://www.aznettelecom.com.br/rack-acessorios/acessorios/regua-19-8-tomadas-10a-sem-disjuntor" TargetMode="External"/><Relationship Id="rId96" Type="http://schemas.openxmlformats.org/officeDocument/2006/relationships/hyperlink" Target="https://www.copafer.com.br/vedapren-parede-branco-18kg-otto-baumgar-p1112863?v=1112864" TargetMode="External"/><Relationship Id="rId1" Type="http://schemas.openxmlformats.org/officeDocument/2006/relationships/hyperlink" Target="https://lojaobrafacil.com.br/caixa-acoplada-abnt-vogueplus-deca-cdc01f" TargetMode="External"/><Relationship Id="rId6" Type="http://schemas.openxmlformats.org/officeDocument/2006/relationships/hyperlink" Target="https://www.allbanho.com.br/loucas-sanitarias/bacias-e-caixas/bacia-para-caixa-acoplada-branco-vogue-plus-deca-p-505-17-branco" TargetMode="External"/><Relationship Id="rId15" Type="http://schemas.openxmlformats.org/officeDocument/2006/relationships/hyperlink" Target="https://www.padovani.com.br/bacia-sanitaria-para-caixa-acoplada-vogue-plus-conforto-branca-p515---deca-/p" TargetMode="External"/><Relationship Id="rId23" Type="http://schemas.openxmlformats.org/officeDocument/2006/relationships/hyperlink" Target="https://livencasa.com/Lavat%C3%B3rio-Vogue-Plus-L510-Branco-Deca" TargetMode="External"/><Relationship Id="rId28" Type="http://schemas.openxmlformats.org/officeDocument/2006/relationships/hyperlink" Target="https://www.padovani.com.br/torneira-para-cozinha-parede-gali-bica-alta---docol/p" TargetMode="External"/><Relationship Id="rId36" Type="http://schemas.openxmlformats.org/officeDocument/2006/relationships/hyperlink" Target="https://www.telhanorte.com.br/piso-cargo-plus-45x45cm-white-eliane-1447181/p" TargetMode="External"/><Relationship Id="rId49" Type="http://schemas.openxmlformats.org/officeDocument/2006/relationships/hyperlink" Target="https://www.telhanorte.com.br/disjuntor-tripolar-80a-curva-c-steck-1399640/p" TargetMode="External"/><Relationship Id="rId57" Type="http://schemas.openxmlformats.org/officeDocument/2006/relationships/hyperlink" Target="https://www.viewtech.ind.br/detector-de-fumaca-optico-ilumac-24vcc" TargetMode="External"/><Relationship Id="rId10" Type="http://schemas.openxmlformats.org/officeDocument/2006/relationships/hyperlink" Target="https://www.cec.com.br/material-de-construcao/loucas/banheiro/bacia/para-caixa-acoplada/bacia-para-caixa-acoplada-vogue-plus-conforto-branca?produto=1227765" TargetMode="External"/><Relationship Id="rId31" Type="http://schemas.openxmlformats.org/officeDocument/2006/relationships/hyperlink" Target="https://www.cec.com.br/material-hidraulico/chuveiros-e-duchas/chuveiros/220v/chuveiro-eletrico-jet-control-eletronico-7800w-220v-branco?produto=1091207" TargetMode="External"/><Relationship Id="rId44" Type="http://schemas.openxmlformats.org/officeDocument/2006/relationships/hyperlink" Target="https://www.construinox.com.br/barra-de-apoio-inox-reta-40cm-construinox" TargetMode="External"/><Relationship Id="rId52" Type="http://schemas.openxmlformats.org/officeDocument/2006/relationships/hyperlink" Target="https://www.submarino.com.br/produto/39006618/acionador-manual-convencional-quebra-vidro" TargetMode="External"/><Relationship Id="rId60" Type="http://schemas.openxmlformats.org/officeDocument/2006/relationships/hyperlink" Target="https://www.upperseg.com.br/buscape/cabo-blindado-de-alarme-de-incendio-2-vias-150mm-engesul-bobina-200-metros/" TargetMode="External"/><Relationship Id="rId65" Type="http://schemas.openxmlformats.org/officeDocument/2006/relationships/hyperlink" Target="https://www.cec.com.br/pisos-e-revestimentos/revest-para-parede/revestimentos-para-parede-ate-30x60/revestimento-acetinado-borda-bold-white-home-idea-bianco-30x60cm?produto=1233215" TargetMode="External"/><Relationship Id="rId73" Type="http://schemas.openxmlformats.org/officeDocument/2006/relationships/hyperlink" Target="https://lojaobrafacil.com.br/index.php?route=checkout/cart" TargetMode="External"/><Relationship Id="rId78" Type="http://schemas.openxmlformats.org/officeDocument/2006/relationships/hyperlink" Target="https://www.gruporcalampadas.com.br/plafon-led-de-sobrepor/luminaria-de-led-sobrepor-redondo18w" TargetMode="External"/><Relationship Id="rId81" Type="http://schemas.openxmlformats.org/officeDocument/2006/relationships/hyperlink" Target="https://netcomputadores.com.br/p/407bbor-dell-transceiver-sfp-1gb/35681" TargetMode="External"/><Relationship Id="rId86" Type="http://schemas.openxmlformats.org/officeDocument/2006/relationships/hyperlink" Target="http://www.lojaeletrica.com.br/fita-12mm-preto-sobre-branco-m231-brother-2521007420168,product,2521007420168,dept,0.aspx" TargetMode="External"/><Relationship Id="rId94" Type="http://schemas.openxmlformats.org/officeDocument/2006/relationships/hyperlink" Target="https://www.upperseg.com.br/buscape/placa-ramal-misto-4-ramais-digitais-e-12-analogicos-p-impacta-94-140-220-300-intelbras/" TargetMode="External"/><Relationship Id="rId99" Type="http://schemas.openxmlformats.org/officeDocument/2006/relationships/printerSettings" Target="../printerSettings/printerSettings5.bin"/><Relationship Id="rId4" Type="http://schemas.openxmlformats.org/officeDocument/2006/relationships/hyperlink" Target="https://lojaobrafacil.com.br/vaso-sanitario-deca-vogueplus-caixaacoplada-branco-p50517" TargetMode="External"/><Relationship Id="rId9" Type="http://schemas.openxmlformats.org/officeDocument/2006/relationships/hyperlink" Target="https://livencasa.com/Assento-Termofixo-Vogue-Plus-Slow-Close-e-Esyclean-AP516-Branco-Deca" TargetMode="External"/><Relationship Id="rId13" Type="http://schemas.openxmlformats.org/officeDocument/2006/relationships/hyperlink" Target="https://www.copafer.com.br/caixa-acoplada-duo-vogue-plus-conforto-branco-cdc-01f-17-deca-loucas-p1101627?v=1101628" TargetMode="External"/><Relationship Id="rId18" Type="http://schemas.openxmlformats.org/officeDocument/2006/relationships/hyperlink" Target="https://livencasa.com/Assento-Termofixo-Vogue-Plus-Slow-Close-e-Esyclean-AP516-Branco-Deca" TargetMode="External"/><Relationship Id="rId39" Type="http://schemas.openxmlformats.org/officeDocument/2006/relationships/hyperlink" Target="https://www.telhanorte.com.br/piso-cargo-plus-45x45cm-white-eliane-1447181/p" TargetMode="External"/><Relationship Id="rId34" Type="http://schemas.openxmlformats.org/officeDocument/2006/relationships/hyperlink" Target="https://www.padovani.com.br/ducha-higienica-com-gatilho-pertutti/p" TargetMode="External"/><Relationship Id="rId50" Type="http://schemas.openxmlformats.org/officeDocument/2006/relationships/hyperlink" Target="https://www.santil.com.br/produto/disjuntor-tripolar-80a-curva-c-steck/392913" TargetMode="External"/><Relationship Id="rId55" Type="http://schemas.openxmlformats.org/officeDocument/2006/relationships/hyperlink" Target="https://www.casasbahia.com.br/MaterialparaConstrucao/SegurancaFerramentas/AlarmesSensoresFechaduras/sirene-preta-12v-120db-gcp-1500056402.html?utm_medium=Cpc&amp;utm_source=GP_PLA&amp;IdSku=1500056402&amp;idLojista=12231&amp;utm_campaign=ferr_shopping&amp;gclid=CjwKCAjwpuXpBRAAEiwAyRRPgbiD5QN2Upz2P6QuPXbSlSy3g0DqNKKUAG_RTui6IpBVG5vhLQ0R1BoCAY0QAvD_BwE" TargetMode="External"/><Relationship Id="rId76" Type="http://schemas.openxmlformats.org/officeDocument/2006/relationships/hyperlink" Target="https://www.sustentaled.com.br/luminaria-plafon-led-32w-30x30-quadrado-de-sobrepor-branco-frio-6000k" TargetMode="External"/><Relationship Id="rId97" Type="http://schemas.openxmlformats.org/officeDocument/2006/relationships/hyperlink" Target="https://www.lojacasanova.com.br/produto/vedapren-parede-branco-18kg-otto-vedacit-112023/1684647/?gclid=Cj0KCQjwu6fzBRC6ARIsAJUwa2QcX7g7IZ-TbVXrnqjN9GpOO-KZzMl5RBI4QIwypgwXvUehhNxsfn0aAn9tEALw_wcB" TargetMode="External"/><Relationship Id="rId7" Type="http://schemas.openxmlformats.org/officeDocument/2006/relationships/hyperlink" Target="https://www.cec.com.br/metais-e-acessorios/assentos/vogue-plus/assento-sanitario-termofixo-slow-close-easy-clean-vogue-plus-branco?produto=1224716" TargetMode="External"/><Relationship Id="rId71" Type="http://schemas.openxmlformats.org/officeDocument/2006/relationships/hyperlink" Target="https://www.padovani.com.br/cuba-de-semi-encaixe-retangular-branca-com-mesa-e-valvula-oculta-56x46cm-l873---deca/p" TargetMode="External"/><Relationship Id="rId92" Type="http://schemas.openxmlformats.org/officeDocument/2006/relationships/hyperlink" Target="https://www.upperseg.com.br/zoom/central-pabx-hibrida-impacta-140-rack-intelbras/" TargetMode="External"/><Relationship Id="rId2" Type="http://schemas.openxmlformats.org/officeDocument/2006/relationships/hyperlink" Target="https://www.cec.com.br/material-de-construcao/loucas/banheiro/bacia/caixa-acoplada/caixa-acoplada-duo-3/6-litros-vogue-plus-conforto-branca?produto=1227766" TargetMode="External"/><Relationship Id="rId29" Type="http://schemas.openxmlformats.org/officeDocument/2006/relationships/hyperlink" Target="https://livencasa.com/index.php?route=product/product&amp;product_id=1146" TargetMode="External"/><Relationship Id="rId24" Type="http://schemas.openxmlformats.org/officeDocument/2006/relationships/hyperlink" Target="https://livencasa.com/Coluna-Suspensa-para-Lavat%C3%B3rio-Vogue-Plus-C510-Branco-Deca" TargetMode="External"/><Relationship Id="rId40" Type="http://schemas.openxmlformats.org/officeDocument/2006/relationships/hyperlink" Target="https://www.cec.com.br/pisos-e-revestimentos/revest-para-parede/revestimentos-para-parede-ate-45x45/piso-ceramico-esmaltado-brilhante-borda-bold-cargo-plus-white-45x45cm?produto=1228168" TargetMode="External"/><Relationship Id="rId45" Type="http://schemas.openxmlformats.org/officeDocument/2006/relationships/hyperlink" Target="https://www.santil.com.br/produto/caixa-estanque-de-embutir-4x2-cinza-pial-legrand/392780" TargetMode="External"/><Relationship Id="rId66" Type="http://schemas.openxmlformats.org/officeDocument/2006/relationships/hyperlink" Target="https://www.amoedo.com.br/azulejo-idea-bianco-30x60-portobello.html" TargetMode="External"/><Relationship Id="rId87" Type="http://schemas.openxmlformats.org/officeDocument/2006/relationships/hyperlink" Target="https://www.cartuchonet.com.br/fita-m-231-p-rotulador-brother-12mm-preto-branco-comprativel-original" TargetMode="External"/><Relationship Id="rId61" Type="http://schemas.openxmlformats.org/officeDocument/2006/relationships/hyperlink" Target="https://www.pantrondobrasil.com.br/produto/cabos-blindados-para-alarme-de-incendio-2-vias-2-x-075-mm2-engesul-copia/170302" TargetMode="External"/><Relationship Id="rId82" Type="http://schemas.openxmlformats.org/officeDocument/2006/relationships/hyperlink" Target="https://www.americanas.com.br/produto/1352485128/distribuidor-optico-dio-fit-24f-sc-apc-sm-19-1u-fibracem" TargetMode="External"/><Relationship Id="rId19" Type="http://schemas.openxmlformats.org/officeDocument/2006/relationships/hyperlink" Target="https://www.cec.com.br/material-de-construcao/loucas/banheiro/lavatorio/para-coluna/lavatorio-para-coluna-vogue-plus-47x55cm-branco?produto=1038715" TargetMode="External"/><Relationship Id="rId14" Type="http://schemas.openxmlformats.org/officeDocument/2006/relationships/hyperlink" Target="https://lojaobrafacil.com.br/bacia-caixa-acoplada-abnt-p51517" TargetMode="External"/><Relationship Id="rId30" Type="http://schemas.openxmlformats.org/officeDocument/2006/relationships/hyperlink" Target="https://www.casadastorneiras.com.br/torneira-para-cozinha-de-parede-docol-p985960?v=985961" TargetMode="External"/><Relationship Id="rId35" Type="http://schemas.openxmlformats.org/officeDocument/2006/relationships/hyperlink" Target="https://www.telhanorte.com.br/ducha-higienica-pertutti-com-registro-cromada-docol-712833/p" TargetMode="External"/><Relationship Id="rId56" Type="http://schemas.openxmlformats.org/officeDocument/2006/relationships/hyperlink" Target="https://www.carrefour.com.br/carrinho?debug=false" TargetMode="External"/><Relationship Id="rId77" Type="http://schemas.openxmlformats.org/officeDocument/2006/relationships/hyperlink" Target="https://www.iluminim.com.br/luminaria-plafon-18w-led-sobrepor-branco-frio-quadrado" TargetMode="External"/><Relationship Id="rId100" Type="http://schemas.openxmlformats.org/officeDocument/2006/relationships/vmlDrawing" Target="../drawings/vmlDrawing5.vml"/><Relationship Id="rId8" Type="http://schemas.openxmlformats.org/officeDocument/2006/relationships/hyperlink" Target="https://www.padovani.com.br/assento-termofixo-branco-com-slow-close-vogue-plus-ap516---deca/p" TargetMode="External"/><Relationship Id="rId51" Type="http://schemas.openxmlformats.org/officeDocument/2006/relationships/hyperlink" Target="https://www.americanas.com.br/produto/23671367/botoeira-quebra-vidro-manual-para-alarme-de-incendio-rm" TargetMode="External"/><Relationship Id="rId72" Type="http://schemas.openxmlformats.org/officeDocument/2006/relationships/hyperlink" Target="https://www.lojasguapore.com.br/produto/cuba-de-semiencaixe-retangular-com-mesa-e-valvula-oculta-460x560mm-branco-l-873-17-deca-116549" TargetMode="External"/><Relationship Id="rId93" Type="http://schemas.openxmlformats.org/officeDocument/2006/relationships/hyperlink" Target="https://www.upperseg.com.br/telefonia/placas-p-centrais-pabx/placa-interface-1e1-r2-rdsi-impacta-140-220-intelbras/" TargetMode="External"/><Relationship Id="rId98" Type="http://schemas.openxmlformats.org/officeDocument/2006/relationships/hyperlink" Target="https://www.belatintas.com.br/produto/impermeabilizante-vedapren-parede-branco-18kg-vedacit-80716"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63"/>
  <sheetViews>
    <sheetView showGridLines="0" tabSelected="1" view="pageLayout" zoomScaleNormal="100" workbookViewId="0">
      <selection activeCell="A9" sqref="A9:I9"/>
    </sheetView>
  </sheetViews>
  <sheetFormatPr defaultRowHeight="12.75" x14ac:dyDescent="0.2"/>
  <cols>
    <col min="1" max="1" width="29.140625" style="101" customWidth="1"/>
    <col min="2" max="16384" width="9.140625" style="101"/>
  </cols>
  <sheetData>
    <row r="1" spans="1:9" x14ac:dyDescent="0.2">
      <c r="A1" s="100"/>
      <c r="B1" s="100"/>
      <c r="C1" s="100"/>
      <c r="D1" s="100"/>
      <c r="E1" s="100"/>
      <c r="F1" s="100"/>
      <c r="G1" s="100"/>
      <c r="H1" s="100"/>
      <c r="I1" s="100"/>
    </row>
    <row r="9" spans="1:9" x14ac:dyDescent="0.2">
      <c r="A9" s="245" t="s">
        <v>53</v>
      </c>
      <c r="B9" s="245"/>
      <c r="C9" s="245"/>
      <c r="D9" s="245"/>
      <c r="E9" s="245"/>
      <c r="F9" s="245"/>
      <c r="G9" s="245"/>
      <c r="H9" s="245"/>
      <c r="I9" s="245"/>
    </row>
    <row r="10" spans="1:9" x14ac:dyDescent="0.2">
      <c r="A10" s="20" t="s">
        <v>24</v>
      </c>
      <c r="B10" s="247" t="s">
        <v>13228</v>
      </c>
      <c r="C10" s="247"/>
      <c r="D10" s="247"/>
      <c r="E10" s="247"/>
      <c r="F10" s="247"/>
      <c r="G10" s="247"/>
      <c r="H10" s="247"/>
      <c r="I10" s="247"/>
    </row>
    <row r="11" spans="1:9" x14ac:dyDescent="0.2">
      <c r="A11" s="20" t="s">
        <v>25</v>
      </c>
      <c r="B11" s="36" t="s">
        <v>192</v>
      </c>
      <c r="C11" s="26"/>
      <c r="D11" s="36"/>
    </row>
    <row r="12" spans="1:9" x14ac:dyDescent="0.2">
      <c r="A12" s="20" t="s">
        <v>26</v>
      </c>
      <c r="B12" s="36" t="s">
        <v>13229</v>
      </c>
      <c r="C12" s="26"/>
      <c r="D12" s="36"/>
    </row>
    <row r="13" spans="1:9" x14ac:dyDescent="0.2">
      <c r="A13" s="20" t="s">
        <v>27</v>
      </c>
      <c r="B13" s="36" t="s">
        <v>13230</v>
      </c>
      <c r="C13" s="26"/>
      <c r="D13" s="36"/>
    </row>
    <row r="19" spans="1:9" x14ac:dyDescent="0.2">
      <c r="A19" s="245" t="s">
        <v>54</v>
      </c>
      <c r="B19" s="245"/>
      <c r="C19" s="245"/>
      <c r="D19" s="245"/>
      <c r="E19" s="245"/>
      <c r="F19" s="245"/>
      <c r="G19" s="245"/>
      <c r="H19" s="245"/>
      <c r="I19" s="245"/>
    </row>
    <row r="20" spans="1:9" x14ac:dyDescent="0.2">
      <c r="A20" s="20" t="s">
        <v>21</v>
      </c>
      <c r="B20" s="149">
        <f>'BDI - Aliquota ISSQN - 5,0%'!C15</f>
        <v>0.29385092593003881</v>
      </c>
      <c r="C20" s="39"/>
      <c r="G20" s="20" t="s">
        <v>22</v>
      </c>
      <c r="H20" s="148" t="s">
        <v>13231</v>
      </c>
    </row>
    <row r="21" spans="1:9" x14ac:dyDescent="0.2">
      <c r="A21" s="20" t="s">
        <v>20</v>
      </c>
      <c r="B21" s="149">
        <f>'BDI DIF - Aliquota ISSQN - 5,0%'!C15</f>
        <v>0.16323475340228599</v>
      </c>
      <c r="C21" s="39"/>
      <c r="G21" s="20" t="s">
        <v>19</v>
      </c>
      <c r="H21" s="58" t="s">
        <v>13232</v>
      </c>
    </row>
    <row r="22" spans="1:9" x14ac:dyDescent="0.2">
      <c r="A22" s="41" t="s">
        <v>23</v>
      </c>
      <c r="B22" s="58" t="s">
        <v>103</v>
      </c>
      <c r="C22" s="39"/>
      <c r="D22" s="39"/>
      <c r="E22" s="40"/>
      <c r="G22" s="20" t="s">
        <v>58</v>
      </c>
      <c r="H22" s="58" t="s">
        <v>59</v>
      </c>
    </row>
    <row r="23" spans="1:9" x14ac:dyDescent="0.2">
      <c r="A23" s="41" t="s">
        <v>68</v>
      </c>
      <c r="B23" s="58">
        <v>0</v>
      </c>
    </row>
    <row r="27" spans="1:9" x14ac:dyDescent="0.2">
      <c r="A27" s="245" t="s">
        <v>55</v>
      </c>
      <c r="B27" s="245"/>
      <c r="C27" s="245"/>
      <c r="D27" s="245"/>
      <c r="E27" s="245"/>
      <c r="F27" s="245"/>
      <c r="G27" s="245"/>
      <c r="H27" s="245"/>
      <c r="I27" s="245"/>
    </row>
    <row r="34" spans="1:9" x14ac:dyDescent="0.2">
      <c r="A34" s="244" t="s">
        <v>56</v>
      </c>
      <c r="B34" s="244"/>
      <c r="C34" s="244"/>
      <c r="D34" s="244"/>
      <c r="E34" s="244"/>
      <c r="F34" s="244"/>
      <c r="G34" s="244"/>
      <c r="H34" s="244"/>
      <c r="I34" s="244"/>
    </row>
    <row r="35" spans="1:9" x14ac:dyDescent="0.2">
      <c r="A35" s="246" t="s">
        <v>69</v>
      </c>
      <c r="B35" s="246"/>
      <c r="C35" s="246"/>
      <c r="D35" s="246"/>
      <c r="E35" s="246"/>
      <c r="F35" s="246"/>
      <c r="G35" s="246"/>
      <c r="H35" s="246"/>
      <c r="I35" s="246"/>
    </row>
    <row r="36" spans="1:9" x14ac:dyDescent="0.2">
      <c r="A36" s="244" t="s">
        <v>70</v>
      </c>
      <c r="B36" s="244"/>
      <c r="C36" s="244"/>
      <c r="D36" s="244"/>
      <c r="E36" s="244"/>
      <c r="F36" s="244"/>
      <c r="G36" s="244"/>
      <c r="H36" s="244"/>
      <c r="I36" s="244"/>
    </row>
    <row r="37" spans="1:9" x14ac:dyDescent="0.2">
      <c r="A37" s="244" t="s">
        <v>71</v>
      </c>
      <c r="B37" s="244"/>
      <c r="C37" s="244"/>
      <c r="D37" s="244"/>
      <c r="E37" s="244"/>
      <c r="F37" s="244"/>
      <c r="G37" s="244"/>
      <c r="H37" s="244"/>
      <c r="I37" s="244"/>
    </row>
    <row r="38" spans="1:9" x14ac:dyDescent="0.2">
      <c r="A38" s="244"/>
      <c r="B38" s="244"/>
      <c r="C38" s="244"/>
      <c r="D38" s="244"/>
      <c r="E38" s="244"/>
      <c r="F38" s="244"/>
      <c r="G38" s="244"/>
      <c r="H38" s="244"/>
      <c r="I38" s="244"/>
    </row>
    <row r="45" spans="1:9" x14ac:dyDescent="0.2">
      <c r="A45" s="244" t="s">
        <v>56</v>
      </c>
      <c r="B45" s="244"/>
      <c r="C45" s="244"/>
      <c r="D45" s="244"/>
      <c r="E45" s="244"/>
      <c r="F45" s="244"/>
      <c r="G45" s="244"/>
      <c r="H45" s="244"/>
      <c r="I45" s="244"/>
    </row>
    <row r="46" spans="1:9" x14ac:dyDescent="0.2">
      <c r="A46" s="246" t="s">
        <v>10533</v>
      </c>
      <c r="B46" s="246"/>
      <c r="C46" s="246"/>
      <c r="D46" s="246"/>
      <c r="E46" s="246"/>
      <c r="F46" s="246"/>
      <c r="G46" s="246"/>
      <c r="H46" s="246"/>
      <c r="I46" s="246"/>
    </row>
    <row r="47" spans="1:9" x14ac:dyDescent="0.2">
      <c r="A47" s="244" t="s">
        <v>106</v>
      </c>
      <c r="B47" s="244"/>
      <c r="C47" s="244"/>
      <c r="D47" s="244"/>
      <c r="E47" s="244"/>
      <c r="F47" s="244"/>
      <c r="G47" s="244"/>
      <c r="H47" s="244"/>
      <c r="I47" s="244"/>
    </row>
    <row r="48" spans="1:9" x14ac:dyDescent="0.2">
      <c r="A48" s="244" t="s">
        <v>10534</v>
      </c>
      <c r="B48" s="244"/>
      <c r="C48" s="244"/>
      <c r="D48" s="244"/>
      <c r="E48" s="244"/>
      <c r="F48" s="244"/>
      <c r="G48" s="244"/>
      <c r="H48" s="244"/>
      <c r="I48" s="244"/>
    </row>
    <row r="63" spans="1:9" x14ac:dyDescent="0.2">
      <c r="A63" s="100"/>
      <c r="B63" s="100"/>
      <c r="C63" s="100"/>
      <c r="D63" s="100"/>
      <c r="E63" s="100"/>
      <c r="F63" s="100"/>
      <c r="G63" s="100"/>
      <c r="H63" s="100"/>
      <c r="I63" s="100"/>
    </row>
  </sheetData>
  <mergeCells count="13">
    <mergeCell ref="A48:I48"/>
    <mergeCell ref="A45:I45"/>
    <mergeCell ref="A9:I9"/>
    <mergeCell ref="A19:I19"/>
    <mergeCell ref="A27:I27"/>
    <mergeCell ref="A34:I34"/>
    <mergeCell ref="A38:I38"/>
    <mergeCell ref="A35:I35"/>
    <mergeCell ref="A36:I36"/>
    <mergeCell ref="A37:I37"/>
    <mergeCell ref="A46:I46"/>
    <mergeCell ref="A47:I47"/>
    <mergeCell ref="B10:I10"/>
  </mergeCells>
  <pageMargins left="0.511811024" right="0.511811024" top="0.92812499999999998" bottom="0.81562500000000004" header="0.31496062000000002" footer="0.31496062000000002"/>
  <pageSetup paperSize="9" scale="90" orientation="portrait" r:id="rId1"/>
  <headerFooter>
    <oddHeader>&amp;L&amp;G&amp;R&amp;"-,Negrito"&amp;8&amp;K01+033DEPARTAMENTO DE ENGENHARIA - DENGE&amp;"-,Regular"
(65) 3613-1609 | engenharia@mpmt.mp.br
&amp;"-,Negrito"GERENCIA DE LICITAÇÕES&amp;"-,Regular"
(65) 3613-1635 | licitacoes@mpmt.mp.br</oddHeader>
    <oddFooter>&amp;L&amp;"-,Negrito"&amp;8&amp;K01+034MINISTÉRIO PÚBLICO DO ESTADO DE MATO GROSSO&amp;"-,Regular"
PROCURADORIA GERAL DE JUSTIÇA, RUA 04, S/N,
CENTRO POLÍTICO ADMINISTRATIVO - CUIABÁ-MT</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A353F-D953-4061-B2D6-9D6ACF040169}">
  <dimension ref="A1:D5256"/>
  <sheetViews>
    <sheetView showGridLines="0" showWhiteSpace="0" view="pageLayout" zoomScaleNormal="100" workbookViewId="0">
      <selection activeCell="B4" sqref="B4"/>
    </sheetView>
  </sheetViews>
  <sheetFormatPr defaultRowHeight="12.75" x14ac:dyDescent="0.25"/>
  <cols>
    <col min="1" max="1" width="10.5703125" style="106" customWidth="1"/>
    <col min="2" max="2" width="58.85546875" style="108" customWidth="1"/>
    <col min="3" max="3" width="9.140625" style="106" bestFit="1" customWidth="1"/>
    <col min="4" max="4" width="15.42578125" style="112" customWidth="1"/>
    <col min="5" max="256" width="9.140625" style="108"/>
    <col min="257" max="257" width="10.5703125" style="108" customWidth="1"/>
    <col min="258" max="258" width="78.140625" style="108" customWidth="1"/>
    <col min="259" max="259" width="9.140625" style="108"/>
    <col min="260" max="260" width="20.85546875" style="108" bestFit="1" customWidth="1"/>
    <col min="261" max="512" width="9.140625" style="108"/>
    <col min="513" max="513" width="10.5703125" style="108" customWidth="1"/>
    <col min="514" max="514" width="78.140625" style="108" customWidth="1"/>
    <col min="515" max="515" width="9.140625" style="108"/>
    <col min="516" max="516" width="20.85546875" style="108" bestFit="1" customWidth="1"/>
    <col min="517" max="768" width="9.140625" style="108"/>
    <col min="769" max="769" width="10.5703125" style="108" customWidth="1"/>
    <col min="770" max="770" width="78.140625" style="108" customWidth="1"/>
    <col min="771" max="771" width="9.140625" style="108"/>
    <col min="772" max="772" width="20.85546875" style="108" bestFit="1" customWidth="1"/>
    <col min="773" max="1024" width="9.140625" style="108"/>
    <col min="1025" max="1025" width="10.5703125" style="108" customWidth="1"/>
    <col min="1026" max="1026" width="78.140625" style="108" customWidth="1"/>
    <col min="1027" max="1027" width="9.140625" style="108"/>
    <col min="1028" max="1028" width="20.85546875" style="108" bestFit="1" customWidth="1"/>
    <col min="1029" max="1280" width="9.140625" style="108"/>
    <col min="1281" max="1281" width="10.5703125" style="108" customWidth="1"/>
    <col min="1282" max="1282" width="78.140625" style="108" customWidth="1"/>
    <col min="1283" max="1283" width="9.140625" style="108"/>
    <col min="1284" max="1284" width="20.85546875" style="108" bestFit="1" customWidth="1"/>
    <col min="1285" max="1536" width="9.140625" style="108"/>
    <col min="1537" max="1537" width="10.5703125" style="108" customWidth="1"/>
    <col min="1538" max="1538" width="78.140625" style="108" customWidth="1"/>
    <col min="1539" max="1539" width="9.140625" style="108"/>
    <col min="1540" max="1540" width="20.85546875" style="108" bestFit="1" customWidth="1"/>
    <col min="1541" max="1792" width="9.140625" style="108"/>
    <col min="1793" max="1793" width="10.5703125" style="108" customWidth="1"/>
    <col min="1794" max="1794" width="78.140625" style="108" customWidth="1"/>
    <col min="1795" max="1795" width="9.140625" style="108"/>
    <col min="1796" max="1796" width="20.85546875" style="108" bestFit="1" customWidth="1"/>
    <col min="1797" max="2048" width="9.140625" style="108"/>
    <col min="2049" max="2049" width="10.5703125" style="108" customWidth="1"/>
    <col min="2050" max="2050" width="78.140625" style="108" customWidth="1"/>
    <col min="2051" max="2051" width="9.140625" style="108"/>
    <col min="2052" max="2052" width="20.85546875" style="108" bestFit="1" customWidth="1"/>
    <col min="2053" max="2304" width="9.140625" style="108"/>
    <col min="2305" max="2305" width="10.5703125" style="108" customWidth="1"/>
    <col min="2306" max="2306" width="78.140625" style="108" customWidth="1"/>
    <col min="2307" max="2307" width="9.140625" style="108"/>
    <col min="2308" max="2308" width="20.85546875" style="108" bestFit="1" customWidth="1"/>
    <col min="2309" max="2560" width="9.140625" style="108"/>
    <col min="2561" max="2561" width="10.5703125" style="108" customWidth="1"/>
    <col min="2562" max="2562" width="78.140625" style="108" customWidth="1"/>
    <col min="2563" max="2563" width="9.140625" style="108"/>
    <col min="2564" max="2564" width="20.85546875" style="108" bestFit="1" customWidth="1"/>
    <col min="2565" max="2816" width="9.140625" style="108"/>
    <col min="2817" max="2817" width="10.5703125" style="108" customWidth="1"/>
    <col min="2818" max="2818" width="78.140625" style="108" customWidth="1"/>
    <col min="2819" max="2819" width="9.140625" style="108"/>
    <col min="2820" max="2820" width="20.85546875" style="108" bestFit="1" customWidth="1"/>
    <col min="2821" max="3072" width="9.140625" style="108"/>
    <col min="3073" max="3073" width="10.5703125" style="108" customWidth="1"/>
    <col min="3074" max="3074" width="78.140625" style="108" customWidth="1"/>
    <col min="3075" max="3075" width="9.140625" style="108"/>
    <col min="3076" max="3076" width="20.85546875" style="108" bestFit="1" customWidth="1"/>
    <col min="3077" max="3328" width="9.140625" style="108"/>
    <col min="3329" max="3329" width="10.5703125" style="108" customWidth="1"/>
    <col min="3330" max="3330" width="78.140625" style="108" customWidth="1"/>
    <col min="3331" max="3331" width="9.140625" style="108"/>
    <col min="3332" max="3332" width="20.85546875" style="108" bestFit="1" customWidth="1"/>
    <col min="3333" max="3584" width="9.140625" style="108"/>
    <col min="3585" max="3585" width="10.5703125" style="108" customWidth="1"/>
    <col min="3586" max="3586" width="78.140625" style="108" customWidth="1"/>
    <col min="3587" max="3587" width="9.140625" style="108"/>
    <col min="3588" max="3588" width="20.85546875" style="108" bestFit="1" customWidth="1"/>
    <col min="3589" max="3840" width="9.140625" style="108"/>
    <col min="3841" max="3841" width="10.5703125" style="108" customWidth="1"/>
    <col min="3842" max="3842" width="78.140625" style="108" customWidth="1"/>
    <col min="3843" max="3843" width="9.140625" style="108"/>
    <col min="3844" max="3844" width="20.85546875" style="108" bestFit="1" customWidth="1"/>
    <col min="3845" max="4096" width="9.140625" style="108"/>
    <col min="4097" max="4097" width="10.5703125" style="108" customWidth="1"/>
    <col min="4098" max="4098" width="78.140625" style="108" customWidth="1"/>
    <col min="4099" max="4099" width="9.140625" style="108"/>
    <col min="4100" max="4100" width="20.85546875" style="108" bestFit="1" customWidth="1"/>
    <col min="4101" max="4352" width="9.140625" style="108"/>
    <col min="4353" max="4353" width="10.5703125" style="108" customWidth="1"/>
    <col min="4354" max="4354" width="78.140625" style="108" customWidth="1"/>
    <col min="4355" max="4355" width="9.140625" style="108"/>
    <col min="4356" max="4356" width="20.85546875" style="108" bestFit="1" customWidth="1"/>
    <col min="4357" max="4608" width="9.140625" style="108"/>
    <col min="4609" max="4609" width="10.5703125" style="108" customWidth="1"/>
    <col min="4610" max="4610" width="78.140625" style="108" customWidth="1"/>
    <col min="4611" max="4611" width="9.140625" style="108"/>
    <col min="4612" max="4612" width="20.85546875" style="108" bestFit="1" customWidth="1"/>
    <col min="4613" max="4864" width="9.140625" style="108"/>
    <col min="4865" max="4865" width="10.5703125" style="108" customWidth="1"/>
    <col min="4866" max="4866" width="78.140625" style="108" customWidth="1"/>
    <col min="4867" max="4867" width="9.140625" style="108"/>
    <col min="4868" max="4868" width="20.85546875" style="108" bestFit="1" customWidth="1"/>
    <col min="4869" max="5120" width="9.140625" style="108"/>
    <col min="5121" max="5121" width="10.5703125" style="108" customWidth="1"/>
    <col min="5122" max="5122" width="78.140625" style="108" customWidth="1"/>
    <col min="5123" max="5123" width="9.140625" style="108"/>
    <col min="5124" max="5124" width="20.85546875" style="108" bestFit="1" customWidth="1"/>
    <col min="5125" max="5376" width="9.140625" style="108"/>
    <col min="5377" max="5377" width="10.5703125" style="108" customWidth="1"/>
    <col min="5378" max="5378" width="78.140625" style="108" customWidth="1"/>
    <col min="5379" max="5379" width="9.140625" style="108"/>
    <col min="5380" max="5380" width="20.85546875" style="108" bestFit="1" customWidth="1"/>
    <col min="5381" max="5632" width="9.140625" style="108"/>
    <col min="5633" max="5633" width="10.5703125" style="108" customWidth="1"/>
    <col min="5634" max="5634" width="78.140625" style="108" customWidth="1"/>
    <col min="5635" max="5635" width="9.140625" style="108"/>
    <col min="5636" max="5636" width="20.85546875" style="108" bestFit="1" customWidth="1"/>
    <col min="5637" max="5888" width="9.140625" style="108"/>
    <col min="5889" max="5889" width="10.5703125" style="108" customWidth="1"/>
    <col min="5890" max="5890" width="78.140625" style="108" customWidth="1"/>
    <col min="5891" max="5891" width="9.140625" style="108"/>
    <col min="5892" max="5892" width="20.85546875" style="108" bestFit="1" customWidth="1"/>
    <col min="5893" max="6144" width="9.140625" style="108"/>
    <col min="6145" max="6145" width="10.5703125" style="108" customWidth="1"/>
    <col min="6146" max="6146" width="78.140625" style="108" customWidth="1"/>
    <col min="6147" max="6147" width="9.140625" style="108"/>
    <col min="6148" max="6148" width="20.85546875" style="108" bestFit="1" customWidth="1"/>
    <col min="6149" max="6400" width="9.140625" style="108"/>
    <col min="6401" max="6401" width="10.5703125" style="108" customWidth="1"/>
    <col min="6402" max="6402" width="78.140625" style="108" customWidth="1"/>
    <col min="6403" max="6403" width="9.140625" style="108"/>
    <col min="6404" max="6404" width="20.85546875" style="108" bestFit="1" customWidth="1"/>
    <col min="6405" max="6656" width="9.140625" style="108"/>
    <col min="6657" max="6657" width="10.5703125" style="108" customWidth="1"/>
    <col min="6658" max="6658" width="78.140625" style="108" customWidth="1"/>
    <col min="6659" max="6659" width="9.140625" style="108"/>
    <col min="6660" max="6660" width="20.85546875" style="108" bestFit="1" customWidth="1"/>
    <col min="6661" max="6912" width="9.140625" style="108"/>
    <col min="6913" max="6913" width="10.5703125" style="108" customWidth="1"/>
    <col min="6914" max="6914" width="78.140625" style="108" customWidth="1"/>
    <col min="6915" max="6915" width="9.140625" style="108"/>
    <col min="6916" max="6916" width="20.85546875" style="108" bestFit="1" customWidth="1"/>
    <col min="6917" max="7168" width="9.140625" style="108"/>
    <col min="7169" max="7169" width="10.5703125" style="108" customWidth="1"/>
    <col min="7170" max="7170" width="78.140625" style="108" customWidth="1"/>
    <col min="7171" max="7171" width="9.140625" style="108"/>
    <col min="7172" max="7172" width="20.85546875" style="108" bestFit="1" customWidth="1"/>
    <col min="7173" max="7424" width="9.140625" style="108"/>
    <col min="7425" max="7425" width="10.5703125" style="108" customWidth="1"/>
    <col min="7426" max="7426" width="78.140625" style="108" customWidth="1"/>
    <col min="7427" max="7427" width="9.140625" style="108"/>
    <col min="7428" max="7428" width="20.85546875" style="108" bestFit="1" customWidth="1"/>
    <col min="7429" max="7680" width="9.140625" style="108"/>
    <col min="7681" max="7681" width="10.5703125" style="108" customWidth="1"/>
    <col min="7682" max="7682" width="78.140625" style="108" customWidth="1"/>
    <col min="7683" max="7683" width="9.140625" style="108"/>
    <col min="7684" max="7684" width="20.85546875" style="108" bestFit="1" customWidth="1"/>
    <col min="7685" max="7936" width="9.140625" style="108"/>
    <col min="7937" max="7937" width="10.5703125" style="108" customWidth="1"/>
    <col min="7938" max="7938" width="78.140625" style="108" customWidth="1"/>
    <col min="7939" max="7939" width="9.140625" style="108"/>
    <col min="7940" max="7940" width="20.85546875" style="108" bestFit="1" customWidth="1"/>
    <col min="7941" max="8192" width="9.140625" style="108"/>
    <col min="8193" max="8193" width="10.5703125" style="108" customWidth="1"/>
    <col min="8194" max="8194" width="78.140625" style="108" customWidth="1"/>
    <col min="8195" max="8195" width="9.140625" style="108"/>
    <col min="8196" max="8196" width="20.85546875" style="108" bestFit="1" customWidth="1"/>
    <col min="8197" max="8448" width="9.140625" style="108"/>
    <col min="8449" max="8449" width="10.5703125" style="108" customWidth="1"/>
    <col min="8450" max="8450" width="78.140625" style="108" customWidth="1"/>
    <col min="8451" max="8451" width="9.140625" style="108"/>
    <col min="8452" max="8452" width="20.85546875" style="108" bestFit="1" customWidth="1"/>
    <col min="8453" max="8704" width="9.140625" style="108"/>
    <col min="8705" max="8705" width="10.5703125" style="108" customWidth="1"/>
    <col min="8706" max="8706" width="78.140625" style="108" customWidth="1"/>
    <col min="8707" max="8707" width="9.140625" style="108"/>
    <col min="8708" max="8708" width="20.85546875" style="108" bestFit="1" customWidth="1"/>
    <col min="8709" max="8960" width="9.140625" style="108"/>
    <col min="8961" max="8961" width="10.5703125" style="108" customWidth="1"/>
    <col min="8962" max="8962" width="78.140625" style="108" customWidth="1"/>
    <col min="8963" max="8963" width="9.140625" style="108"/>
    <col min="8964" max="8964" width="20.85546875" style="108" bestFit="1" customWidth="1"/>
    <col min="8965" max="9216" width="9.140625" style="108"/>
    <col min="9217" max="9217" width="10.5703125" style="108" customWidth="1"/>
    <col min="9218" max="9218" width="78.140625" style="108" customWidth="1"/>
    <col min="9219" max="9219" width="9.140625" style="108"/>
    <col min="9220" max="9220" width="20.85546875" style="108" bestFit="1" customWidth="1"/>
    <col min="9221" max="9472" width="9.140625" style="108"/>
    <col min="9473" max="9473" width="10.5703125" style="108" customWidth="1"/>
    <col min="9474" max="9474" width="78.140625" style="108" customWidth="1"/>
    <col min="9475" max="9475" width="9.140625" style="108"/>
    <col min="9476" max="9476" width="20.85546875" style="108" bestFit="1" customWidth="1"/>
    <col min="9477" max="9728" width="9.140625" style="108"/>
    <col min="9729" max="9729" width="10.5703125" style="108" customWidth="1"/>
    <col min="9730" max="9730" width="78.140625" style="108" customWidth="1"/>
    <col min="9731" max="9731" width="9.140625" style="108"/>
    <col min="9732" max="9732" width="20.85546875" style="108" bestFit="1" customWidth="1"/>
    <col min="9733" max="9984" width="9.140625" style="108"/>
    <col min="9985" max="9985" width="10.5703125" style="108" customWidth="1"/>
    <col min="9986" max="9986" width="78.140625" style="108" customWidth="1"/>
    <col min="9987" max="9987" width="9.140625" style="108"/>
    <col min="9988" max="9988" width="20.85546875" style="108" bestFit="1" customWidth="1"/>
    <col min="9989" max="10240" width="9.140625" style="108"/>
    <col min="10241" max="10241" width="10.5703125" style="108" customWidth="1"/>
    <col min="10242" max="10242" width="78.140625" style="108" customWidth="1"/>
    <col min="10243" max="10243" width="9.140625" style="108"/>
    <col min="10244" max="10244" width="20.85546875" style="108" bestFit="1" customWidth="1"/>
    <col min="10245" max="10496" width="9.140625" style="108"/>
    <col min="10497" max="10497" width="10.5703125" style="108" customWidth="1"/>
    <col min="10498" max="10498" width="78.140625" style="108" customWidth="1"/>
    <col min="10499" max="10499" width="9.140625" style="108"/>
    <col min="10500" max="10500" width="20.85546875" style="108" bestFit="1" customWidth="1"/>
    <col min="10501" max="10752" width="9.140625" style="108"/>
    <col min="10753" max="10753" width="10.5703125" style="108" customWidth="1"/>
    <col min="10754" max="10754" width="78.140625" style="108" customWidth="1"/>
    <col min="10755" max="10755" width="9.140625" style="108"/>
    <col min="10756" max="10756" width="20.85546875" style="108" bestFit="1" customWidth="1"/>
    <col min="10757" max="11008" width="9.140625" style="108"/>
    <col min="11009" max="11009" width="10.5703125" style="108" customWidth="1"/>
    <col min="11010" max="11010" width="78.140625" style="108" customWidth="1"/>
    <col min="11011" max="11011" width="9.140625" style="108"/>
    <col min="11012" max="11012" width="20.85546875" style="108" bestFit="1" customWidth="1"/>
    <col min="11013" max="11264" width="9.140625" style="108"/>
    <col min="11265" max="11265" width="10.5703125" style="108" customWidth="1"/>
    <col min="11266" max="11266" width="78.140625" style="108" customWidth="1"/>
    <col min="11267" max="11267" width="9.140625" style="108"/>
    <col min="11268" max="11268" width="20.85546875" style="108" bestFit="1" customWidth="1"/>
    <col min="11269" max="11520" width="9.140625" style="108"/>
    <col min="11521" max="11521" width="10.5703125" style="108" customWidth="1"/>
    <col min="11522" max="11522" width="78.140625" style="108" customWidth="1"/>
    <col min="11523" max="11523" width="9.140625" style="108"/>
    <col min="11524" max="11524" width="20.85546875" style="108" bestFit="1" customWidth="1"/>
    <col min="11525" max="11776" width="9.140625" style="108"/>
    <col min="11777" max="11777" width="10.5703125" style="108" customWidth="1"/>
    <col min="11778" max="11778" width="78.140625" style="108" customWidth="1"/>
    <col min="11779" max="11779" width="9.140625" style="108"/>
    <col min="11780" max="11780" width="20.85546875" style="108" bestFit="1" customWidth="1"/>
    <col min="11781" max="12032" width="9.140625" style="108"/>
    <col min="12033" max="12033" width="10.5703125" style="108" customWidth="1"/>
    <col min="12034" max="12034" width="78.140625" style="108" customWidth="1"/>
    <col min="12035" max="12035" width="9.140625" style="108"/>
    <col min="12036" max="12036" width="20.85546875" style="108" bestFit="1" customWidth="1"/>
    <col min="12037" max="12288" width="9.140625" style="108"/>
    <col min="12289" max="12289" width="10.5703125" style="108" customWidth="1"/>
    <col min="12290" max="12290" width="78.140625" style="108" customWidth="1"/>
    <col min="12291" max="12291" width="9.140625" style="108"/>
    <col min="12292" max="12292" width="20.85546875" style="108" bestFit="1" customWidth="1"/>
    <col min="12293" max="12544" width="9.140625" style="108"/>
    <col min="12545" max="12545" width="10.5703125" style="108" customWidth="1"/>
    <col min="12546" max="12546" width="78.140625" style="108" customWidth="1"/>
    <col min="12547" max="12547" width="9.140625" style="108"/>
    <col min="12548" max="12548" width="20.85546875" style="108" bestFit="1" customWidth="1"/>
    <col min="12549" max="12800" width="9.140625" style="108"/>
    <col min="12801" max="12801" width="10.5703125" style="108" customWidth="1"/>
    <col min="12802" max="12802" width="78.140625" style="108" customWidth="1"/>
    <col min="12803" max="12803" width="9.140625" style="108"/>
    <col min="12804" max="12804" width="20.85546875" style="108" bestFit="1" customWidth="1"/>
    <col min="12805" max="13056" width="9.140625" style="108"/>
    <col min="13057" max="13057" width="10.5703125" style="108" customWidth="1"/>
    <col min="13058" max="13058" width="78.140625" style="108" customWidth="1"/>
    <col min="13059" max="13059" width="9.140625" style="108"/>
    <col min="13060" max="13060" width="20.85546875" style="108" bestFit="1" customWidth="1"/>
    <col min="13061" max="13312" width="9.140625" style="108"/>
    <col min="13313" max="13313" width="10.5703125" style="108" customWidth="1"/>
    <col min="13314" max="13314" width="78.140625" style="108" customWidth="1"/>
    <col min="13315" max="13315" width="9.140625" style="108"/>
    <col min="13316" max="13316" width="20.85546875" style="108" bestFit="1" customWidth="1"/>
    <col min="13317" max="13568" width="9.140625" style="108"/>
    <col min="13569" max="13569" width="10.5703125" style="108" customWidth="1"/>
    <col min="13570" max="13570" width="78.140625" style="108" customWidth="1"/>
    <col min="13571" max="13571" width="9.140625" style="108"/>
    <col min="13572" max="13572" width="20.85546875" style="108" bestFit="1" customWidth="1"/>
    <col min="13573" max="13824" width="9.140625" style="108"/>
    <col min="13825" max="13825" width="10.5703125" style="108" customWidth="1"/>
    <col min="13826" max="13826" width="78.140625" style="108" customWidth="1"/>
    <col min="13827" max="13827" width="9.140625" style="108"/>
    <col min="13828" max="13828" width="20.85546875" style="108" bestFit="1" customWidth="1"/>
    <col min="13829" max="14080" width="9.140625" style="108"/>
    <col min="14081" max="14081" width="10.5703125" style="108" customWidth="1"/>
    <col min="14082" max="14082" width="78.140625" style="108" customWidth="1"/>
    <col min="14083" max="14083" width="9.140625" style="108"/>
    <col min="14084" max="14084" width="20.85546875" style="108" bestFit="1" customWidth="1"/>
    <col min="14085" max="14336" width="9.140625" style="108"/>
    <col min="14337" max="14337" width="10.5703125" style="108" customWidth="1"/>
    <col min="14338" max="14338" width="78.140625" style="108" customWidth="1"/>
    <col min="14339" max="14339" width="9.140625" style="108"/>
    <col min="14340" max="14340" width="20.85546875" style="108" bestFit="1" customWidth="1"/>
    <col min="14341" max="14592" width="9.140625" style="108"/>
    <col min="14593" max="14593" width="10.5703125" style="108" customWidth="1"/>
    <col min="14594" max="14594" width="78.140625" style="108" customWidth="1"/>
    <col min="14595" max="14595" width="9.140625" style="108"/>
    <col min="14596" max="14596" width="20.85546875" style="108" bestFit="1" customWidth="1"/>
    <col min="14597" max="14848" width="9.140625" style="108"/>
    <col min="14849" max="14849" width="10.5703125" style="108" customWidth="1"/>
    <col min="14850" max="14850" width="78.140625" style="108" customWidth="1"/>
    <col min="14851" max="14851" width="9.140625" style="108"/>
    <col min="14852" max="14852" width="20.85546875" style="108" bestFit="1" customWidth="1"/>
    <col min="14853" max="15104" width="9.140625" style="108"/>
    <col min="15105" max="15105" width="10.5703125" style="108" customWidth="1"/>
    <col min="15106" max="15106" width="78.140625" style="108" customWidth="1"/>
    <col min="15107" max="15107" width="9.140625" style="108"/>
    <col min="15108" max="15108" width="20.85546875" style="108" bestFit="1" customWidth="1"/>
    <col min="15109" max="15360" width="9.140625" style="108"/>
    <col min="15361" max="15361" width="10.5703125" style="108" customWidth="1"/>
    <col min="15362" max="15362" width="78.140625" style="108" customWidth="1"/>
    <col min="15363" max="15363" width="9.140625" style="108"/>
    <col min="15364" max="15364" width="20.85546875" style="108" bestFit="1" customWidth="1"/>
    <col min="15365" max="15616" width="9.140625" style="108"/>
    <col min="15617" max="15617" width="10.5703125" style="108" customWidth="1"/>
    <col min="15618" max="15618" width="78.140625" style="108" customWidth="1"/>
    <col min="15619" max="15619" width="9.140625" style="108"/>
    <col min="15620" max="15620" width="20.85546875" style="108" bestFit="1" customWidth="1"/>
    <col min="15621" max="15872" width="9.140625" style="108"/>
    <col min="15873" max="15873" width="10.5703125" style="108" customWidth="1"/>
    <col min="15874" max="15874" width="78.140625" style="108" customWidth="1"/>
    <col min="15875" max="15875" width="9.140625" style="108"/>
    <col min="15876" max="15876" width="20.85546875" style="108" bestFit="1" customWidth="1"/>
    <col min="15877" max="16128" width="9.140625" style="108"/>
    <col min="16129" max="16129" width="10.5703125" style="108" customWidth="1"/>
    <col min="16130" max="16130" width="78.140625" style="108" customWidth="1"/>
    <col min="16131" max="16131" width="9.140625" style="108"/>
    <col min="16132" max="16132" width="20.85546875" style="108" bestFit="1" customWidth="1"/>
    <col min="16133" max="16384" width="9.140625" style="108"/>
  </cols>
  <sheetData>
    <row r="1" spans="1:4" s="106" customFormat="1" ht="24.75" customHeight="1" x14ac:dyDescent="0.25">
      <c r="A1" s="102" t="s">
        <v>5752</v>
      </c>
      <c r="B1" s="102" t="s">
        <v>5753</v>
      </c>
      <c r="C1" s="102" t="s">
        <v>719</v>
      </c>
      <c r="D1" s="102" t="s">
        <v>5754</v>
      </c>
    </row>
    <row r="2" spans="1:4" ht="38.25" x14ac:dyDescent="0.25">
      <c r="A2" s="106">
        <v>41758</v>
      </c>
      <c r="B2" s="108" t="s">
        <v>10537</v>
      </c>
      <c r="C2" s="110" t="s">
        <v>5755</v>
      </c>
      <c r="D2" s="111">
        <v>144.72999999999999</v>
      </c>
    </row>
    <row r="3" spans="1:4" ht="25.5" x14ac:dyDescent="0.25">
      <c r="A3" s="106">
        <v>1363</v>
      </c>
      <c r="B3" s="108" t="s">
        <v>10538</v>
      </c>
      <c r="C3" s="110" t="s">
        <v>5757</v>
      </c>
      <c r="D3" s="111">
        <v>18.13</v>
      </c>
    </row>
    <row r="4" spans="1:4" ht="25.5" x14ac:dyDescent="0.25">
      <c r="A4" s="106">
        <v>1344</v>
      </c>
      <c r="B4" s="108" t="s">
        <v>10539</v>
      </c>
      <c r="C4" s="110" t="s">
        <v>5755</v>
      </c>
      <c r="D4" s="111">
        <v>45.19</v>
      </c>
    </row>
    <row r="5" spans="1:4" ht="25.5" x14ac:dyDescent="0.25">
      <c r="A5" s="106">
        <v>1342</v>
      </c>
      <c r="B5" s="108" t="s">
        <v>10540</v>
      </c>
      <c r="C5" s="110" t="s">
        <v>5755</v>
      </c>
      <c r="D5" s="111">
        <v>79.88</v>
      </c>
    </row>
    <row r="6" spans="1:4" ht="25.5" x14ac:dyDescent="0.25">
      <c r="A6" s="106">
        <v>1349</v>
      </c>
      <c r="B6" s="108" t="s">
        <v>10541</v>
      </c>
      <c r="C6" s="110" t="s">
        <v>5755</v>
      </c>
      <c r="D6" s="111">
        <v>113.92</v>
      </c>
    </row>
    <row r="7" spans="1:4" ht="25.5" x14ac:dyDescent="0.25">
      <c r="A7" s="106">
        <v>1350</v>
      </c>
      <c r="B7" s="108" t="s">
        <v>10542</v>
      </c>
      <c r="C7" s="110" t="s">
        <v>5755</v>
      </c>
      <c r="D7" s="111">
        <v>39.19</v>
      </c>
    </row>
    <row r="8" spans="1:4" ht="25.5" x14ac:dyDescent="0.25">
      <c r="A8" s="106">
        <v>1357</v>
      </c>
      <c r="B8" s="108" t="s">
        <v>10543</v>
      </c>
      <c r="C8" s="110" t="s">
        <v>5755</v>
      </c>
      <c r="D8" s="111">
        <v>49.92</v>
      </c>
    </row>
    <row r="9" spans="1:4" ht="25.5" x14ac:dyDescent="0.25">
      <c r="A9" s="106">
        <v>1359</v>
      </c>
      <c r="B9" s="108" t="s">
        <v>10544</v>
      </c>
      <c r="C9" s="110" t="s">
        <v>5755</v>
      </c>
      <c r="D9" s="111">
        <v>77.12</v>
      </c>
    </row>
    <row r="10" spans="1:4" ht="25.5" x14ac:dyDescent="0.25">
      <c r="A10" s="106">
        <v>1351</v>
      </c>
      <c r="B10" s="108" t="s">
        <v>10545</v>
      </c>
      <c r="C10" s="110" t="s">
        <v>5755</v>
      </c>
      <c r="D10" s="111">
        <v>24.85</v>
      </c>
    </row>
    <row r="11" spans="1:4" ht="38.25" x14ac:dyDescent="0.25">
      <c r="A11" s="106">
        <v>3113</v>
      </c>
      <c r="B11" s="108" t="s">
        <v>10546</v>
      </c>
      <c r="C11" s="110" t="s">
        <v>7020</v>
      </c>
      <c r="D11" s="111">
        <v>63.14</v>
      </c>
    </row>
    <row r="12" spans="1:4" ht="38.25" x14ac:dyDescent="0.25">
      <c r="A12" s="106">
        <v>2404</v>
      </c>
      <c r="B12" s="108" t="s">
        <v>5756</v>
      </c>
      <c r="C12" s="110" t="s">
        <v>5757</v>
      </c>
      <c r="D12" s="111">
        <v>93</v>
      </c>
    </row>
    <row r="13" spans="1:4" ht="38.25" x14ac:dyDescent="0.25">
      <c r="A13" s="106">
        <v>2418</v>
      </c>
      <c r="B13" s="108" t="s">
        <v>10547</v>
      </c>
      <c r="C13" s="110" t="s">
        <v>5755</v>
      </c>
      <c r="D13" s="111">
        <v>7.25</v>
      </c>
    </row>
    <row r="14" spans="1:4" ht="25.5" x14ac:dyDescent="0.25">
      <c r="A14" s="106">
        <v>2720</v>
      </c>
      <c r="B14" s="108" t="s">
        <v>5758</v>
      </c>
      <c r="C14" s="110" t="s">
        <v>5759</v>
      </c>
      <c r="D14" s="111">
        <v>171.31</v>
      </c>
    </row>
    <row r="15" spans="1:4" ht="38.25" x14ac:dyDescent="0.25">
      <c r="A15" s="106">
        <v>2719</v>
      </c>
      <c r="B15" s="108" t="s">
        <v>5760</v>
      </c>
      <c r="C15" s="110" t="s">
        <v>5759</v>
      </c>
      <c r="D15" s="111">
        <v>145.15</v>
      </c>
    </row>
    <row r="16" spans="1:4" ht="25.5" x14ac:dyDescent="0.25">
      <c r="A16" s="106">
        <v>6086</v>
      </c>
      <c r="B16" s="108" t="s">
        <v>10548</v>
      </c>
      <c r="C16" s="110" t="s">
        <v>7771</v>
      </c>
      <c r="D16" s="111">
        <v>72.05</v>
      </c>
    </row>
    <row r="17" spans="1:4" ht="51" x14ac:dyDescent="0.25">
      <c r="A17" s="106">
        <v>38968</v>
      </c>
      <c r="B17" s="108" t="s">
        <v>10549</v>
      </c>
      <c r="C17" s="110" t="s">
        <v>5757</v>
      </c>
      <c r="D17" s="111">
        <v>336.94</v>
      </c>
    </row>
    <row r="18" spans="1:4" ht="38.25" x14ac:dyDescent="0.25">
      <c r="A18" s="106">
        <v>3378</v>
      </c>
      <c r="B18" s="108" t="s">
        <v>5761</v>
      </c>
      <c r="C18" s="110" t="s">
        <v>5755</v>
      </c>
      <c r="D18" s="111">
        <v>52.95</v>
      </c>
    </row>
    <row r="19" spans="1:4" ht="38.25" x14ac:dyDescent="0.25">
      <c r="A19" s="106">
        <v>3380</v>
      </c>
      <c r="B19" s="108" t="s">
        <v>5762</v>
      </c>
      <c r="C19" s="110" t="s">
        <v>5755</v>
      </c>
      <c r="D19" s="111">
        <v>37.07</v>
      </c>
    </row>
    <row r="20" spans="1:4" ht="38.25" x14ac:dyDescent="0.25">
      <c r="A20" s="106">
        <v>3379</v>
      </c>
      <c r="B20" s="108" t="s">
        <v>5763</v>
      </c>
      <c r="C20" s="110" t="s">
        <v>5755</v>
      </c>
      <c r="D20" s="111">
        <v>35.79</v>
      </c>
    </row>
    <row r="21" spans="1:4" ht="25.5" x14ac:dyDescent="0.25">
      <c r="A21" s="106">
        <v>615</v>
      </c>
      <c r="B21" s="108" t="s">
        <v>10550</v>
      </c>
      <c r="C21" s="110" t="s">
        <v>5757</v>
      </c>
      <c r="D21" s="111">
        <v>398.39</v>
      </c>
    </row>
    <row r="22" spans="1:4" ht="51" x14ac:dyDescent="0.25">
      <c r="A22" s="106">
        <v>606</v>
      </c>
      <c r="B22" s="108" t="s">
        <v>10551</v>
      </c>
      <c r="C22" s="110" t="s">
        <v>5757</v>
      </c>
      <c r="D22" s="111">
        <v>625.83000000000004</v>
      </c>
    </row>
    <row r="23" spans="1:4" ht="38.25" x14ac:dyDescent="0.25">
      <c r="A23" s="106">
        <v>11193</v>
      </c>
      <c r="B23" s="108" t="s">
        <v>10552</v>
      </c>
      <c r="C23" s="110" t="s">
        <v>5757</v>
      </c>
      <c r="D23" s="111">
        <v>634.53</v>
      </c>
    </row>
    <row r="24" spans="1:4" ht="51" x14ac:dyDescent="0.25">
      <c r="A24" s="106">
        <v>11197</v>
      </c>
      <c r="B24" s="108" t="s">
        <v>10553</v>
      </c>
      <c r="C24" s="110" t="s">
        <v>5755</v>
      </c>
      <c r="D24" s="111">
        <v>868.99</v>
      </c>
    </row>
    <row r="25" spans="1:4" ht="25.5" x14ac:dyDescent="0.25">
      <c r="A25" s="106">
        <v>3346</v>
      </c>
      <c r="B25" s="108" t="s">
        <v>10554</v>
      </c>
      <c r="C25" s="110" t="s">
        <v>5759</v>
      </c>
      <c r="D25" s="111">
        <v>13.5</v>
      </c>
    </row>
    <row r="26" spans="1:4" ht="38.25" x14ac:dyDescent="0.25">
      <c r="A26" s="106">
        <v>3348</v>
      </c>
      <c r="B26" s="108" t="s">
        <v>10555</v>
      </c>
      <c r="C26" s="110" t="s">
        <v>5759</v>
      </c>
      <c r="D26" s="111">
        <v>16.149999999999999</v>
      </c>
    </row>
    <row r="27" spans="1:4" ht="25.5" x14ac:dyDescent="0.25">
      <c r="A27" s="106">
        <v>3345</v>
      </c>
      <c r="B27" s="108" t="s">
        <v>10556</v>
      </c>
      <c r="C27" s="110" t="s">
        <v>5759</v>
      </c>
      <c r="D27" s="111">
        <v>10.43</v>
      </c>
    </row>
    <row r="28" spans="1:4" ht="25.5" x14ac:dyDescent="0.25">
      <c r="A28" s="106">
        <v>39833</v>
      </c>
      <c r="B28" s="108" t="s">
        <v>10557</v>
      </c>
      <c r="C28" s="110" t="s">
        <v>5759</v>
      </c>
      <c r="D28" s="111">
        <v>22.12</v>
      </c>
    </row>
    <row r="29" spans="1:4" ht="25.5" x14ac:dyDescent="0.25">
      <c r="A29" s="106">
        <v>39834</v>
      </c>
      <c r="B29" s="108" t="s">
        <v>10558</v>
      </c>
      <c r="C29" s="110" t="s">
        <v>5759</v>
      </c>
      <c r="D29" s="111">
        <v>37.96</v>
      </c>
    </row>
    <row r="30" spans="1:4" ht="25.5" x14ac:dyDescent="0.25">
      <c r="A30" s="106">
        <v>39835</v>
      </c>
      <c r="B30" s="108" t="s">
        <v>10559</v>
      </c>
      <c r="C30" s="110" t="s">
        <v>5759</v>
      </c>
      <c r="D30" s="111">
        <v>46.28</v>
      </c>
    </row>
    <row r="31" spans="1:4" ht="25.5" x14ac:dyDescent="0.25">
      <c r="A31" s="106">
        <v>3779</v>
      </c>
      <c r="B31" s="108" t="s">
        <v>10560</v>
      </c>
      <c r="C31" s="110" t="s">
        <v>5767</v>
      </c>
      <c r="D31" s="111">
        <v>7.66</v>
      </c>
    </row>
    <row r="32" spans="1:4" ht="38.25" x14ac:dyDescent="0.25">
      <c r="A32" s="106">
        <v>13382</v>
      </c>
      <c r="B32" s="108" t="s">
        <v>5764</v>
      </c>
      <c r="C32" s="110" t="s">
        <v>5755</v>
      </c>
      <c r="D32" s="111">
        <v>188.86</v>
      </c>
    </row>
    <row r="33" spans="1:4" ht="25.5" x14ac:dyDescent="0.25">
      <c r="A33" s="106">
        <v>4051</v>
      </c>
      <c r="B33" s="108" t="s">
        <v>10561</v>
      </c>
      <c r="C33" s="110" t="s">
        <v>5895</v>
      </c>
      <c r="D33" s="111">
        <v>72.900000000000006</v>
      </c>
    </row>
    <row r="34" spans="1:4" ht="25.5" x14ac:dyDescent="0.25">
      <c r="A34" s="106">
        <v>4047</v>
      </c>
      <c r="B34" s="108" t="s">
        <v>10561</v>
      </c>
      <c r="C34" s="110" t="s">
        <v>7771</v>
      </c>
      <c r="D34" s="111">
        <v>14.58</v>
      </c>
    </row>
    <row r="35" spans="1:4" ht="38.25" x14ac:dyDescent="0.25">
      <c r="A35" s="106">
        <v>11367</v>
      </c>
      <c r="B35" s="108" t="s">
        <v>10562</v>
      </c>
      <c r="C35" s="110" t="s">
        <v>5757</v>
      </c>
      <c r="D35" s="111">
        <v>112.36</v>
      </c>
    </row>
    <row r="36" spans="1:4" ht="51" x14ac:dyDescent="0.25">
      <c r="A36" s="106">
        <v>11523</v>
      </c>
      <c r="B36" s="108" t="s">
        <v>10563</v>
      </c>
      <c r="C36" s="110" t="s">
        <v>5755</v>
      </c>
      <c r="D36" s="111">
        <v>13.65</v>
      </c>
    </row>
    <row r="37" spans="1:4" ht="38.25" x14ac:dyDescent="0.25">
      <c r="A37" s="106">
        <v>6204</v>
      </c>
      <c r="B37" s="108" t="s">
        <v>10564</v>
      </c>
      <c r="C37" s="110" t="s">
        <v>5767</v>
      </c>
      <c r="D37" s="111">
        <v>7.85</v>
      </c>
    </row>
    <row r="38" spans="1:4" ht="25.5" x14ac:dyDescent="0.25">
      <c r="A38" s="106">
        <v>6188</v>
      </c>
      <c r="B38" s="108" t="s">
        <v>10565</v>
      </c>
      <c r="C38" s="110" t="s">
        <v>5757</v>
      </c>
      <c r="D38" s="111">
        <v>37.590000000000003</v>
      </c>
    </row>
    <row r="39" spans="1:4" ht="38.25" x14ac:dyDescent="0.25">
      <c r="A39" s="106">
        <v>4126</v>
      </c>
      <c r="B39" s="108" t="s">
        <v>5765</v>
      </c>
      <c r="C39" s="110" t="s">
        <v>5755</v>
      </c>
      <c r="D39" s="111">
        <v>201.22</v>
      </c>
    </row>
    <row r="40" spans="1:4" ht="25.5" x14ac:dyDescent="0.25">
      <c r="A40" s="106">
        <v>7287</v>
      </c>
      <c r="B40" s="108" t="s">
        <v>10566</v>
      </c>
      <c r="C40" s="110" t="s">
        <v>7771</v>
      </c>
      <c r="D40" s="111">
        <v>73.64</v>
      </c>
    </row>
    <row r="41" spans="1:4" x14ac:dyDescent="0.25">
      <c r="A41" s="106">
        <v>7347</v>
      </c>
      <c r="B41" s="108" t="s">
        <v>10567</v>
      </c>
      <c r="C41" s="110" t="s">
        <v>7771</v>
      </c>
      <c r="D41" s="111">
        <v>49.38</v>
      </c>
    </row>
    <row r="42" spans="1:4" ht="25.5" x14ac:dyDescent="0.25">
      <c r="A42" s="106">
        <v>7345</v>
      </c>
      <c r="B42" s="108" t="s">
        <v>10568</v>
      </c>
      <c r="C42" s="110" t="s">
        <v>5818</v>
      </c>
      <c r="D42" s="111">
        <v>17.77</v>
      </c>
    </row>
    <row r="43" spans="1:4" ht="25.5" x14ac:dyDescent="0.25">
      <c r="A43" s="106">
        <v>7344</v>
      </c>
      <c r="B43" s="108" t="s">
        <v>10568</v>
      </c>
      <c r="C43" s="110" t="s">
        <v>7771</v>
      </c>
      <c r="D43" s="111">
        <v>63.98</v>
      </c>
    </row>
    <row r="44" spans="1:4" ht="25.5" x14ac:dyDescent="0.25">
      <c r="A44" s="106">
        <v>40514</v>
      </c>
      <c r="B44" s="108" t="s">
        <v>10569</v>
      </c>
      <c r="C44" s="110" t="s">
        <v>5818</v>
      </c>
      <c r="D44" s="111">
        <v>21.8</v>
      </c>
    </row>
    <row r="45" spans="1:4" ht="25.5" x14ac:dyDescent="0.25">
      <c r="A45" s="106">
        <v>4487</v>
      </c>
      <c r="B45" s="108" t="s">
        <v>10570</v>
      </c>
      <c r="C45" s="110" t="s">
        <v>5767</v>
      </c>
      <c r="D45" s="111">
        <v>9.93</v>
      </c>
    </row>
    <row r="46" spans="1:4" ht="51" x14ac:dyDescent="0.25">
      <c r="A46" s="106">
        <v>11199</v>
      </c>
      <c r="B46" s="108" t="s">
        <v>10571</v>
      </c>
      <c r="C46" s="110" t="s">
        <v>5755</v>
      </c>
      <c r="D46" s="111">
        <v>898.01</v>
      </c>
    </row>
    <row r="47" spans="1:4" x14ac:dyDescent="0.25">
      <c r="A47" s="106">
        <v>4053</v>
      </c>
      <c r="B47" s="108" t="s">
        <v>10572</v>
      </c>
      <c r="C47" s="110" t="s">
        <v>7771</v>
      </c>
      <c r="D47" s="111">
        <v>55.54</v>
      </c>
    </row>
    <row r="48" spans="1:4" ht="25.5" x14ac:dyDescent="0.25">
      <c r="A48" s="106">
        <v>4056</v>
      </c>
      <c r="B48" s="108" t="s">
        <v>10573</v>
      </c>
      <c r="C48" s="110" t="s">
        <v>7771</v>
      </c>
      <c r="D48" s="111">
        <v>29.2</v>
      </c>
    </row>
    <row r="49" spans="1:4" ht="25.5" x14ac:dyDescent="0.25">
      <c r="A49" s="106">
        <v>21136</v>
      </c>
      <c r="B49" s="108" t="s">
        <v>5766</v>
      </c>
      <c r="C49" s="110" t="s">
        <v>5767</v>
      </c>
      <c r="D49" s="111">
        <v>11.95</v>
      </c>
    </row>
    <row r="50" spans="1:4" ht="25.5" x14ac:dyDescent="0.25">
      <c r="A50" s="106">
        <v>21128</v>
      </c>
      <c r="B50" s="108" t="s">
        <v>5768</v>
      </c>
      <c r="C50" s="110" t="s">
        <v>5767</v>
      </c>
      <c r="D50" s="111">
        <v>9.25</v>
      </c>
    </row>
    <row r="51" spans="1:4" ht="25.5" x14ac:dyDescent="0.25">
      <c r="A51" s="106">
        <v>21130</v>
      </c>
      <c r="B51" s="108" t="s">
        <v>5769</v>
      </c>
      <c r="C51" s="110" t="s">
        <v>5767</v>
      </c>
      <c r="D51" s="111">
        <v>23.36</v>
      </c>
    </row>
    <row r="52" spans="1:4" ht="25.5" x14ac:dyDescent="0.25">
      <c r="A52" s="106">
        <v>21135</v>
      </c>
      <c r="B52" s="108" t="s">
        <v>5770</v>
      </c>
      <c r="C52" s="110" t="s">
        <v>5767</v>
      </c>
      <c r="D52" s="111">
        <v>23</v>
      </c>
    </row>
    <row r="53" spans="1:4" ht="25.5" x14ac:dyDescent="0.25">
      <c r="A53" s="106">
        <v>38605</v>
      </c>
      <c r="B53" s="108" t="s">
        <v>5771</v>
      </c>
      <c r="C53" s="110" t="s">
        <v>5755</v>
      </c>
      <c r="D53" s="111">
        <v>124.38</v>
      </c>
    </row>
    <row r="54" spans="1:4" ht="25.5" x14ac:dyDescent="0.25">
      <c r="A54" s="106">
        <v>11270</v>
      </c>
      <c r="B54" s="108" t="s">
        <v>5772</v>
      </c>
      <c r="C54" s="110" t="s">
        <v>5755</v>
      </c>
      <c r="D54" s="111">
        <v>1.8</v>
      </c>
    </row>
    <row r="55" spans="1:4" ht="25.5" x14ac:dyDescent="0.25">
      <c r="A55" s="106">
        <v>412</v>
      </c>
      <c r="B55" s="108" t="s">
        <v>5773</v>
      </c>
      <c r="C55" s="110" t="s">
        <v>5755</v>
      </c>
      <c r="D55" s="111">
        <v>1.02</v>
      </c>
    </row>
    <row r="56" spans="1:4" ht="25.5" x14ac:dyDescent="0.25">
      <c r="A56" s="106">
        <v>414</v>
      </c>
      <c r="B56" s="108" t="s">
        <v>5774</v>
      </c>
      <c r="C56" s="110" t="s">
        <v>5755</v>
      </c>
      <c r="D56" s="111">
        <v>0.06</v>
      </c>
    </row>
    <row r="57" spans="1:4" ht="25.5" x14ac:dyDescent="0.25">
      <c r="A57" s="106">
        <v>410</v>
      </c>
      <c r="B57" s="108" t="s">
        <v>5775</v>
      </c>
      <c r="C57" s="110" t="s">
        <v>5755</v>
      </c>
      <c r="D57" s="111">
        <v>0.15</v>
      </c>
    </row>
    <row r="58" spans="1:4" ht="25.5" x14ac:dyDescent="0.25">
      <c r="A58" s="106">
        <v>411</v>
      </c>
      <c r="B58" s="108" t="s">
        <v>5776</v>
      </c>
      <c r="C58" s="110" t="s">
        <v>5755</v>
      </c>
      <c r="D58" s="111">
        <v>0.2</v>
      </c>
    </row>
    <row r="59" spans="1:4" ht="25.5" x14ac:dyDescent="0.25">
      <c r="A59" s="106">
        <v>408</v>
      </c>
      <c r="B59" s="108" t="s">
        <v>5777</v>
      </c>
      <c r="C59" s="110" t="s">
        <v>5755</v>
      </c>
      <c r="D59" s="111">
        <v>0.99</v>
      </c>
    </row>
    <row r="60" spans="1:4" ht="25.5" x14ac:dyDescent="0.25">
      <c r="A60" s="106">
        <v>39131</v>
      </c>
      <c r="B60" s="108" t="s">
        <v>5778</v>
      </c>
      <c r="C60" s="110" t="s">
        <v>5755</v>
      </c>
      <c r="D60" s="111">
        <v>2.7</v>
      </c>
    </row>
    <row r="61" spans="1:4" ht="25.5" x14ac:dyDescent="0.25">
      <c r="A61" s="106">
        <v>394</v>
      </c>
      <c r="B61" s="108" t="s">
        <v>5779</v>
      </c>
      <c r="C61" s="110" t="s">
        <v>5755</v>
      </c>
      <c r="D61" s="111">
        <v>2.74</v>
      </c>
    </row>
    <row r="62" spans="1:4" ht="25.5" x14ac:dyDescent="0.25">
      <c r="A62" s="106">
        <v>39130</v>
      </c>
      <c r="B62" s="108" t="s">
        <v>5780</v>
      </c>
      <c r="C62" s="110" t="s">
        <v>5755</v>
      </c>
      <c r="D62" s="111">
        <v>2.46</v>
      </c>
    </row>
    <row r="63" spans="1:4" ht="25.5" x14ac:dyDescent="0.25">
      <c r="A63" s="106">
        <v>395</v>
      </c>
      <c r="B63" s="108" t="s">
        <v>5781</v>
      </c>
      <c r="C63" s="110" t="s">
        <v>5755</v>
      </c>
      <c r="D63" s="111">
        <v>2.63</v>
      </c>
    </row>
    <row r="64" spans="1:4" ht="25.5" x14ac:dyDescent="0.25">
      <c r="A64" s="106">
        <v>39127</v>
      </c>
      <c r="B64" s="108" t="s">
        <v>5782</v>
      </c>
      <c r="C64" s="110" t="s">
        <v>5755</v>
      </c>
      <c r="D64" s="111">
        <v>1.3</v>
      </c>
    </row>
    <row r="65" spans="1:4" ht="25.5" x14ac:dyDescent="0.25">
      <c r="A65" s="106">
        <v>392</v>
      </c>
      <c r="B65" s="108" t="s">
        <v>5783</v>
      </c>
      <c r="C65" s="110" t="s">
        <v>5755</v>
      </c>
      <c r="D65" s="111">
        <v>1.33</v>
      </c>
    </row>
    <row r="66" spans="1:4" ht="25.5" x14ac:dyDescent="0.25">
      <c r="A66" s="106">
        <v>39129</v>
      </c>
      <c r="B66" s="108" t="s">
        <v>5784</v>
      </c>
      <c r="C66" s="110" t="s">
        <v>5755</v>
      </c>
      <c r="D66" s="111">
        <v>1.52</v>
      </c>
    </row>
    <row r="67" spans="1:4" ht="25.5" x14ac:dyDescent="0.25">
      <c r="A67" s="106">
        <v>393</v>
      </c>
      <c r="B67" s="108" t="s">
        <v>519</v>
      </c>
      <c r="C67" s="110" t="s">
        <v>5755</v>
      </c>
      <c r="D67" s="111">
        <v>1.59</v>
      </c>
    </row>
    <row r="68" spans="1:4" ht="25.5" x14ac:dyDescent="0.25">
      <c r="A68" s="106">
        <v>39133</v>
      </c>
      <c r="B68" s="108" t="s">
        <v>5785</v>
      </c>
      <c r="C68" s="110" t="s">
        <v>5755</v>
      </c>
      <c r="D68" s="111">
        <v>3.55</v>
      </c>
    </row>
    <row r="69" spans="1:4" ht="25.5" x14ac:dyDescent="0.25">
      <c r="A69" s="106">
        <v>397</v>
      </c>
      <c r="B69" s="108" t="s">
        <v>5786</v>
      </c>
      <c r="C69" s="110" t="s">
        <v>5755</v>
      </c>
      <c r="D69" s="111">
        <v>3.92</v>
      </c>
    </row>
    <row r="70" spans="1:4" ht="25.5" x14ac:dyDescent="0.25">
      <c r="A70" s="106">
        <v>39132</v>
      </c>
      <c r="B70" s="108" t="s">
        <v>5787</v>
      </c>
      <c r="C70" s="110" t="s">
        <v>5755</v>
      </c>
      <c r="D70" s="111">
        <v>2.84</v>
      </c>
    </row>
    <row r="71" spans="1:4" ht="25.5" x14ac:dyDescent="0.25">
      <c r="A71" s="106">
        <v>396</v>
      </c>
      <c r="B71" s="108" t="s">
        <v>5788</v>
      </c>
      <c r="C71" s="110" t="s">
        <v>5755</v>
      </c>
      <c r="D71" s="111">
        <v>3.04</v>
      </c>
    </row>
    <row r="72" spans="1:4" ht="25.5" x14ac:dyDescent="0.25">
      <c r="A72" s="106">
        <v>39135</v>
      </c>
      <c r="B72" s="108" t="s">
        <v>5789</v>
      </c>
      <c r="C72" s="110" t="s">
        <v>5755</v>
      </c>
      <c r="D72" s="111">
        <v>5.68</v>
      </c>
    </row>
    <row r="73" spans="1:4" ht="25.5" x14ac:dyDescent="0.25">
      <c r="A73" s="106">
        <v>39128</v>
      </c>
      <c r="B73" s="108" t="s">
        <v>514</v>
      </c>
      <c r="C73" s="110" t="s">
        <v>5755</v>
      </c>
      <c r="D73" s="111">
        <v>1.42</v>
      </c>
    </row>
    <row r="74" spans="1:4" ht="25.5" x14ac:dyDescent="0.25">
      <c r="A74" s="106">
        <v>400</v>
      </c>
      <c r="B74" s="108" t="s">
        <v>5790</v>
      </c>
      <c r="C74" s="110" t="s">
        <v>5755</v>
      </c>
      <c r="D74" s="111">
        <v>1.38</v>
      </c>
    </row>
    <row r="75" spans="1:4" ht="25.5" x14ac:dyDescent="0.25">
      <c r="A75" s="106">
        <v>39125</v>
      </c>
      <c r="B75" s="108" t="s">
        <v>5791</v>
      </c>
      <c r="C75" s="110" t="s">
        <v>5755</v>
      </c>
      <c r="D75" s="111">
        <v>1.42</v>
      </c>
    </row>
    <row r="76" spans="1:4" ht="25.5" x14ac:dyDescent="0.25">
      <c r="A76" s="106">
        <v>39134</v>
      </c>
      <c r="B76" s="108" t="s">
        <v>5792</v>
      </c>
      <c r="C76" s="110" t="s">
        <v>5755</v>
      </c>
      <c r="D76" s="111">
        <v>4.7300000000000004</v>
      </c>
    </row>
    <row r="77" spans="1:4" ht="25.5" x14ac:dyDescent="0.25">
      <c r="A77" s="106">
        <v>398</v>
      </c>
      <c r="B77" s="108" t="s">
        <v>5793</v>
      </c>
      <c r="C77" s="110" t="s">
        <v>5755</v>
      </c>
      <c r="D77" s="111">
        <v>4.3600000000000003</v>
      </c>
    </row>
    <row r="78" spans="1:4" ht="25.5" x14ac:dyDescent="0.25">
      <c r="A78" s="106">
        <v>39126</v>
      </c>
      <c r="B78" s="108" t="s">
        <v>5794</v>
      </c>
      <c r="C78" s="110" t="s">
        <v>5755</v>
      </c>
      <c r="D78" s="111">
        <v>6.39</v>
      </c>
    </row>
    <row r="79" spans="1:4" ht="25.5" x14ac:dyDescent="0.25">
      <c r="A79" s="106">
        <v>399</v>
      </c>
      <c r="B79" s="108" t="s">
        <v>5795</v>
      </c>
      <c r="C79" s="110" t="s">
        <v>5755</v>
      </c>
      <c r="D79" s="111">
        <v>5.63</v>
      </c>
    </row>
    <row r="80" spans="1:4" ht="25.5" x14ac:dyDescent="0.25">
      <c r="A80" s="106">
        <v>39158</v>
      </c>
      <c r="B80" s="108" t="s">
        <v>5796</v>
      </c>
      <c r="C80" s="110" t="s">
        <v>5755</v>
      </c>
      <c r="D80" s="111">
        <v>15.12</v>
      </c>
    </row>
    <row r="81" spans="1:4" ht="25.5" x14ac:dyDescent="0.25">
      <c r="A81" s="106">
        <v>39141</v>
      </c>
      <c r="B81" s="108" t="s">
        <v>5797</v>
      </c>
      <c r="C81" s="110" t="s">
        <v>5755</v>
      </c>
      <c r="D81" s="111">
        <v>1.0900000000000001</v>
      </c>
    </row>
    <row r="82" spans="1:4" ht="25.5" x14ac:dyDescent="0.25">
      <c r="A82" s="106">
        <v>39140</v>
      </c>
      <c r="B82" s="108" t="s">
        <v>5798</v>
      </c>
      <c r="C82" s="110" t="s">
        <v>5755</v>
      </c>
      <c r="D82" s="111">
        <v>0.99</v>
      </c>
    </row>
    <row r="83" spans="1:4" ht="25.5" x14ac:dyDescent="0.25">
      <c r="A83" s="106">
        <v>39137</v>
      </c>
      <c r="B83" s="108" t="s">
        <v>5799</v>
      </c>
      <c r="C83" s="110" t="s">
        <v>5755</v>
      </c>
      <c r="D83" s="111">
        <v>0.56999999999999995</v>
      </c>
    </row>
    <row r="84" spans="1:4" ht="25.5" x14ac:dyDescent="0.25">
      <c r="A84" s="106">
        <v>39139</v>
      </c>
      <c r="B84" s="108" t="s">
        <v>5800</v>
      </c>
      <c r="C84" s="110" t="s">
        <v>5755</v>
      </c>
      <c r="D84" s="111">
        <v>0.82</v>
      </c>
    </row>
    <row r="85" spans="1:4" ht="25.5" x14ac:dyDescent="0.25">
      <c r="A85" s="106">
        <v>39143</v>
      </c>
      <c r="B85" s="108" t="s">
        <v>5801</v>
      </c>
      <c r="C85" s="110" t="s">
        <v>5755</v>
      </c>
      <c r="D85" s="111">
        <v>2.2599999999999998</v>
      </c>
    </row>
    <row r="86" spans="1:4" ht="25.5" x14ac:dyDescent="0.25">
      <c r="A86" s="106">
        <v>39142</v>
      </c>
      <c r="B86" s="108" t="s">
        <v>5802</v>
      </c>
      <c r="C86" s="110" t="s">
        <v>5755</v>
      </c>
      <c r="D86" s="111">
        <v>1.62</v>
      </c>
    </row>
    <row r="87" spans="1:4" ht="25.5" x14ac:dyDescent="0.25">
      <c r="A87" s="106">
        <v>39138</v>
      </c>
      <c r="B87" s="108" t="s">
        <v>5803</v>
      </c>
      <c r="C87" s="110" t="s">
        <v>5755</v>
      </c>
      <c r="D87" s="111">
        <v>0.6</v>
      </c>
    </row>
    <row r="88" spans="1:4" ht="25.5" x14ac:dyDescent="0.25">
      <c r="A88" s="106">
        <v>39136</v>
      </c>
      <c r="B88" s="108" t="s">
        <v>5804</v>
      </c>
      <c r="C88" s="110" t="s">
        <v>5755</v>
      </c>
      <c r="D88" s="111">
        <v>0.4</v>
      </c>
    </row>
    <row r="89" spans="1:4" ht="25.5" x14ac:dyDescent="0.25">
      <c r="A89" s="106">
        <v>39144</v>
      </c>
      <c r="B89" s="108" t="s">
        <v>5805</v>
      </c>
      <c r="C89" s="110" t="s">
        <v>5755</v>
      </c>
      <c r="D89" s="111">
        <v>2.63</v>
      </c>
    </row>
    <row r="90" spans="1:4" ht="25.5" x14ac:dyDescent="0.25">
      <c r="A90" s="106">
        <v>39145</v>
      </c>
      <c r="B90" s="108" t="s">
        <v>5806</v>
      </c>
      <c r="C90" s="110" t="s">
        <v>5755</v>
      </c>
      <c r="D90" s="111">
        <v>4.34</v>
      </c>
    </row>
    <row r="91" spans="1:4" ht="25.5" x14ac:dyDescent="0.25">
      <c r="A91" s="106">
        <v>12615</v>
      </c>
      <c r="B91" s="108" t="s">
        <v>5807</v>
      </c>
      <c r="C91" s="110" t="s">
        <v>5755</v>
      </c>
      <c r="D91" s="111">
        <v>3.32</v>
      </c>
    </row>
    <row r="92" spans="1:4" ht="25.5" x14ac:dyDescent="0.25">
      <c r="A92" s="106">
        <v>11927</v>
      </c>
      <c r="B92" s="108" t="s">
        <v>5808</v>
      </c>
      <c r="C92" s="110" t="s">
        <v>5755</v>
      </c>
      <c r="D92" s="111">
        <v>5.37</v>
      </c>
    </row>
    <row r="93" spans="1:4" ht="25.5" x14ac:dyDescent="0.25">
      <c r="A93" s="106">
        <v>11928</v>
      </c>
      <c r="B93" s="108" t="s">
        <v>5809</v>
      </c>
      <c r="C93" s="110" t="s">
        <v>5755</v>
      </c>
      <c r="D93" s="111">
        <v>6.15</v>
      </c>
    </row>
    <row r="94" spans="1:4" ht="25.5" x14ac:dyDescent="0.25">
      <c r="A94" s="106">
        <v>11929</v>
      </c>
      <c r="B94" s="108" t="s">
        <v>5810</v>
      </c>
      <c r="C94" s="110" t="s">
        <v>5755</v>
      </c>
      <c r="D94" s="111">
        <v>9.52</v>
      </c>
    </row>
    <row r="95" spans="1:4" x14ac:dyDescent="0.25">
      <c r="A95" s="106">
        <v>36801</v>
      </c>
      <c r="B95" s="108" t="s">
        <v>5811</v>
      </c>
      <c r="C95" s="110" t="s">
        <v>5755</v>
      </c>
      <c r="D95" s="111">
        <v>21.44</v>
      </c>
    </row>
    <row r="96" spans="1:4" ht="25.5" x14ac:dyDescent="0.25">
      <c r="A96" s="106">
        <v>36246</v>
      </c>
      <c r="B96" s="108" t="s">
        <v>5812</v>
      </c>
      <c r="C96" s="110" t="s">
        <v>5767</v>
      </c>
      <c r="D96" s="111">
        <v>2.2799999999999998</v>
      </c>
    </row>
    <row r="97" spans="1:4" ht="25.5" x14ac:dyDescent="0.25">
      <c r="A97" s="106">
        <v>37600</v>
      </c>
      <c r="B97" s="108" t="s">
        <v>5813</v>
      </c>
      <c r="C97" s="110" t="s">
        <v>5755</v>
      </c>
      <c r="D97" s="111">
        <v>62.83</v>
      </c>
    </row>
    <row r="98" spans="1:4" ht="25.5" x14ac:dyDescent="0.25">
      <c r="A98" s="106">
        <v>37599</v>
      </c>
      <c r="B98" s="108" t="s">
        <v>5814</v>
      </c>
      <c r="C98" s="110" t="s">
        <v>5755</v>
      </c>
      <c r="D98" s="111">
        <v>58.48</v>
      </c>
    </row>
    <row r="99" spans="1:4" x14ac:dyDescent="0.25">
      <c r="A99" s="106">
        <v>1</v>
      </c>
      <c r="B99" s="108" t="s">
        <v>5815</v>
      </c>
      <c r="C99" s="110" t="s">
        <v>5816</v>
      </c>
      <c r="D99" s="111">
        <v>65.56</v>
      </c>
    </row>
    <row r="100" spans="1:4" x14ac:dyDescent="0.25">
      <c r="A100" s="106">
        <v>3</v>
      </c>
      <c r="B100" s="108" t="s">
        <v>5817</v>
      </c>
      <c r="C100" s="110" t="s">
        <v>5818</v>
      </c>
      <c r="D100" s="111">
        <v>4.99</v>
      </c>
    </row>
    <row r="101" spans="1:4" ht="25.5" x14ac:dyDescent="0.25">
      <c r="A101" s="106">
        <v>43054</v>
      </c>
      <c r="B101" s="108" t="s">
        <v>10574</v>
      </c>
      <c r="C101" s="110" t="s">
        <v>5816</v>
      </c>
      <c r="D101" s="111">
        <v>5.6</v>
      </c>
    </row>
    <row r="102" spans="1:4" x14ac:dyDescent="0.25">
      <c r="A102" s="106">
        <v>42402</v>
      </c>
      <c r="B102" s="108" t="s">
        <v>10575</v>
      </c>
      <c r="C102" s="110" t="s">
        <v>5816</v>
      </c>
      <c r="D102" s="111">
        <v>5.36</v>
      </c>
    </row>
    <row r="103" spans="1:4" x14ac:dyDescent="0.25">
      <c r="A103" s="106">
        <v>42403</v>
      </c>
      <c r="B103" s="108" t="s">
        <v>10576</v>
      </c>
      <c r="C103" s="110" t="s">
        <v>5816</v>
      </c>
      <c r="D103" s="111">
        <v>6.87</v>
      </c>
    </row>
    <row r="104" spans="1:4" x14ac:dyDescent="0.25">
      <c r="A104" s="106">
        <v>42404</v>
      </c>
      <c r="B104" s="108" t="s">
        <v>10577</v>
      </c>
      <c r="C104" s="110" t="s">
        <v>5816</v>
      </c>
      <c r="D104" s="111">
        <v>6.83</v>
      </c>
    </row>
    <row r="105" spans="1:4" x14ac:dyDescent="0.25">
      <c r="A105" s="106">
        <v>42405</v>
      </c>
      <c r="B105" s="108" t="s">
        <v>10578</v>
      </c>
      <c r="C105" s="110" t="s">
        <v>5816</v>
      </c>
      <c r="D105" s="111">
        <v>7.28</v>
      </c>
    </row>
    <row r="106" spans="1:4" x14ac:dyDescent="0.25">
      <c r="A106" s="106">
        <v>34341</v>
      </c>
      <c r="B106" s="108" t="s">
        <v>5819</v>
      </c>
      <c r="C106" s="110" t="s">
        <v>5816</v>
      </c>
      <c r="D106" s="111">
        <v>6.32</v>
      </c>
    </row>
    <row r="107" spans="1:4" x14ac:dyDescent="0.25">
      <c r="A107" s="106">
        <v>43053</v>
      </c>
      <c r="B107" s="108" t="s">
        <v>10579</v>
      </c>
      <c r="C107" s="110" t="s">
        <v>5816</v>
      </c>
      <c r="D107" s="111">
        <v>5.01</v>
      </c>
    </row>
    <row r="108" spans="1:4" ht="25.5" x14ac:dyDescent="0.25">
      <c r="A108" s="106">
        <v>43058</v>
      </c>
      <c r="B108" s="108" t="s">
        <v>10580</v>
      </c>
      <c r="C108" s="110" t="s">
        <v>5816</v>
      </c>
      <c r="D108" s="111">
        <v>5.19</v>
      </c>
    </row>
    <row r="109" spans="1:4" x14ac:dyDescent="0.25">
      <c r="A109" s="106">
        <v>34</v>
      </c>
      <c r="B109" s="108" t="s">
        <v>5820</v>
      </c>
      <c r="C109" s="110" t="s">
        <v>5816</v>
      </c>
      <c r="D109" s="111">
        <v>5.22</v>
      </c>
    </row>
    <row r="110" spans="1:4" x14ac:dyDescent="0.25">
      <c r="A110" s="106">
        <v>43055</v>
      </c>
      <c r="B110" s="108" t="s">
        <v>10581</v>
      </c>
      <c r="C110" s="110" t="s">
        <v>5816</v>
      </c>
      <c r="D110" s="111">
        <v>4.5199999999999996</v>
      </c>
    </row>
    <row r="111" spans="1:4" x14ac:dyDescent="0.25">
      <c r="A111" s="106">
        <v>43056</v>
      </c>
      <c r="B111" s="108" t="s">
        <v>10582</v>
      </c>
      <c r="C111" s="110" t="s">
        <v>5816</v>
      </c>
      <c r="D111" s="111">
        <v>5.21</v>
      </c>
    </row>
    <row r="112" spans="1:4" x14ac:dyDescent="0.25">
      <c r="A112" s="106">
        <v>43057</v>
      </c>
      <c r="B112" s="108" t="s">
        <v>10583</v>
      </c>
      <c r="C112" s="110" t="s">
        <v>5816</v>
      </c>
      <c r="D112" s="111">
        <v>5.72</v>
      </c>
    </row>
    <row r="113" spans="1:4" x14ac:dyDescent="0.25">
      <c r="A113" s="106">
        <v>34449</v>
      </c>
      <c r="B113" s="108" t="s">
        <v>5821</v>
      </c>
      <c r="C113" s="110" t="s">
        <v>5816</v>
      </c>
      <c r="D113" s="111">
        <v>6.12</v>
      </c>
    </row>
    <row r="114" spans="1:4" x14ac:dyDescent="0.25">
      <c r="A114" s="106">
        <v>32</v>
      </c>
      <c r="B114" s="108" t="s">
        <v>5822</v>
      </c>
      <c r="C114" s="110" t="s">
        <v>5816</v>
      </c>
      <c r="D114" s="111">
        <v>5.5</v>
      </c>
    </row>
    <row r="115" spans="1:4" x14ac:dyDescent="0.25">
      <c r="A115" s="106">
        <v>33</v>
      </c>
      <c r="B115" s="108" t="s">
        <v>5823</v>
      </c>
      <c r="C115" s="110" t="s">
        <v>5816</v>
      </c>
      <c r="D115" s="111">
        <v>5.53</v>
      </c>
    </row>
    <row r="116" spans="1:4" x14ac:dyDescent="0.25">
      <c r="A116" s="106">
        <v>43061</v>
      </c>
      <c r="B116" s="108" t="s">
        <v>10584</v>
      </c>
      <c r="C116" s="110" t="s">
        <v>5816</v>
      </c>
      <c r="D116" s="111">
        <v>5.17</v>
      </c>
    </row>
    <row r="117" spans="1:4" x14ac:dyDescent="0.25">
      <c r="A117" s="106">
        <v>43059</v>
      </c>
      <c r="B117" s="108" t="s">
        <v>10585</v>
      </c>
      <c r="C117" s="110" t="s">
        <v>5816</v>
      </c>
      <c r="D117" s="111">
        <v>4.9400000000000004</v>
      </c>
    </row>
    <row r="118" spans="1:4" x14ac:dyDescent="0.25">
      <c r="A118" s="106">
        <v>43062</v>
      </c>
      <c r="B118" s="108" t="s">
        <v>10586</v>
      </c>
      <c r="C118" s="110" t="s">
        <v>5816</v>
      </c>
      <c r="D118" s="111">
        <v>5.47</v>
      </c>
    </row>
    <row r="119" spans="1:4" x14ac:dyDescent="0.25">
      <c r="A119" s="106">
        <v>43060</v>
      </c>
      <c r="B119" s="108" t="s">
        <v>10587</v>
      </c>
      <c r="C119" s="110" t="s">
        <v>5816</v>
      </c>
      <c r="D119" s="111">
        <v>4.3</v>
      </c>
    </row>
    <row r="120" spans="1:4" ht="25.5" x14ac:dyDescent="0.25">
      <c r="A120" s="106">
        <v>20063</v>
      </c>
      <c r="B120" s="108" t="s">
        <v>5824</v>
      </c>
      <c r="C120" s="110" t="s">
        <v>5755</v>
      </c>
      <c r="D120" s="111">
        <v>3.3</v>
      </c>
    </row>
    <row r="121" spans="1:4" ht="25.5" x14ac:dyDescent="0.25">
      <c r="A121" s="106">
        <v>40410</v>
      </c>
      <c r="B121" s="108" t="s">
        <v>5825</v>
      </c>
      <c r="C121" s="110" t="s">
        <v>5755</v>
      </c>
      <c r="D121" s="111">
        <v>20.309999999999999</v>
      </c>
    </row>
    <row r="122" spans="1:4" ht="25.5" x14ac:dyDescent="0.25">
      <c r="A122" s="106">
        <v>40411</v>
      </c>
      <c r="B122" s="108" t="s">
        <v>5826</v>
      </c>
      <c r="C122" s="110" t="s">
        <v>5755</v>
      </c>
      <c r="D122" s="111">
        <v>22.04</v>
      </c>
    </row>
    <row r="123" spans="1:4" ht="25.5" x14ac:dyDescent="0.25">
      <c r="A123" s="106">
        <v>40412</v>
      </c>
      <c r="B123" s="108" t="s">
        <v>5827</v>
      </c>
      <c r="C123" s="110" t="s">
        <v>5755</v>
      </c>
      <c r="D123" s="111">
        <v>24.74</v>
      </c>
    </row>
    <row r="124" spans="1:4" x14ac:dyDescent="0.25">
      <c r="A124" s="106">
        <v>38838</v>
      </c>
      <c r="B124" s="108" t="s">
        <v>5828</v>
      </c>
      <c r="C124" s="110" t="s">
        <v>5755</v>
      </c>
      <c r="D124" s="111">
        <v>7.48</v>
      </c>
    </row>
    <row r="125" spans="1:4" x14ac:dyDescent="0.25">
      <c r="A125" s="106">
        <v>38839</v>
      </c>
      <c r="B125" s="108" t="s">
        <v>5829</v>
      </c>
      <c r="C125" s="110" t="s">
        <v>5755</v>
      </c>
      <c r="D125" s="111">
        <v>8.8000000000000007</v>
      </c>
    </row>
    <row r="126" spans="1:4" ht="25.5" x14ac:dyDescent="0.25">
      <c r="A126" s="106">
        <v>55</v>
      </c>
      <c r="B126" s="108" t="s">
        <v>5830</v>
      </c>
      <c r="C126" s="110" t="s">
        <v>5755</v>
      </c>
      <c r="D126" s="111">
        <v>3.8</v>
      </c>
    </row>
    <row r="127" spans="1:4" ht="25.5" x14ac:dyDescent="0.25">
      <c r="A127" s="106">
        <v>61</v>
      </c>
      <c r="B127" s="108" t="s">
        <v>5831</v>
      </c>
      <c r="C127" s="110" t="s">
        <v>5755</v>
      </c>
      <c r="D127" s="111">
        <v>3.59</v>
      </c>
    </row>
    <row r="128" spans="1:4" ht="25.5" x14ac:dyDescent="0.25">
      <c r="A128" s="106">
        <v>62</v>
      </c>
      <c r="B128" s="108" t="s">
        <v>5832</v>
      </c>
      <c r="C128" s="110" t="s">
        <v>5755</v>
      </c>
      <c r="D128" s="111">
        <v>7.45</v>
      </c>
    </row>
    <row r="129" spans="1:4" ht="25.5" x14ac:dyDescent="0.25">
      <c r="A129" s="106">
        <v>77</v>
      </c>
      <c r="B129" s="108" t="s">
        <v>5833</v>
      </c>
      <c r="C129" s="110" t="s">
        <v>5755</v>
      </c>
      <c r="D129" s="111">
        <v>0.86</v>
      </c>
    </row>
    <row r="130" spans="1:4" x14ac:dyDescent="0.25">
      <c r="A130" s="106">
        <v>76</v>
      </c>
      <c r="B130" s="108" t="s">
        <v>5834</v>
      </c>
      <c r="C130" s="110" t="s">
        <v>5755</v>
      </c>
      <c r="D130" s="111">
        <v>0.88</v>
      </c>
    </row>
    <row r="131" spans="1:4" ht="25.5" x14ac:dyDescent="0.25">
      <c r="A131" s="106">
        <v>67</v>
      </c>
      <c r="B131" s="108" t="s">
        <v>5835</v>
      </c>
      <c r="C131" s="110" t="s">
        <v>5755</v>
      </c>
      <c r="D131" s="111">
        <v>8.48</v>
      </c>
    </row>
    <row r="132" spans="1:4" ht="25.5" x14ac:dyDescent="0.25">
      <c r="A132" s="106">
        <v>71</v>
      </c>
      <c r="B132" s="108" t="s">
        <v>5836</v>
      </c>
      <c r="C132" s="110" t="s">
        <v>5755</v>
      </c>
      <c r="D132" s="111">
        <v>15.59</v>
      </c>
    </row>
    <row r="133" spans="1:4" ht="25.5" x14ac:dyDescent="0.25">
      <c r="A133" s="106">
        <v>73</v>
      </c>
      <c r="B133" s="108" t="s">
        <v>5837</v>
      </c>
      <c r="C133" s="110" t="s">
        <v>5755</v>
      </c>
      <c r="D133" s="111">
        <v>11.64</v>
      </c>
    </row>
    <row r="134" spans="1:4" ht="25.5" x14ac:dyDescent="0.25">
      <c r="A134" s="106">
        <v>103</v>
      </c>
      <c r="B134" s="108" t="s">
        <v>5838</v>
      </c>
      <c r="C134" s="110" t="s">
        <v>5755</v>
      </c>
      <c r="D134" s="111">
        <v>34.619999999999997</v>
      </c>
    </row>
    <row r="135" spans="1:4" ht="25.5" x14ac:dyDescent="0.25">
      <c r="A135" s="106">
        <v>107</v>
      </c>
      <c r="B135" s="108" t="s">
        <v>5839</v>
      </c>
      <c r="C135" s="110" t="s">
        <v>5755</v>
      </c>
      <c r="D135" s="111">
        <v>0.54</v>
      </c>
    </row>
    <row r="136" spans="1:4" ht="25.5" x14ac:dyDescent="0.25">
      <c r="A136" s="106">
        <v>65</v>
      </c>
      <c r="B136" s="108" t="s">
        <v>5840</v>
      </c>
      <c r="C136" s="110" t="s">
        <v>5755</v>
      </c>
      <c r="D136" s="111">
        <v>0.67</v>
      </c>
    </row>
    <row r="137" spans="1:4" ht="25.5" x14ac:dyDescent="0.25">
      <c r="A137" s="106">
        <v>108</v>
      </c>
      <c r="B137" s="108" t="s">
        <v>5841</v>
      </c>
      <c r="C137" s="110" t="s">
        <v>5755</v>
      </c>
      <c r="D137" s="111">
        <v>1.38</v>
      </c>
    </row>
    <row r="138" spans="1:4" ht="25.5" x14ac:dyDescent="0.25">
      <c r="A138" s="106">
        <v>110</v>
      </c>
      <c r="B138" s="108" t="s">
        <v>5842</v>
      </c>
      <c r="C138" s="110" t="s">
        <v>5755</v>
      </c>
      <c r="D138" s="111">
        <v>5.34</v>
      </c>
    </row>
    <row r="139" spans="1:4" ht="25.5" x14ac:dyDescent="0.25">
      <c r="A139" s="106">
        <v>109</v>
      </c>
      <c r="B139" s="108" t="s">
        <v>5843</v>
      </c>
      <c r="C139" s="110" t="s">
        <v>5755</v>
      </c>
      <c r="D139" s="111">
        <v>2.63</v>
      </c>
    </row>
    <row r="140" spans="1:4" ht="25.5" x14ac:dyDescent="0.25">
      <c r="A140" s="106">
        <v>111</v>
      </c>
      <c r="B140" s="108" t="s">
        <v>5844</v>
      </c>
      <c r="C140" s="110" t="s">
        <v>5755</v>
      </c>
      <c r="D140" s="111">
        <v>6.16</v>
      </c>
    </row>
    <row r="141" spans="1:4" ht="25.5" x14ac:dyDescent="0.25">
      <c r="A141" s="106">
        <v>112</v>
      </c>
      <c r="B141" s="108" t="s">
        <v>5845</v>
      </c>
      <c r="C141" s="110" t="s">
        <v>5755</v>
      </c>
      <c r="D141" s="111">
        <v>3.35</v>
      </c>
    </row>
    <row r="142" spans="1:4" ht="25.5" x14ac:dyDescent="0.25">
      <c r="A142" s="106">
        <v>113</v>
      </c>
      <c r="B142" s="108" t="s">
        <v>5846</v>
      </c>
      <c r="C142" s="110" t="s">
        <v>5755</v>
      </c>
      <c r="D142" s="111">
        <v>9.1</v>
      </c>
    </row>
    <row r="143" spans="1:4" ht="25.5" x14ac:dyDescent="0.25">
      <c r="A143" s="106">
        <v>104</v>
      </c>
      <c r="B143" s="108" t="s">
        <v>5847</v>
      </c>
      <c r="C143" s="110" t="s">
        <v>5755</v>
      </c>
      <c r="D143" s="111">
        <v>13.24</v>
      </c>
    </row>
    <row r="144" spans="1:4" ht="25.5" x14ac:dyDescent="0.25">
      <c r="A144" s="106">
        <v>102</v>
      </c>
      <c r="B144" s="108" t="s">
        <v>5848</v>
      </c>
      <c r="C144" s="110" t="s">
        <v>5755</v>
      </c>
      <c r="D144" s="111">
        <v>21.74</v>
      </c>
    </row>
    <row r="145" spans="1:4" ht="25.5" x14ac:dyDescent="0.25">
      <c r="A145" s="106">
        <v>95</v>
      </c>
      <c r="B145" s="108" t="s">
        <v>5849</v>
      </c>
      <c r="C145" s="110" t="s">
        <v>5755</v>
      </c>
      <c r="D145" s="111">
        <v>7.36</v>
      </c>
    </row>
    <row r="146" spans="1:4" ht="25.5" x14ac:dyDescent="0.25">
      <c r="A146" s="106">
        <v>96</v>
      </c>
      <c r="B146" s="108" t="s">
        <v>5850</v>
      </c>
      <c r="C146" s="110" t="s">
        <v>5755</v>
      </c>
      <c r="D146" s="111">
        <v>8.4600000000000009</v>
      </c>
    </row>
    <row r="147" spans="1:4" ht="25.5" x14ac:dyDescent="0.25">
      <c r="A147" s="106">
        <v>97</v>
      </c>
      <c r="B147" s="108" t="s">
        <v>5851</v>
      </c>
      <c r="C147" s="110" t="s">
        <v>5755</v>
      </c>
      <c r="D147" s="111">
        <v>10.99</v>
      </c>
    </row>
    <row r="148" spans="1:4" ht="25.5" x14ac:dyDescent="0.25">
      <c r="A148" s="106">
        <v>98</v>
      </c>
      <c r="B148" s="108" t="s">
        <v>5852</v>
      </c>
      <c r="C148" s="110" t="s">
        <v>5755</v>
      </c>
      <c r="D148" s="111">
        <v>14.81</v>
      </c>
    </row>
    <row r="149" spans="1:4" ht="25.5" x14ac:dyDescent="0.25">
      <c r="A149" s="106">
        <v>99</v>
      </c>
      <c r="B149" s="108" t="s">
        <v>5853</v>
      </c>
      <c r="C149" s="110" t="s">
        <v>5755</v>
      </c>
      <c r="D149" s="111">
        <v>17.97</v>
      </c>
    </row>
    <row r="150" spans="1:4" ht="25.5" x14ac:dyDescent="0.25">
      <c r="A150" s="106">
        <v>100</v>
      </c>
      <c r="B150" s="108" t="s">
        <v>5854</v>
      </c>
      <c r="C150" s="110" t="s">
        <v>5755</v>
      </c>
      <c r="D150" s="111">
        <v>25.07</v>
      </c>
    </row>
    <row r="151" spans="1:4" ht="25.5" x14ac:dyDescent="0.25">
      <c r="A151" s="106">
        <v>75</v>
      </c>
      <c r="B151" s="108" t="s">
        <v>5855</v>
      </c>
      <c r="C151" s="110" t="s">
        <v>5755</v>
      </c>
      <c r="D151" s="111">
        <v>261.26</v>
      </c>
    </row>
    <row r="152" spans="1:4" ht="25.5" x14ac:dyDescent="0.25">
      <c r="A152" s="106">
        <v>114</v>
      </c>
      <c r="B152" s="108" t="s">
        <v>5856</v>
      </c>
      <c r="C152" s="110" t="s">
        <v>5755</v>
      </c>
      <c r="D152" s="111">
        <v>9.52</v>
      </c>
    </row>
    <row r="153" spans="1:4" ht="25.5" x14ac:dyDescent="0.25">
      <c r="A153" s="106">
        <v>68</v>
      </c>
      <c r="B153" s="108" t="s">
        <v>5857</v>
      </c>
      <c r="C153" s="110" t="s">
        <v>5755</v>
      </c>
      <c r="D153" s="111">
        <v>14.56</v>
      </c>
    </row>
    <row r="154" spans="1:4" ht="25.5" x14ac:dyDescent="0.25">
      <c r="A154" s="106">
        <v>86</v>
      </c>
      <c r="B154" s="108" t="s">
        <v>5858</v>
      </c>
      <c r="C154" s="110" t="s">
        <v>5755</v>
      </c>
      <c r="D154" s="111">
        <v>27.06</v>
      </c>
    </row>
    <row r="155" spans="1:4" ht="25.5" x14ac:dyDescent="0.25">
      <c r="A155" s="106">
        <v>66</v>
      </c>
      <c r="B155" s="108" t="s">
        <v>5859</v>
      </c>
      <c r="C155" s="110" t="s">
        <v>5755</v>
      </c>
      <c r="D155" s="111">
        <v>27.16</v>
      </c>
    </row>
    <row r="156" spans="1:4" ht="25.5" x14ac:dyDescent="0.25">
      <c r="A156" s="106">
        <v>69</v>
      </c>
      <c r="B156" s="108" t="s">
        <v>5860</v>
      </c>
      <c r="C156" s="110" t="s">
        <v>5755</v>
      </c>
      <c r="D156" s="111">
        <v>41.51</v>
      </c>
    </row>
    <row r="157" spans="1:4" ht="25.5" x14ac:dyDescent="0.25">
      <c r="A157" s="106">
        <v>83</v>
      </c>
      <c r="B157" s="108" t="s">
        <v>5861</v>
      </c>
      <c r="C157" s="110" t="s">
        <v>5755</v>
      </c>
      <c r="D157" s="111">
        <v>132.59</v>
      </c>
    </row>
    <row r="158" spans="1:4" ht="25.5" x14ac:dyDescent="0.25">
      <c r="A158" s="106">
        <v>74</v>
      </c>
      <c r="B158" s="108" t="s">
        <v>5862</v>
      </c>
      <c r="C158" s="110" t="s">
        <v>5755</v>
      </c>
      <c r="D158" s="111">
        <v>185.11</v>
      </c>
    </row>
    <row r="159" spans="1:4" ht="25.5" x14ac:dyDescent="0.25">
      <c r="A159" s="106">
        <v>106</v>
      </c>
      <c r="B159" s="108" t="s">
        <v>5863</v>
      </c>
      <c r="C159" s="110" t="s">
        <v>5755</v>
      </c>
      <c r="D159" s="111">
        <v>281.20999999999998</v>
      </c>
    </row>
    <row r="160" spans="1:4" ht="25.5" x14ac:dyDescent="0.25">
      <c r="A160" s="106">
        <v>87</v>
      </c>
      <c r="B160" s="108" t="s">
        <v>5864</v>
      </c>
      <c r="C160" s="110" t="s">
        <v>5755</v>
      </c>
      <c r="D160" s="111">
        <v>13.36</v>
      </c>
    </row>
    <row r="161" spans="1:4" ht="25.5" x14ac:dyDescent="0.25">
      <c r="A161" s="106">
        <v>88</v>
      </c>
      <c r="B161" s="108" t="s">
        <v>5865</v>
      </c>
      <c r="C161" s="110" t="s">
        <v>5755</v>
      </c>
      <c r="D161" s="111">
        <v>14.91</v>
      </c>
    </row>
    <row r="162" spans="1:4" ht="25.5" x14ac:dyDescent="0.25">
      <c r="A162" s="106">
        <v>89</v>
      </c>
      <c r="B162" s="108" t="s">
        <v>5866</v>
      </c>
      <c r="C162" s="110" t="s">
        <v>5755</v>
      </c>
      <c r="D162" s="111">
        <v>22.05</v>
      </c>
    </row>
    <row r="163" spans="1:4" ht="25.5" x14ac:dyDescent="0.25">
      <c r="A163" s="106">
        <v>90</v>
      </c>
      <c r="B163" s="108" t="s">
        <v>5867</v>
      </c>
      <c r="C163" s="110" t="s">
        <v>5755</v>
      </c>
      <c r="D163" s="111">
        <v>25.27</v>
      </c>
    </row>
    <row r="164" spans="1:4" ht="25.5" x14ac:dyDescent="0.25">
      <c r="A164" s="106">
        <v>81</v>
      </c>
      <c r="B164" s="108" t="s">
        <v>5868</v>
      </c>
      <c r="C164" s="110" t="s">
        <v>5755</v>
      </c>
      <c r="D164" s="111">
        <v>43.22</v>
      </c>
    </row>
    <row r="165" spans="1:4" ht="25.5" x14ac:dyDescent="0.25">
      <c r="A165" s="106">
        <v>82</v>
      </c>
      <c r="B165" s="108" t="s">
        <v>5869</v>
      </c>
      <c r="C165" s="110" t="s">
        <v>5755</v>
      </c>
      <c r="D165" s="111">
        <v>167.79</v>
      </c>
    </row>
    <row r="166" spans="1:4" ht="25.5" x14ac:dyDescent="0.25">
      <c r="A166" s="106">
        <v>105</v>
      </c>
      <c r="B166" s="108" t="s">
        <v>5870</v>
      </c>
      <c r="C166" s="110" t="s">
        <v>5755</v>
      </c>
      <c r="D166" s="111">
        <v>196.44</v>
      </c>
    </row>
    <row r="167" spans="1:4" ht="25.5" x14ac:dyDescent="0.25">
      <c r="A167" s="106">
        <v>60</v>
      </c>
      <c r="B167" s="108" t="s">
        <v>5871</v>
      </c>
      <c r="C167" s="110" t="s">
        <v>5755</v>
      </c>
      <c r="D167" s="111">
        <v>4.93</v>
      </c>
    </row>
    <row r="168" spans="1:4" ht="25.5" x14ac:dyDescent="0.25">
      <c r="A168" s="106">
        <v>72</v>
      </c>
      <c r="B168" s="108" t="s">
        <v>5872</v>
      </c>
      <c r="C168" s="110" t="s">
        <v>5755</v>
      </c>
      <c r="D168" s="111">
        <v>26.42</v>
      </c>
    </row>
    <row r="169" spans="1:4" ht="25.5" x14ac:dyDescent="0.25">
      <c r="A169" s="106">
        <v>70</v>
      </c>
      <c r="B169" s="108" t="s">
        <v>5873</v>
      </c>
      <c r="C169" s="110" t="s">
        <v>5755</v>
      </c>
      <c r="D169" s="111">
        <v>22.09</v>
      </c>
    </row>
    <row r="170" spans="1:4" ht="25.5" x14ac:dyDescent="0.25">
      <c r="A170" s="106">
        <v>85</v>
      </c>
      <c r="B170" s="108" t="s">
        <v>5874</v>
      </c>
      <c r="C170" s="110" t="s">
        <v>5755</v>
      </c>
      <c r="D170" s="111">
        <v>32.07</v>
      </c>
    </row>
    <row r="171" spans="1:4" x14ac:dyDescent="0.25">
      <c r="A171" s="106">
        <v>84</v>
      </c>
      <c r="B171" s="108" t="s">
        <v>5875</v>
      </c>
      <c r="C171" s="110" t="s">
        <v>5755</v>
      </c>
      <c r="D171" s="111">
        <v>0.37</v>
      </c>
    </row>
    <row r="172" spans="1:4" x14ac:dyDescent="0.25">
      <c r="A172" s="106">
        <v>37997</v>
      </c>
      <c r="B172" s="108" t="s">
        <v>5876</v>
      </c>
      <c r="C172" s="110" t="s">
        <v>5755</v>
      </c>
      <c r="D172" s="111">
        <v>7.82</v>
      </c>
    </row>
    <row r="173" spans="1:4" x14ac:dyDescent="0.25">
      <c r="A173" s="106">
        <v>37998</v>
      </c>
      <c r="B173" s="108" t="s">
        <v>5877</v>
      </c>
      <c r="C173" s="110" t="s">
        <v>5755</v>
      </c>
      <c r="D173" s="111">
        <v>8.11</v>
      </c>
    </row>
    <row r="174" spans="1:4" ht="25.5" x14ac:dyDescent="0.25">
      <c r="A174" s="106">
        <v>10899</v>
      </c>
      <c r="B174" s="108" t="s">
        <v>5878</v>
      </c>
      <c r="C174" s="110" t="s">
        <v>5755</v>
      </c>
      <c r="D174" s="111">
        <v>57.06</v>
      </c>
    </row>
    <row r="175" spans="1:4" ht="25.5" x14ac:dyDescent="0.25">
      <c r="A175" s="106">
        <v>10900</v>
      </c>
      <c r="B175" s="108" t="s">
        <v>5879</v>
      </c>
      <c r="C175" s="110" t="s">
        <v>5755</v>
      </c>
      <c r="D175" s="111">
        <v>44.66</v>
      </c>
    </row>
    <row r="176" spans="1:4" x14ac:dyDescent="0.25">
      <c r="A176" s="106">
        <v>46</v>
      </c>
      <c r="B176" s="108" t="s">
        <v>5880</v>
      </c>
      <c r="C176" s="110" t="s">
        <v>5755</v>
      </c>
      <c r="D176" s="111">
        <v>34.96</v>
      </c>
    </row>
    <row r="177" spans="1:4" x14ac:dyDescent="0.25">
      <c r="A177" s="106">
        <v>51</v>
      </c>
      <c r="B177" s="108" t="s">
        <v>5881</v>
      </c>
      <c r="C177" s="110" t="s">
        <v>5755</v>
      </c>
      <c r="D177" s="111">
        <v>96.45</v>
      </c>
    </row>
    <row r="178" spans="1:4" x14ac:dyDescent="0.25">
      <c r="A178" s="106">
        <v>12863</v>
      </c>
      <c r="B178" s="108" t="s">
        <v>5882</v>
      </c>
      <c r="C178" s="110" t="s">
        <v>5755</v>
      </c>
      <c r="D178" s="111">
        <v>22.21</v>
      </c>
    </row>
    <row r="179" spans="1:4" x14ac:dyDescent="0.25">
      <c r="A179" s="106">
        <v>50</v>
      </c>
      <c r="B179" s="108" t="s">
        <v>5883</v>
      </c>
      <c r="C179" s="110" t="s">
        <v>5755</v>
      </c>
      <c r="D179" s="111">
        <v>50.36</v>
      </c>
    </row>
    <row r="180" spans="1:4" x14ac:dyDescent="0.25">
      <c r="A180" s="106">
        <v>47</v>
      </c>
      <c r="B180" s="108" t="s">
        <v>5884</v>
      </c>
      <c r="C180" s="110" t="s">
        <v>5755</v>
      </c>
      <c r="D180" s="111">
        <v>59.78</v>
      </c>
    </row>
    <row r="181" spans="1:4" x14ac:dyDescent="0.25">
      <c r="A181" s="106">
        <v>48</v>
      </c>
      <c r="B181" s="108" t="s">
        <v>5885</v>
      </c>
      <c r="C181" s="110" t="s">
        <v>5755</v>
      </c>
      <c r="D181" s="111">
        <v>15.59</v>
      </c>
    </row>
    <row r="182" spans="1:4" x14ac:dyDescent="0.25">
      <c r="A182" s="106">
        <v>52</v>
      </c>
      <c r="B182" s="108" t="s">
        <v>5886</v>
      </c>
      <c r="C182" s="110" t="s">
        <v>5755</v>
      </c>
      <c r="D182" s="111">
        <v>11.84</v>
      </c>
    </row>
    <row r="183" spans="1:4" x14ac:dyDescent="0.25">
      <c r="A183" s="106">
        <v>43</v>
      </c>
      <c r="B183" s="108" t="s">
        <v>5887</v>
      </c>
      <c r="C183" s="110" t="s">
        <v>5755</v>
      </c>
      <c r="D183" s="111">
        <v>39.979999999999997</v>
      </c>
    </row>
    <row r="184" spans="1:4" x14ac:dyDescent="0.25">
      <c r="A184" s="106">
        <v>4791</v>
      </c>
      <c r="B184" s="108" t="s">
        <v>416</v>
      </c>
      <c r="C184" s="110" t="s">
        <v>5816</v>
      </c>
      <c r="D184" s="111">
        <v>12.52</v>
      </c>
    </row>
    <row r="185" spans="1:4" ht="25.5" x14ac:dyDescent="0.25">
      <c r="A185" s="106">
        <v>157</v>
      </c>
      <c r="B185" s="108" t="s">
        <v>5888</v>
      </c>
      <c r="C185" s="110" t="s">
        <v>5816</v>
      </c>
      <c r="D185" s="111">
        <v>104.91</v>
      </c>
    </row>
    <row r="186" spans="1:4" x14ac:dyDescent="0.25">
      <c r="A186" s="106">
        <v>156</v>
      </c>
      <c r="B186" s="108" t="s">
        <v>5889</v>
      </c>
      <c r="C186" s="110" t="s">
        <v>5816</v>
      </c>
      <c r="D186" s="111">
        <v>37.35</v>
      </c>
    </row>
    <row r="187" spans="1:4" ht="25.5" x14ac:dyDescent="0.25">
      <c r="A187" s="106">
        <v>131</v>
      </c>
      <c r="B187" s="108" t="s">
        <v>5890</v>
      </c>
      <c r="C187" s="110" t="s">
        <v>5816</v>
      </c>
      <c r="D187" s="111">
        <v>31.94</v>
      </c>
    </row>
    <row r="188" spans="1:4" ht="25.5" x14ac:dyDescent="0.25">
      <c r="A188" s="106">
        <v>39719</v>
      </c>
      <c r="B188" s="108" t="s">
        <v>706</v>
      </c>
      <c r="C188" s="110" t="s">
        <v>5818</v>
      </c>
      <c r="D188" s="111">
        <v>108.01</v>
      </c>
    </row>
    <row r="189" spans="1:4" x14ac:dyDescent="0.25">
      <c r="A189" s="106">
        <v>21114</v>
      </c>
      <c r="B189" s="108" t="s">
        <v>5891</v>
      </c>
      <c r="C189" s="110" t="s">
        <v>5755</v>
      </c>
      <c r="D189" s="111">
        <v>23.14</v>
      </c>
    </row>
    <row r="190" spans="1:4" x14ac:dyDescent="0.25">
      <c r="A190" s="106">
        <v>119</v>
      </c>
      <c r="B190" s="108" t="s">
        <v>5892</v>
      </c>
      <c r="C190" s="110" t="s">
        <v>5755</v>
      </c>
      <c r="D190" s="111">
        <v>9.1300000000000008</v>
      </c>
    </row>
    <row r="191" spans="1:4" x14ac:dyDescent="0.25">
      <c r="A191" s="106">
        <v>20080</v>
      </c>
      <c r="B191" s="108" t="s">
        <v>567</v>
      </c>
      <c r="C191" s="110" t="s">
        <v>5755</v>
      </c>
      <c r="D191" s="111">
        <v>26.17</v>
      </c>
    </row>
    <row r="192" spans="1:4" x14ac:dyDescent="0.25">
      <c r="A192" s="106">
        <v>122</v>
      </c>
      <c r="B192" s="108" t="s">
        <v>410</v>
      </c>
      <c r="C192" s="110" t="s">
        <v>5755</v>
      </c>
      <c r="D192" s="111">
        <v>82.47</v>
      </c>
    </row>
    <row r="193" spans="1:4" x14ac:dyDescent="0.25">
      <c r="A193" s="106">
        <v>3410</v>
      </c>
      <c r="B193" s="108" t="s">
        <v>5893</v>
      </c>
      <c r="C193" s="110" t="s">
        <v>5816</v>
      </c>
      <c r="D193" s="111">
        <v>19.72</v>
      </c>
    </row>
    <row r="194" spans="1:4" ht="25.5" x14ac:dyDescent="0.25">
      <c r="A194" s="106">
        <v>124</v>
      </c>
      <c r="B194" s="108" t="s">
        <v>10588</v>
      </c>
      <c r="C194" s="110" t="s">
        <v>5818</v>
      </c>
      <c r="D194" s="111">
        <v>12.32</v>
      </c>
    </row>
    <row r="195" spans="1:4" ht="25.5" x14ac:dyDescent="0.25">
      <c r="A195" s="106">
        <v>7334</v>
      </c>
      <c r="B195" s="108" t="s">
        <v>5894</v>
      </c>
      <c r="C195" s="110" t="s">
        <v>5818</v>
      </c>
      <c r="D195" s="111">
        <v>7.75</v>
      </c>
    </row>
    <row r="196" spans="1:4" ht="25.5" x14ac:dyDescent="0.25">
      <c r="A196" s="106">
        <v>123</v>
      </c>
      <c r="B196" s="108" t="s">
        <v>10589</v>
      </c>
      <c r="C196" s="110" t="s">
        <v>5818</v>
      </c>
      <c r="D196" s="111">
        <v>5.04</v>
      </c>
    </row>
    <row r="197" spans="1:4" ht="25.5" x14ac:dyDescent="0.25">
      <c r="A197" s="106">
        <v>127</v>
      </c>
      <c r="B197" s="108" t="s">
        <v>10590</v>
      </c>
      <c r="C197" s="110" t="s">
        <v>5818</v>
      </c>
      <c r="D197" s="111">
        <v>12.03</v>
      </c>
    </row>
    <row r="198" spans="1:4" x14ac:dyDescent="0.25">
      <c r="A198" s="106">
        <v>41373</v>
      </c>
      <c r="B198" s="108" t="s">
        <v>10591</v>
      </c>
      <c r="C198" s="110" t="s">
        <v>5818</v>
      </c>
      <c r="D198" s="111">
        <v>16.760000000000002</v>
      </c>
    </row>
    <row r="199" spans="1:4" ht="25.5" x14ac:dyDescent="0.25">
      <c r="A199" s="106">
        <v>133</v>
      </c>
      <c r="B199" s="108" t="s">
        <v>10592</v>
      </c>
      <c r="C199" s="110" t="s">
        <v>5818</v>
      </c>
      <c r="D199" s="111">
        <v>4.99</v>
      </c>
    </row>
    <row r="200" spans="1:4" ht="25.5" x14ac:dyDescent="0.25">
      <c r="A200" s="106">
        <v>43617</v>
      </c>
      <c r="B200" s="108" t="s">
        <v>10593</v>
      </c>
      <c r="C200" s="110" t="s">
        <v>5818</v>
      </c>
      <c r="D200" s="111">
        <v>5.58</v>
      </c>
    </row>
    <row r="201" spans="1:4" ht="25.5" x14ac:dyDescent="0.25">
      <c r="A201" s="106">
        <v>132</v>
      </c>
      <c r="B201" s="108" t="s">
        <v>10594</v>
      </c>
      <c r="C201" s="110" t="s">
        <v>5818</v>
      </c>
      <c r="D201" s="111">
        <v>5.18</v>
      </c>
    </row>
    <row r="202" spans="1:4" ht="25.5" x14ac:dyDescent="0.25">
      <c r="A202" s="106">
        <v>43618</v>
      </c>
      <c r="B202" s="108" t="s">
        <v>10595</v>
      </c>
      <c r="C202" s="110" t="s">
        <v>5816</v>
      </c>
      <c r="D202" s="111">
        <v>13.04</v>
      </c>
    </row>
    <row r="203" spans="1:4" ht="25.5" x14ac:dyDescent="0.25">
      <c r="A203" s="106">
        <v>37476</v>
      </c>
      <c r="B203" s="108" t="s">
        <v>5896</v>
      </c>
      <c r="C203" s="110" t="s">
        <v>5755</v>
      </c>
      <c r="D203" s="111">
        <v>1891.44</v>
      </c>
    </row>
    <row r="204" spans="1:4" ht="25.5" x14ac:dyDescent="0.25">
      <c r="A204" s="106">
        <v>37478</v>
      </c>
      <c r="B204" s="108" t="s">
        <v>5897</v>
      </c>
      <c r="C204" s="110" t="s">
        <v>5755</v>
      </c>
      <c r="D204" s="111">
        <v>2675.89</v>
      </c>
    </row>
    <row r="205" spans="1:4" ht="25.5" x14ac:dyDescent="0.25">
      <c r="A205" s="106">
        <v>37477</v>
      </c>
      <c r="B205" s="108" t="s">
        <v>5898</v>
      </c>
      <c r="C205" s="110" t="s">
        <v>5755</v>
      </c>
      <c r="D205" s="111">
        <v>3274.34</v>
      </c>
    </row>
    <row r="206" spans="1:4" ht="25.5" x14ac:dyDescent="0.25">
      <c r="A206" s="106">
        <v>37479</v>
      </c>
      <c r="B206" s="108" t="s">
        <v>5899</v>
      </c>
      <c r="C206" s="110" t="s">
        <v>5755</v>
      </c>
      <c r="D206" s="111">
        <v>4094.19</v>
      </c>
    </row>
    <row r="207" spans="1:4" x14ac:dyDescent="0.25">
      <c r="A207" s="106">
        <v>4319</v>
      </c>
      <c r="B207" s="108" t="s">
        <v>5900</v>
      </c>
      <c r="C207" s="110" t="s">
        <v>5755</v>
      </c>
      <c r="D207" s="111">
        <v>1.01</v>
      </c>
    </row>
    <row r="208" spans="1:4" ht="25.5" x14ac:dyDescent="0.25">
      <c r="A208" s="106">
        <v>42409</v>
      </c>
      <c r="B208" s="108" t="s">
        <v>10596</v>
      </c>
      <c r="C208" s="110" t="s">
        <v>5816</v>
      </c>
      <c r="D208" s="111">
        <v>8.2100000000000009</v>
      </c>
    </row>
    <row r="209" spans="1:4" x14ac:dyDescent="0.25">
      <c r="A209" s="106">
        <v>40553</v>
      </c>
      <c r="B209" s="108" t="s">
        <v>5901</v>
      </c>
      <c r="C209" s="110" t="s">
        <v>5902</v>
      </c>
      <c r="D209" s="111">
        <v>35</v>
      </c>
    </row>
    <row r="210" spans="1:4" x14ac:dyDescent="0.25">
      <c r="A210" s="106">
        <v>13003</v>
      </c>
      <c r="B210" s="108" t="s">
        <v>5903</v>
      </c>
      <c r="C210" s="110" t="s">
        <v>5818</v>
      </c>
      <c r="D210" s="111">
        <v>2.46</v>
      </c>
    </row>
    <row r="211" spans="1:4" x14ac:dyDescent="0.25">
      <c r="A211" s="106">
        <v>6114</v>
      </c>
      <c r="B211" s="108" t="s">
        <v>5904</v>
      </c>
      <c r="C211" s="110" t="s">
        <v>5759</v>
      </c>
      <c r="D211" s="111">
        <v>8.9</v>
      </c>
    </row>
    <row r="212" spans="1:4" x14ac:dyDescent="0.25">
      <c r="A212" s="106">
        <v>40912</v>
      </c>
      <c r="B212" s="108" t="s">
        <v>5905</v>
      </c>
      <c r="C212" s="110" t="s">
        <v>5906</v>
      </c>
      <c r="D212" s="111">
        <v>1581</v>
      </c>
    </row>
    <row r="213" spans="1:4" x14ac:dyDescent="0.25">
      <c r="A213" s="106">
        <v>247</v>
      </c>
      <c r="B213" s="108" t="s">
        <v>5907</v>
      </c>
      <c r="C213" s="110" t="s">
        <v>5759</v>
      </c>
      <c r="D213" s="111">
        <v>9.2899999999999991</v>
      </c>
    </row>
    <row r="214" spans="1:4" x14ac:dyDescent="0.25">
      <c r="A214" s="106">
        <v>40919</v>
      </c>
      <c r="B214" s="108" t="s">
        <v>5908</v>
      </c>
      <c r="C214" s="110" t="s">
        <v>5906</v>
      </c>
      <c r="D214" s="111">
        <v>1649.37</v>
      </c>
    </row>
    <row r="215" spans="1:4" x14ac:dyDescent="0.25">
      <c r="A215" s="106">
        <v>25958</v>
      </c>
      <c r="B215" s="108" t="s">
        <v>5909</v>
      </c>
      <c r="C215" s="110" t="s">
        <v>5759</v>
      </c>
      <c r="D215" s="111">
        <v>6.6</v>
      </c>
    </row>
    <row r="216" spans="1:4" x14ac:dyDescent="0.25">
      <c r="A216" s="106">
        <v>40984</v>
      </c>
      <c r="B216" s="108" t="s">
        <v>5910</v>
      </c>
      <c r="C216" s="110" t="s">
        <v>5906</v>
      </c>
      <c r="D216" s="111">
        <v>1171.25</v>
      </c>
    </row>
    <row r="217" spans="1:4" x14ac:dyDescent="0.25">
      <c r="A217" s="106">
        <v>248</v>
      </c>
      <c r="B217" s="108" t="s">
        <v>5911</v>
      </c>
      <c r="C217" s="110" t="s">
        <v>5759</v>
      </c>
      <c r="D217" s="111">
        <v>9.2200000000000006</v>
      </c>
    </row>
    <row r="218" spans="1:4" x14ac:dyDescent="0.25">
      <c r="A218" s="106">
        <v>41086</v>
      </c>
      <c r="B218" s="108" t="s">
        <v>5912</v>
      </c>
      <c r="C218" s="110" t="s">
        <v>5906</v>
      </c>
      <c r="D218" s="111">
        <v>1635.97</v>
      </c>
    </row>
    <row r="219" spans="1:4" x14ac:dyDescent="0.25">
      <c r="A219" s="106">
        <v>34466</v>
      </c>
      <c r="B219" s="108" t="s">
        <v>5913</v>
      </c>
      <c r="C219" s="110" t="s">
        <v>5759</v>
      </c>
      <c r="D219" s="111">
        <v>9.2200000000000006</v>
      </c>
    </row>
    <row r="220" spans="1:4" x14ac:dyDescent="0.25">
      <c r="A220" s="106">
        <v>41083</v>
      </c>
      <c r="B220" s="108" t="s">
        <v>5914</v>
      </c>
      <c r="C220" s="110" t="s">
        <v>5906</v>
      </c>
      <c r="D220" s="111">
        <v>1635.97</v>
      </c>
    </row>
    <row r="221" spans="1:4" x14ac:dyDescent="0.25">
      <c r="A221" s="106">
        <v>252</v>
      </c>
      <c r="B221" s="108" t="s">
        <v>5915</v>
      </c>
      <c r="C221" s="110" t="s">
        <v>5759</v>
      </c>
      <c r="D221" s="111">
        <v>9.57</v>
      </c>
    </row>
    <row r="222" spans="1:4" x14ac:dyDescent="0.25">
      <c r="A222" s="106">
        <v>40909</v>
      </c>
      <c r="B222" s="108" t="s">
        <v>5916</v>
      </c>
      <c r="C222" s="110" t="s">
        <v>5906</v>
      </c>
      <c r="D222" s="111">
        <v>1695.78</v>
      </c>
    </row>
    <row r="223" spans="1:4" x14ac:dyDescent="0.25">
      <c r="A223" s="106">
        <v>242</v>
      </c>
      <c r="B223" s="108" t="s">
        <v>5917</v>
      </c>
      <c r="C223" s="110" t="s">
        <v>5759</v>
      </c>
      <c r="D223" s="111">
        <v>12.33</v>
      </c>
    </row>
    <row r="224" spans="1:4" x14ac:dyDescent="0.25">
      <c r="A224" s="106">
        <v>41085</v>
      </c>
      <c r="B224" s="108" t="s">
        <v>5918</v>
      </c>
      <c r="C224" s="110" t="s">
        <v>5906</v>
      </c>
      <c r="D224" s="111">
        <v>2188.15</v>
      </c>
    </row>
    <row r="225" spans="1:4" ht="25.5" x14ac:dyDescent="0.25">
      <c r="A225" s="106">
        <v>427</v>
      </c>
      <c r="B225" s="108" t="s">
        <v>5919</v>
      </c>
      <c r="C225" s="110" t="s">
        <v>5755</v>
      </c>
      <c r="D225" s="111">
        <v>4.8899999999999997</v>
      </c>
    </row>
    <row r="226" spans="1:4" ht="25.5" x14ac:dyDescent="0.25">
      <c r="A226" s="106">
        <v>417</v>
      </c>
      <c r="B226" s="108" t="s">
        <v>5920</v>
      </c>
      <c r="C226" s="110" t="s">
        <v>5755</v>
      </c>
      <c r="D226" s="111">
        <v>2.2999999999999998</v>
      </c>
    </row>
    <row r="227" spans="1:4" ht="25.5" x14ac:dyDescent="0.25">
      <c r="A227" s="106">
        <v>11273</v>
      </c>
      <c r="B227" s="108" t="s">
        <v>5921</v>
      </c>
      <c r="C227" s="110" t="s">
        <v>5755</v>
      </c>
      <c r="D227" s="111">
        <v>7.15</v>
      </c>
    </row>
    <row r="228" spans="1:4" ht="25.5" x14ac:dyDescent="0.25">
      <c r="A228" s="106">
        <v>11272</v>
      </c>
      <c r="B228" s="108" t="s">
        <v>5922</v>
      </c>
      <c r="C228" s="110" t="s">
        <v>5755</v>
      </c>
      <c r="D228" s="111">
        <v>4.3099999999999996</v>
      </c>
    </row>
    <row r="229" spans="1:4" ht="25.5" x14ac:dyDescent="0.25">
      <c r="A229" s="106">
        <v>11275</v>
      </c>
      <c r="B229" s="108" t="s">
        <v>5923</v>
      </c>
      <c r="C229" s="110" t="s">
        <v>5755</v>
      </c>
      <c r="D229" s="111">
        <v>1.73</v>
      </c>
    </row>
    <row r="230" spans="1:4" ht="25.5" x14ac:dyDescent="0.25">
      <c r="A230" s="106">
        <v>11274</v>
      </c>
      <c r="B230" s="108" t="s">
        <v>5924</v>
      </c>
      <c r="C230" s="110" t="s">
        <v>5755</v>
      </c>
      <c r="D230" s="111">
        <v>1.32</v>
      </c>
    </row>
    <row r="231" spans="1:4" x14ac:dyDescent="0.25">
      <c r="A231" s="106">
        <v>38470</v>
      </c>
      <c r="B231" s="108" t="s">
        <v>5925</v>
      </c>
      <c r="C231" s="110" t="s">
        <v>5755</v>
      </c>
      <c r="D231" s="111">
        <v>42.34</v>
      </c>
    </row>
    <row r="232" spans="1:4" x14ac:dyDescent="0.25">
      <c r="A232" s="106">
        <v>38547</v>
      </c>
      <c r="B232" s="108" t="s">
        <v>5926</v>
      </c>
      <c r="C232" s="110" t="s">
        <v>5755</v>
      </c>
      <c r="D232" s="111">
        <v>115.54</v>
      </c>
    </row>
    <row r="233" spans="1:4" x14ac:dyDescent="0.25">
      <c r="A233" s="106">
        <v>38469</v>
      </c>
      <c r="B233" s="108" t="s">
        <v>5927</v>
      </c>
      <c r="C233" s="110" t="s">
        <v>5755</v>
      </c>
      <c r="D233" s="111">
        <v>124.23</v>
      </c>
    </row>
    <row r="234" spans="1:4" x14ac:dyDescent="0.25">
      <c r="A234" s="106">
        <v>38467</v>
      </c>
      <c r="B234" s="108" t="s">
        <v>5928</v>
      </c>
      <c r="C234" s="110" t="s">
        <v>5755</v>
      </c>
      <c r="D234" s="111">
        <v>69.900000000000006</v>
      </c>
    </row>
    <row r="235" spans="1:4" x14ac:dyDescent="0.25">
      <c r="A235" s="106">
        <v>38468</v>
      </c>
      <c r="B235" s="108" t="s">
        <v>5929</v>
      </c>
      <c r="C235" s="110" t="s">
        <v>5755</v>
      </c>
      <c r="D235" s="111">
        <v>76.92</v>
      </c>
    </row>
    <row r="236" spans="1:4" x14ac:dyDescent="0.25">
      <c r="A236" s="106">
        <v>38471</v>
      </c>
      <c r="B236" s="108" t="s">
        <v>5930</v>
      </c>
      <c r="C236" s="110" t="s">
        <v>5755</v>
      </c>
      <c r="D236" s="111">
        <v>99.89</v>
      </c>
    </row>
    <row r="237" spans="1:4" x14ac:dyDescent="0.25">
      <c r="A237" s="106">
        <v>37370</v>
      </c>
      <c r="B237" s="108" t="s">
        <v>5931</v>
      </c>
      <c r="C237" s="110" t="s">
        <v>5759</v>
      </c>
      <c r="D237" s="111">
        <v>2.2000000000000002</v>
      </c>
    </row>
    <row r="238" spans="1:4" x14ac:dyDescent="0.25">
      <c r="A238" s="106">
        <v>40862</v>
      </c>
      <c r="B238" s="108" t="s">
        <v>5932</v>
      </c>
      <c r="C238" s="110" t="s">
        <v>5906</v>
      </c>
      <c r="D238" s="111">
        <v>415.08</v>
      </c>
    </row>
    <row r="239" spans="1:4" ht="25.5" x14ac:dyDescent="0.25">
      <c r="A239" s="106">
        <v>10658</v>
      </c>
      <c r="B239" s="108" t="s">
        <v>5933</v>
      </c>
      <c r="C239" s="110" t="s">
        <v>5755</v>
      </c>
      <c r="D239" s="111">
        <v>7075</v>
      </c>
    </row>
    <row r="240" spans="1:4" x14ac:dyDescent="0.25">
      <c r="A240" s="106">
        <v>253</v>
      </c>
      <c r="B240" s="108" t="s">
        <v>5934</v>
      </c>
      <c r="C240" s="110" t="s">
        <v>5759</v>
      </c>
      <c r="D240" s="111">
        <v>12.79</v>
      </c>
    </row>
    <row r="241" spans="1:4" x14ac:dyDescent="0.25">
      <c r="A241" s="106">
        <v>40809</v>
      </c>
      <c r="B241" s="108" t="s">
        <v>5935</v>
      </c>
      <c r="C241" s="110" t="s">
        <v>5906</v>
      </c>
      <c r="D241" s="111">
        <v>2266.4299999999998</v>
      </c>
    </row>
    <row r="242" spans="1:4" ht="38.25" x14ac:dyDescent="0.25">
      <c r="A242" s="106">
        <v>42428</v>
      </c>
      <c r="B242" s="108" t="s">
        <v>5936</v>
      </c>
      <c r="C242" s="110" t="s">
        <v>5755</v>
      </c>
      <c r="D242" s="111">
        <v>1290</v>
      </c>
    </row>
    <row r="243" spans="1:4" x14ac:dyDescent="0.25">
      <c r="A243" s="106">
        <v>583</v>
      </c>
      <c r="B243" s="108" t="s">
        <v>5937</v>
      </c>
      <c r="C243" s="110" t="s">
        <v>5816</v>
      </c>
      <c r="D243" s="111">
        <v>28.66</v>
      </c>
    </row>
    <row r="244" spans="1:4" ht="25.5" x14ac:dyDescent="0.25">
      <c r="A244" s="106">
        <v>299</v>
      </c>
      <c r="B244" s="108" t="s">
        <v>5938</v>
      </c>
      <c r="C244" s="110" t="s">
        <v>5755</v>
      </c>
      <c r="D244" s="111">
        <v>2.99</v>
      </c>
    </row>
    <row r="245" spans="1:4" ht="25.5" x14ac:dyDescent="0.25">
      <c r="A245" s="106">
        <v>298</v>
      </c>
      <c r="B245" s="108" t="s">
        <v>5939</v>
      </c>
      <c r="C245" s="110" t="s">
        <v>5755</v>
      </c>
      <c r="D245" s="111">
        <v>3.01</v>
      </c>
    </row>
    <row r="246" spans="1:4" x14ac:dyDescent="0.25">
      <c r="A246" s="106">
        <v>295</v>
      </c>
      <c r="B246" s="108" t="s">
        <v>5940</v>
      </c>
      <c r="C246" s="110" t="s">
        <v>5755</v>
      </c>
      <c r="D246" s="111">
        <v>1.79</v>
      </c>
    </row>
    <row r="247" spans="1:4" x14ac:dyDescent="0.25">
      <c r="A247" s="106">
        <v>296</v>
      </c>
      <c r="B247" s="108" t="s">
        <v>543</v>
      </c>
      <c r="C247" s="110" t="s">
        <v>5755</v>
      </c>
      <c r="D247" s="111">
        <v>1.86</v>
      </c>
    </row>
    <row r="248" spans="1:4" x14ac:dyDescent="0.25">
      <c r="A248" s="106">
        <v>297</v>
      </c>
      <c r="B248" s="108" t="s">
        <v>569</v>
      </c>
      <c r="C248" s="110" t="s">
        <v>5755</v>
      </c>
      <c r="D248" s="111">
        <v>2.63</v>
      </c>
    </row>
    <row r="249" spans="1:4" x14ac:dyDescent="0.25">
      <c r="A249" s="106">
        <v>301</v>
      </c>
      <c r="B249" s="108" t="s">
        <v>550</v>
      </c>
      <c r="C249" s="110" t="s">
        <v>5755</v>
      </c>
      <c r="D249" s="111">
        <v>3.3</v>
      </c>
    </row>
    <row r="250" spans="1:4" ht="25.5" x14ac:dyDescent="0.25">
      <c r="A250" s="106">
        <v>300</v>
      </c>
      <c r="B250" s="108" t="s">
        <v>603</v>
      </c>
      <c r="C250" s="110" t="s">
        <v>5755</v>
      </c>
      <c r="D250" s="111">
        <v>13.86</v>
      </c>
    </row>
    <row r="251" spans="1:4" ht="25.5" x14ac:dyDescent="0.25">
      <c r="A251" s="106">
        <v>20084</v>
      </c>
      <c r="B251" s="108" t="s">
        <v>5941</v>
      </c>
      <c r="C251" s="110" t="s">
        <v>5755</v>
      </c>
      <c r="D251" s="111">
        <v>1.79</v>
      </c>
    </row>
    <row r="252" spans="1:4" ht="25.5" x14ac:dyDescent="0.25">
      <c r="A252" s="106">
        <v>20085</v>
      </c>
      <c r="B252" s="108" t="s">
        <v>605</v>
      </c>
      <c r="C252" s="110" t="s">
        <v>5755</v>
      </c>
      <c r="D252" s="111">
        <v>1.66</v>
      </c>
    </row>
    <row r="253" spans="1:4" x14ac:dyDescent="0.25">
      <c r="A253" s="106">
        <v>311</v>
      </c>
      <c r="B253" s="108" t="s">
        <v>5942</v>
      </c>
      <c r="C253" s="110" t="s">
        <v>5755</v>
      </c>
      <c r="D253" s="111">
        <v>10.73</v>
      </c>
    </row>
    <row r="254" spans="1:4" x14ac:dyDescent="0.25">
      <c r="A254" s="106">
        <v>318</v>
      </c>
      <c r="B254" s="108" t="s">
        <v>5943</v>
      </c>
      <c r="C254" s="110" t="s">
        <v>5755</v>
      </c>
      <c r="D254" s="111">
        <v>18.79</v>
      </c>
    </row>
    <row r="255" spans="1:4" x14ac:dyDescent="0.25">
      <c r="A255" s="106">
        <v>319</v>
      </c>
      <c r="B255" s="108" t="s">
        <v>5944</v>
      </c>
      <c r="C255" s="110" t="s">
        <v>5755</v>
      </c>
      <c r="D255" s="111">
        <v>35.49</v>
      </c>
    </row>
    <row r="256" spans="1:4" x14ac:dyDescent="0.25">
      <c r="A256" s="106">
        <v>320</v>
      </c>
      <c r="B256" s="108" t="s">
        <v>5945</v>
      </c>
      <c r="C256" s="110" t="s">
        <v>5755</v>
      </c>
      <c r="D256" s="111">
        <v>112.84</v>
      </c>
    </row>
    <row r="257" spans="1:4" x14ac:dyDescent="0.25">
      <c r="A257" s="106">
        <v>314</v>
      </c>
      <c r="B257" s="108" t="s">
        <v>5946</v>
      </c>
      <c r="C257" s="110" t="s">
        <v>5755</v>
      </c>
      <c r="D257" s="111">
        <v>173.33</v>
      </c>
    </row>
    <row r="258" spans="1:4" ht="25.5" x14ac:dyDescent="0.25">
      <c r="A258" s="106">
        <v>303</v>
      </c>
      <c r="B258" s="108" t="s">
        <v>612</v>
      </c>
      <c r="C258" s="110" t="s">
        <v>5755</v>
      </c>
      <c r="D258" s="111">
        <v>4.49</v>
      </c>
    </row>
    <row r="259" spans="1:4" ht="25.5" x14ac:dyDescent="0.25">
      <c r="A259" s="106">
        <v>304</v>
      </c>
      <c r="B259" s="108" t="s">
        <v>5947</v>
      </c>
      <c r="C259" s="110" t="s">
        <v>5755</v>
      </c>
      <c r="D259" s="111">
        <v>6.86</v>
      </c>
    </row>
    <row r="260" spans="1:4" ht="25.5" x14ac:dyDescent="0.25">
      <c r="A260" s="106">
        <v>305</v>
      </c>
      <c r="B260" s="108" t="s">
        <v>5948</v>
      </c>
      <c r="C260" s="110" t="s">
        <v>5755</v>
      </c>
      <c r="D260" s="111">
        <v>11.73</v>
      </c>
    </row>
    <row r="261" spans="1:4" ht="25.5" x14ac:dyDescent="0.25">
      <c r="A261" s="106">
        <v>306</v>
      </c>
      <c r="B261" s="108" t="s">
        <v>5949</v>
      </c>
      <c r="C261" s="110" t="s">
        <v>5755</v>
      </c>
      <c r="D261" s="111">
        <v>14.09</v>
      </c>
    </row>
    <row r="262" spans="1:4" ht="25.5" x14ac:dyDescent="0.25">
      <c r="A262" s="106">
        <v>307</v>
      </c>
      <c r="B262" s="108" t="s">
        <v>5950</v>
      </c>
      <c r="C262" s="110" t="s">
        <v>5755</v>
      </c>
      <c r="D262" s="111">
        <v>27.83</v>
      </c>
    </row>
    <row r="263" spans="1:4" ht="25.5" x14ac:dyDescent="0.25">
      <c r="A263" s="106">
        <v>309</v>
      </c>
      <c r="B263" s="108" t="s">
        <v>5951</v>
      </c>
      <c r="C263" s="110" t="s">
        <v>5755</v>
      </c>
      <c r="D263" s="111">
        <v>57.03</v>
      </c>
    </row>
    <row r="264" spans="1:4" ht="25.5" x14ac:dyDescent="0.25">
      <c r="A264" s="106">
        <v>310</v>
      </c>
      <c r="B264" s="108" t="s">
        <v>5952</v>
      </c>
      <c r="C264" s="110" t="s">
        <v>5755</v>
      </c>
      <c r="D264" s="111">
        <v>72.33</v>
      </c>
    </row>
    <row r="265" spans="1:4" ht="25.5" x14ac:dyDescent="0.25">
      <c r="A265" s="106">
        <v>328</v>
      </c>
      <c r="B265" s="108" t="s">
        <v>614</v>
      </c>
      <c r="C265" s="110" t="s">
        <v>5755</v>
      </c>
      <c r="D265" s="111">
        <v>8.6300000000000008</v>
      </c>
    </row>
    <row r="266" spans="1:4" ht="25.5" x14ac:dyDescent="0.25">
      <c r="A266" s="106">
        <v>325</v>
      </c>
      <c r="B266" s="108" t="s">
        <v>5953</v>
      </c>
      <c r="C266" s="110" t="s">
        <v>5755</v>
      </c>
      <c r="D266" s="111">
        <v>3.34</v>
      </c>
    </row>
    <row r="267" spans="1:4" ht="25.5" x14ac:dyDescent="0.25">
      <c r="A267" s="106">
        <v>20326</v>
      </c>
      <c r="B267" s="108" t="s">
        <v>5954</v>
      </c>
      <c r="C267" s="110" t="s">
        <v>5755</v>
      </c>
      <c r="D267" s="111">
        <v>8.9600000000000009</v>
      </c>
    </row>
    <row r="268" spans="1:4" ht="25.5" x14ac:dyDescent="0.25">
      <c r="A268" s="106">
        <v>329</v>
      </c>
      <c r="B268" s="108" t="s">
        <v>5955</v>
      </c>
      <c r="C268" s="110" t="s">
        <v>5755</v>
      </c>
      <c r="D268" s="111">
        <v>11.03</v>
      </c>
    </row>
    <row r="269" spans="1:4" ht="25.5" x14ac:dyDescent="0.25">
      <c r="A269" s="106">
        <v>308</v>
      </c>
      <c r="B269" s="108" t="s">
        <v>5956</v>
      </c>
      <c r="C269" s="110" t="s">
        <v>5755</v>
      </c>
      <c r="D269" s="111">
        <v>37.159999999999997</v>
      </c>
    </row>
    <row r="270" spans="1:4" ht="25.5" x14ac:dyDescent="0.25">
      <c r="A270" s="106">
        <v>39642</v>
      </c>
      <c r="B270" s="108" t="s">
        <v>5957</v>
      </c>
      <c r="C270" s="110" t="s">
        <v>5755</v>
      </c>
      <c r="D270" s="111">
        <v>2.25</v>
      </c>
    </row>
    <row r="271" spans="1:4" ht="25.5" x14ac:dyDescent="0.25">
      <c r="A271" s="106">
        <v>39641</v>
      </c>
      <c r="B271" s="108" t="s">
        <v>5958</v>
      </c>
      <c r="C271" s="110" t="s">
        <v>5755</v>
      </c>
      <c r="D271" s="111">
        <v>1.57</v>
      </c>
    </row>
    <row r="272" spans="1:4" ht="25.5" x14ac:dyDescent="0.25">
      <c r="A272" s="106">
        <v>39643</v>
      </c>
      <c r="B272" s="108" t="s">
        <v>5959</v>
      </c>
      <c r="C272" s="110" t="s">
        <v>5755</v>
      </c>
      <c r="D272" s="111">
        <v>6.27</v>
      </c>
    </row>
    <row r="273" spans="1:4" ht="25.5" x14ac:dyDescent="0.25">
      <c r="A273" s="106">
        <v>39644</v>
      </c>
      <c r="B273" s="108" t="s">
        <v>5960</v>
      </c>
      <c r="C273" s="110" t="s">
        <v>5755</v>
      </c>
      <c r="D273" s="111">
        <v>8.09</v>
      </c>
    </row>
    <row r="274" spans="1:4" ht="25.5" x14ac:dyDescent="0.25">
      <c r="A274" s="106">
        <v>39645</v>
      </c>
      <c r="B274" s="108" t="s">
        <v>5961</v>
      </c>
      <c r="C274" s="110" t="s">
        <v>5755</v>
      </c>
      <c r="D274" s="111">
        <v>10.45</v>
      </c>
    </row>
    <row r="275" spans="1:4" x14ac:dyDescent="0.25">
      <c r="A275" s="106">
        <v>12548</v>
      </c>
      <c r="B275" s="108" t="s">
        <v>5962</v>
      </c>
      <c r="C275" s="110" t="s">
        <v>5755</v>
      </c>
      <c r="D275" s="111">
        <v>94.6</v>
      </c>
    </row>
    <row r="276" spans="1:4" x14ac:dyDescent="0.25">
      <c r="A276" s="106">
        <v>13113</v>
      </c>
      <c r="B276" s="108" t="s">
        <v>611</v>
      </c>
      <c r="C276" s="110" t="s">
        <v>5755</v>
      </c>
      <c r="D276" s="111">
        <v>38.770000000000003</v>
      </c>
    </row>
    <row r="277" spans="1:4" x14ac:dyDescent="0.25">
      <c r="A277" s="106">
        <v>13114</v>
      </c>
      <c r="B277" s="108" t="s">
        <v>5963</v>
      </c>
      <c r="C277" s="110" t="s">
        <v>5755</v>
      </c>
      <c r="D277" s="111">
        <v>47.2</v>
      </c>
    </row>
    <row r="278" spans="1:4" x14ac:dyDescent="0.25">
      <c r="A278" s="106">
        <v>12530</v>
      </c>
      <c r="B278" s="108" t="s">
        <v>610</v>
      </c>
      <c r="C278" s="110" t="s">
        <v>5755</v>
      </c>
      <c r="D278" s="111">
        <v>57.51</v>
      </c>
    </row>
    <row r="279" spans="1:4" x14ac:dyDescent="0.25">
      <c r="A279" s="106">
        <v>12531</v>
      </c>
      <c r="B279" s="108" t="s">
        <v>5964</v>
      </c>
      <c r="C279" s="110" t="s">
        <v>5755</v>
      </c>
      <c r="D279" s="111">
        <v>64.319999999999993</v>
      </c>
    </row>
    <row r="280" spans="1:4" x14ac:dyDescent="0.25">
      <c r="A280" s="106">
        <v>12532</v>
      </c>
      <c r="B280" s="108" t="s">
        <v>5965</v>
      </c>
      <c r="C280" s="110" t="s">
        <v>5755</v>
      </c>
      <c r="D280" s="111">
        <v>78.66</v>
      </c>
    </row>
    <row r="281" spans="1:4" x14ac:dyDescent="0.25">
      <c r="A281" s="106">
        <v>12533</v>
      </c>
      <c r="B281" s="108" t="s">
        <v>5966</v>
      </c>
      <c r="C281" s="110" t="s">
        <v>5755</v>
      </c>
      <c r="D281" s="111">
        <v>93.84</v>
      </c>
    </row>
    <row r="282" spans="1:4" x14ac:dyDescent="0.25">
      <c r="A282" s="106">
        <v>12544</v>
      </c>
      <c r="B282" s="108" t="s">
        <v>5967</v>
      </c>
      <c r="C282" s="110" t="s">
        <v>5755</v>
      </c>
      <c r="D282" s="111">
        <v>114.63</v>
      </c>
    </row>
    <row r="283" spans="1:4" x14ac:dyDescent="0.25">
      <c r="A283" s="106">
        <v>12546</v>
      </c>
      <c r="B283" s="108" t="s">
        <v>5968</v>
      </c>
      <c r="C283" s="110" t="s">
        <v>5755</v>
      </c>
      <c r="D283" s="111">
        <v>118.66</v>
      </c>
    </row>
    <row r="284" spans="1:4" x14ac:dyDescent="0.25">
      <c r="A284" s="106">
        <v>12547</v>
      </c>
      <c r="B284" s="108" t="s">
        <v>5969</v>
      </c>
      <c r="C284" s="110" t="s">
        <v>5755</v>
      </c>
      <c r="D284" s="111">
        <v>137.99</v>
      </c>
    </row>
    <row r="285" spans="1:4" x14ac:dyDescent="0.25">
      <c r="A285" s="106">
        <v>12551</v>
      </c>
      <c r="B285" s="108" t="s">
        <v>5970</v>
      </c>
      <c r="C285" s="110" t="s">
        <v>5755</v>
      </c>
      <c r="D285" s="111">
        <v>150.25</v>
      </c>
    </row>
    <row r="286" spans="1:4" x14ac:dyDescent="0.25">
      <c r="A286" s="106">
        <v>12563</v>
      </c>
      <c r="B286" s="108" t="s">
        <v>5971</v>
      </c>
      <c r="C286" s="110" t="s">
        <v>5755</v>
      </c>
      <c r="D286" s="111">
        <v>236</v>
      </c>
    </row>
    <row r="287" spans="1:4" x14ac:dyDescent="0.25">
      <c r="A287" s="106">
        <v>12565</v>
      </c>
      <c r="B287" s="108" t="s">
        <v>5972</v>
      </c>
      <c r="C287" s="110" t="s">
        <v>5755</v>
      </c>
      <c r="D287" s="111">
        <v>371.38</v>
      </c>
    </row>
    <row r="288" spans="1:4" x14ac:dyDescent="0.25">
      <c r="A288" s="106">
        <v>12567</v>
      </c>
      <c r="B288" s="108" t="s">
        <v>5973</v>
      </c>
      <c r="C288" s="110" t="s">
        <v>5755</v>
      </c>
      <c r="D288" s="111">
        <v>483.25</v>
      </c>
    </row>
    <row r="289" spans="1:4" x14ac:dyDescent="0.25">
      <c r="A289" s="106">
        <v>12568</v>
      </c>
      <c r="B289" s="108" t="s">
        <v>5974</v>
      </c>
      <c r="C289" s="110" t="s">
        <v>5755</v>
      </c>
      <c r="D289" s="111">
        <v>797.93</v>
      </c>
    </row>
    <row r="290" spans="1:4" x14ac:dyDescent="0.25">
      <c r="A290" s="106">
        <v>11789</v>
      </c>
      <c r="B290" s="108" t="s">
        <v>5975</v>
      </c>
      <c r="C290" s="110" t="s">
        <v>5755</v>
      </c>
      <c r="D290" s="111">
        <v>0.65</v>
      </c>
    </row>
    <row r="291" spans="1:4" ht="25.5" x14ac:dyDescent="0.25">
      <c r="A291" s="106">
        <v>20975</v>
      </c>
      <c r="B291" s="108" t="s">
        <v>5976</v>
      </c>
      <c r="C291" s="110" t="s">
        <v>5755</v>
      </c>
      <c r="D291" s="111">
        <v>8.9499999999999993</v>
      </c>
    </row>
    <row r="292" spans="1:4" ht="25.5" x14ac:dyDescent="0.25">
      <c r="A292" s="106">
        <v>20976</v>
      </c>
      <c r="B292" s="108" t="s">
        <v>5977</v>
      </c>
      <c r="C292" s="110" t="s">
        <v>5755</v>
      </c>
      <c r="D292" s="111">
        <v>13.52</v>
      </c>
    </row>
    <row r="293" spans="1:4" ht="25.5" x14ac:dyDescent="0.25">
      <c r="A293" s="106">
        <v>40340</v>
      </c>
      <c r="B293" s="108" t="s">
        <v>5978</v>
      </c>
      <c r="C293" s="110" t="s">
        <v>5755</v>
      </c>
      <c r="D293" s="111">
        <v>87.39</v>
      </c>
    </row>
    <row r="294" spans="1:4" ht="25.5" x14ac:dyDescent="0.25">
      <c r="A294" s="106">
        <v>40341</v>
      </c>
      <c r="B294" s="108" t="s">
        <v>5979</v>
      </c>
      <c r="C294" s="110" t="s">
        <v>5755</v>
      </c>
      <c r="D294" s="111">
        <v>103.48</v>
      </c>
    </row>
    <row r="295" spans="1:4" ht="25.5" x14ac:dyDescent="0.25">
      <c r="A295" s="106">
        <v>40342</v>
      </c>
      <c r="B295" s="108" t="s">
        <v>5980</v>
      </c>
      <c r="C295" s="110" t="s">
        <v>5755</v>
      </c>
      <c r="D295" s="111">
        <v>131.18</v>
      </c>
    </row>
    <row r="296" spans="1:4" ht="25.5" x14ac:dyDescent="0.25">
      <c r="A296" s="106">
        <v>40343</v>
      </c>
      <c r="B296" s="108" t="s">
        <v>5981</v>
      </c>
      <c r="C296" s="110" t="s">
        <v>5755</v>
      </c>
      <c r="D296" s="111">
        <v>160.94</v>
      </c>
    </row>
    <row r="297" spans="1:4" ht="25.5" x14ac:dyDescent="0.25">
      <c r="A297" s="106">
        <v>40344</v>
      </c>
      <c r="B297" s="108" t="s">
        <v>5982</v>
      </c>
      <c r="C297" s="110" t="s">
        <v>5755</v>
      </c>
      <c r="D297" s="111">
        <v>170.17</v>
      </c>
    </row>
    <row r="298" spans="1:4" ht="25.5" x14ac:dyDescent="0.25">
      <c r="A298" s="106">
        <v>40345</v>
      </c>
      <c r="B298" s="108" t="s">
        <v>5983</v>
      </c>
      <c r="C298" s="110" t="s">
        <v>5755</v>
      </c>
      <c r="D298" s="111">
        <v>212.46</v>
      </c>
    </row>
    <row r="299" spans="1:4" ht="25.5" x14ac:dyDescent="0.25">
      <c r="A299" s="106">
        <v>40346</v>
      </c>
      <c r="B299" s="108" t="s">
        <v>5984</v>
      </c>
      <c r="C299" s="110" t="s">
        <v>5755</v>
      </c>
      <c r="D299" s="111">
        <v>199.87</v>
      </c>
    </row>
    <row r="300" spans="1:4" ht="25.5" x14ac:dyDescent="0.25">
      <c r="A300" s="106">
        <v>40347</v>
      </c>
      <c r="B300" s="108" t="s">
        <v>5985</v>
      </c>
      <c r="C300" s="110" t="s">
        <v>5755</v>
      </c>
      <c r="D300" s="111">
        <v>247.12</v>
      </c>
    </row>
    <row r="301" spans="1:4" x14ac:dyDescent="0.25">
      <c r="A301" s="106">
        <v>38840</v>
      </c>
      <c r="B301" s="108" t="s">
        <v>5986</v>
      </c>
      <c r="C301" s="110" t="s">
        <v>5755</v>
      </c>
      <c r="D301" s="111">
        <v>2.09</v>
      </c>
    </row>
    <row r="302" spans="1:4" x14ac:dyDescent="0.25">
      <c r="A302" s="106">
        <v>38841</v>
      </c>
      <c r="B302" s="108" t="s">
        <v>5987</v>
      </c>
      <c r="C302" s="110" t="s">
        <v>5755</v>
      </c>
      <c r="D302" s="111">
        <v>2.3199999999999998</v>
      </c>
    </row>
    <row r="303" spans="1:4" x14ac:dyDescent="0.25">
      <c r="A303" s="106">
        <v>38842</v>
      </c>
      <c r="B303" s="108" t="s">
        <v>5988</v>
      </c>
      <c r="C303" s="110" t="s">
        <v>5755</v>
      </c>
      <c r="D303" s="111">
        <v>4.59</v>
      </c>
    </row>
    <row r="304" spans="1:4" x14ac:dyDescent="0.25">
      <c r="A304" s="106">
        <v>38843</v>
      </c>
      <c r="B304" s="108" t="s">
        <v>5989</v>
      </c>
      <c r="C304" s="110" t="s">
        <v>5755</v>
      </c>
      <c r="D304" s="111">
        <v>7.17</v>
      </c>
    </row>
    <row r="305" spans="1:4" ht="38.25" x14ac:dyDescent="0.25">
      <c r="A305" s="106">
        <v>13761</v>
      </c>
      <c r="B305" s="108" t="s">
        <v>5990</v>
      </c>
      <c r="C305" s="110" t="s">
        <v>5755</v>
      </c>
      <c r="D305" s="111">
        <v>4269.8500000000004</v>
      </c>
    </row>
    <row r="306" spans="1:4" ht="38.25" x14ac:dyDescent="0.25">
      <c r="A306" s="106">
        <v>12888</v>
      </c>
      <c r="B306" s="108" t="s">
        <v>5991</v>
      </c>
      <c r="C306" s="110" t="s">
        <v>5992</v>
      </c>
      <c r="D306" s="111">
        <v>96.72</v>
      </c>
    </row>
    <row r="307" spans="1:4" ht="25.5" x14ac:dyDescent="0.25">
      <c r="A307" s="106">
        <v>12889</v>
      </c>
      <c r="B307" s="108" t="s">
        <v>5993</v>
      </c>
      <c r="C307" s="110" t="s">
        <v>5992</v>
      </c>
      <c r="D307" s="111">
        <v>63.16</v>
      </c>
    </row>
    <row r="308" spans="1:4" ht="38.25" x14ac:dyDescent="0.25">
      <c r="A308" s="106">
        <v>4814</v>
      </c>
      <c r="B308" s="108" t="s">
        <v>5994</v>
      </c>
      <c r="C308" s="110" t="s">
        <v>5755</v>
      </c>
      <c r="D308" s="111">
        <v>77.27</v>
      </c>
    </row>
    <row r="309" spans="1:4" x14ac:dyDescent="0.25">
      <c r="A309" s="106">
        <v>25967</v>
      </c>
      <c r="B309" s="108" t="s">
        <v>5995</v>
      </c>
      <c r="C309" s="110" t="s">
        <v>5755</v>
      </c>
      <c r="D309" s="111">
        <v>1816.26</v>
      </c>
    </row>
    <row r="310" spans="1:4" x14ac:dyDescent="0.25">
      <c r="A310" s="106">
        <v>6122</v>
      </c>
      <c r="B310" s="108" t="s">
        <v>10597</v>
      </c>
      <c r="C310" s="110" t="s">
        <v>5759</v>
      </c>
      <c r="D310" s="111">
        <v>12.29</v>
      </c>
    </row>
    <row r="311" spans="1:4" x14ac:dyDescent="0.25">
      <c r="A311" s="106">
        <v>40810</v>
      </c>
      <c r="B311" s="108" t="s">
        <v>5996</v>
      </c>
      <c r="C311" s="110" t="s">
        <v>5906</v>
      </c>
      <c r="D311" s="111">
        <v>2180.6799999999998</v>
      </c>
    </row>
    <row r="312" spans="1:4" ht="25.5" x14ac:dyDescent="0.25">
      <c r="A312" s="106">
        <v>21100</v>
      </c>
      <c r="B312" s="108" t="s">
        <v>5997</v>
      </c>
      <c r="C312" s="110" t="s">
        <v>5755</v>
      </c>
      <c r="D312" s="111">
        <v>2378.8000000000002</v>
      </c>
    </row>
    <row r="313" spans="1:4" ht="38.25" x14ac:dyDescent="0.25">
      <c r="A313" s="106">
        <v>11816</v>
      </c>
      <c r="B313" s="108" t="s">
        <v>5998</v>
      </c>
      <c r="C313" s="110" t="s">
        <v>5755</v>
      </c>
      <c r="D313" s="111">
        <v>2536.5</v>
      </c>
    </row>
    <row r="314" spans="1:4" ht="38.25" x14ac:dyDescent="0.25">
      <c r="A314" s="106">
        <v>11814</v>
      </c>
      <c r="B314" s="108" t="s">
        <v>5999</v>
      </c>
      <c r="C314" s="110" t="s">
        <v>5755</v>
      </c>
      <c r="D314" s="111">
        <v>5521.32</v>
      </c>
    </row>
    <row r="315" spans="1:4" ht="38.25" x14ac:dyDescent="0.25">
      <c r="A315" s="106">
        <v>14186</v>
      </c>
      <c r="B315" s="108" t="s">
        <v>6000</v>
      </c>
      <c r="C315" s="110" t="s">
        <v>5755</v>
      </c>
      <c r="D315" s="111">
        <v>6932.76</v>
      </c>
    </row>
    <row r="316" spans="1:4" ht="38.25" x14ac:dyDescent="0.25">
      <c r="A316" s="106">
        <v>14185</v>
      </c>
      <c r="B316" s="108" t="s">
        <v>6001</v>
      </c>
      <c r="C316" s="110" t="s">
        <v>5755</v>
      </c>
      <c r="D316" s="111">
        <v>8980.6299999999992</v>
      </c>
    </row>
    <row r="317" spans="1:4" ht="38.25" x14ac:dyDescent="0.25">
      <c r="A317" s="106">
        <v>11811</v>
      </c>
      <c r="B317" s="108" t="s">
        <v>6002</v>
      </c>
      <c r="C317" s="110" t="s">
        <v>5755</v>
      </c>
      <c r="D317" s="111">
        <v>3433.85</v>
      </c>
    </row>
    <row r="318" spans="1:4" ht="25.5" x14ac:dyDescent="0.25">
      <c r="A318" s="106">
        <v>26038</v>
      </c>
      <c r="B318" s="108" t="s">
        <v>6003</v>
      </c>
      <c r="C318" s="110" t="s">
        <v>5755</v>
      </c>
      <c r="D318" s="111">
        <v>202992.51</v>
      </c>
    </row>
    <row r="319" spans="1:4" ht="25.5" x14ac:dyDescent="0.25">
      <c r="A319" s="106">
        <v>34482</v>
      </c>
      <c r="B319" s="108" t="s">
        <v>6004</v>
      </c>
      <c r="C319" s="110" t="s">
        <v>5755</v>
      </c>
      <c r="D319" s="111">
        <v>5042.8100000000004</v>
      </c>
    </row>
    <row r="320" spans="1:4" ht="25.5" x14ac:dyDescent="0.25">
      <c r="A320" s="106">
        <v>34469</v>
      </c>
      <c r="B320" s="108" t="s">
        <v>6005</v>
      </c>
      <c r="C320" s="110" t="s">
        <v>5755</v>
      </c>
      <c r="D320" s="111">
        <v>7800.6</v>
      </c>
    </row>
    <row r="321" spans="1:4" ht="25.5" x14ac:dyDescent="0.25">
      <c r="A321" s="106">
        <v>34472</v>
      </c>
      <c r="B321" s="108" t="s">
        <v>6006</v>
      </c>
      <c r="C321" s="110" t="s">
        <v>5755</v>
      </c>
      <c r="D321" s="111">
        <v>2400</v>
      </c>
    </row>
    <row r="322" spans="1:4" ht="25.5" x14ac:dyDescent="0.25">
      <c r="A322" s="106">
        <v>34476</v>
      </c>
      <c r="B322" s="108" t="s">
        <v>6007</v>
      </c>
      <c r="C322" s="110" t="s">
        <v>5755</v>
      </c>
      <c r="D322" s="111">
        <v>4068.34</v>
      </c>
    </row>
    <row r="323" spans="1:4" ht="25.5" x14ac:dyDescent="0.25">
      <c r="A323" s="106">
        <v>34477</v>
      </c>
      <c r="B323" s="108" t="s">
        <v>6008</v>
      </c>
      <c r="C323" s="110" t="s">
        <v>5755</v>
      </c>
      <c r="D323" s="111">
        <v>5399.47</v>
      </c>
    </row>
    <row r="324" spans="1:4" ht="38.25" x14ac:dyDescent="0.25">
      <c r="A324" s="106">
        <v>42425</v>
      </c>
      <c r="B324" s="108" t="s">
        <v>6009</v>
      </c>
      <c r="C324" s="110" t="s">
        <v>5755</v>
      </c>
      <c r="D324" s="111">
        <v>1953.47</v>
      </c>
    </row>
    <row r="325" spans="1:4" ht="38.25" x14ac:dyDescent="0.25">
      <c r="A325" s="106">
        <v>42422</v>
      </c>
      <c r="B325" s="108" t="s">
        <v>6010</v>
      </c>
      <c r="C325" s="110" t="s">
        <v>5755</v>
      </c>
      <c r="D325" s="111">
        <v>2900</v>
      </c>
    </row>
    <row r="326" spans="1:4" ht="38.25" x14ac:dyDescent="0.25">
      <c r="A326" s="106">
        <v>43184</v>
      </c>
      <c r="B326" s="108" t="s">
        <v>10598</v>
      </c>
      <c r="C326" s="110" t="s">
        <v>5755</v>
      </c>
      <c r="D326" s="111">
        <v>4008.08</v>
      </c>
    </row>
    <row r="327" spans="1:4" ht="38.25" x14ac:dyDescent="0.25">
      <c r="A327" s="106">
        <v>42424</v>
      </c>
      <c r="B327" s="108" t="s">
        <v>6011</v>
      </c>
      <c r="C327" s="110" t="s">
        <v>5755</v>
      </c>
      <c r="D327" s="111">
        <v>1744.62</v>
      </c>
    </row>
    <row r="328" spans="1:4" ht="38.25" x14ac:dyDescent="0.25">
      <c r="A328" s="106">
        <v>42421</v>
      </c>
      <c r="B328" s="108" t="s">
        <v>10599</v>
      </c>
      <c r="C328" s="110" t="s">
        <v>5755</v>
      </c>
      <c r="D328" s="111">
        <v>15884.61</v>
      </c>
    </row>
    <row r="329" spans="1:4" ht="38.25" x14ac:dyDescent="0.25">
      <c r="A329" s="106">
        <v>42416</v>
      </c>
      <c r="B329" s="108" t="s">
        <v>6012</v>
      </c>
      <c r="C329" s="110" t="s">
        <v>5755</v>
      </c>
      <c r="D329" s="111">
        <v>7520.87</v>
      </c>
    </row>
    <row r="330" spans="1:4" ht="38.25" x14ac:dyDescent="0.25">
      <c r="A330" s="106">
        <v>42417</v>
      </c>
      <c r="B330" s="108" t="s">
        <v>6013</v>
      </c>
      <c r="C330" s="110" t="s">
        <v>5755</v>
      </c>
      <c r="D330" s="111">
        <v>8431.51</v>
      </c>
    </row>
    <row r="331" spans="1:4" ht="38.25" x14ac:dyDescent="0.25">
      <c r="A331" s="106">
        <v>42419</v>
      </c>
      <c r="B331" s="108" t="s">
        <v>6014</v>
      </c>
      <c r="C331" s="110" t="s">
        <v>5755</v>
      </c>
      <c r="D331" s="111">
        <v>9525.82</v>
      </c>
    </row>
    <row r="332" spans="1:4" ht="38.25" x14ac:dyDescent="0.25">
      <c r="A332" s="106">
        <v>42420</v>
      </c>
      <c r="B332" s="108" t="s">
        <v>6015</v>
      </c>
      <c r="C332" s="110" t="s">
        <v>5755</v>
      </c>
      <c r="D332" s="111">
        <v>13092.53</v>
      </c>
    </row>
    <row r="333" spans="1:4" ht="38.25" x14ac:dyDescent="0.25">
      <c r="A333" s="106">
        <v>43195</v>
      </c>
      <c r="B333" s="108" t="s">
        <v>10600</v>
      </c>
      <c r="C333" s="110" t="s">
        <v>5755</v>
      </c>
      <c r="D333" s="111">
        <v>4610.07</v>
      </c>
    </row>
    <row r="334" spans="1:4" ht="38.25" x14ac:dyDescent="0.25">
      <c r="A334" s="106">
        <v>43196</v>
      </c>
      <c r="B334" s="108" t="s">
        <v>10601</v>
      </c>
      <c r="C334" s="110" t="s">
        <v>5755</v>
      </c>
      <c r="D334" s="111">
        <v>5713.51</v>
      </c>
    </row>
    <row r="335" spans="1:4" ht="38.25" x14ac:dyDescent="0.25">
      <c r="A335" s="106">
        <v>43198</v>
      </c>
      <c r="B335" s="108" t="s">
        <v>10602</v>
      </c>
      <c r="C335" s="110" t="s">
        <v>5755</v>
      </c>
      <c r="D335" s="111">
        <v>8490.15</v>
      </c>
    </row>
    <row r="336" spans="1:4" ht="38.25" x14ac:dyDescent="0.25">
      <c r="A336" s="106">
        <v>43199</v>
      </c>
      <c r="B336" s="108" t="s">
        <v>10603</v>
      </c>
      <c r="C336" s="110" t="s">
        <v>5755</v>
      </c>
      <c r="D336" s="111">
        <v>8801.26</v>
      </c>
    </row>
    <row r="337" spans="1:4" ht="38.25" x14ac:dyDescent="0.25">
      <c r="A337" s="106">
        <v>43200</v>
      </c>
      <c r="B337" s="108" t="s">
        <v>10604</v>
      </c>
      <c r="C337" s="110" t="s">
        <v>5755</v>
      </c>
      <c r="D337" s="111">
        <v>10100.08</v>
      </c>
    </row>
    <row r="338" spans="1:4" ht="38.25" x14ac:dyDescent="0.25">
      <c r="A338" s="106">
        <v>39556</v>
      </c>
      <c r="B338" s="108" t="s">
        <v>6016</v>
      </c>
      <c r="C338" s="110" t="s">
        <v>5755</v>
      </c>
      <c r="D338" s="111">
        <v>5516.37</v>
      </c>
    </row>
    <row r="339" spans="1:4" ht="38.25" x14ac:dyDescent="0.25">
      <c r="A339" s="106">
        <v>39557</v>
      </c>
      <c r="B339" s="108" t="s">
        <v>6017</v>
      </c>
      <c r="C339" s="110" t="s">
        <v>5755</v>
      </c>
      <c r="D339" s="111">
        <v>5939.92</v>
      </c>
    </row>
    <row r="340" spans="1:4" ht="38.25" x14ac:dyDescent="0.25">
      <c r="A340" s="106">
        <v>39559</v>
      </c>
      <c r="B340" s="108" t="s">
        <v>6018</v>
      </c>
      <c r="C340" s="110" t="s">
        <v>5755</v>
      </c>
      <c r="D340" s="111">
        <v>8778.06</v>
      </c>
    </row>
    <row r="341" spans="1:4" ht="38.25" x14ac:dyDescent="0.25">
      <c r="A341" s="106">
        <v>39560</v>
      </c>
      <c r="B341" s="108" t="s">
        <v>6019</v>
      </c>
      <c r="C341" s="110" t="s">
        <v>5755</v>
      </c>
      <c r="D341" s="111">
        <v>10155.36</v>
      </c>
    </row>
    <row r="342" spans="1:4" ht="38.25" x14ac:dyDescent="0.25">
      <c r="A342" s="106">
        <v>39561</v>
      </c>
      <c r="B342" s="108" t="s">
        <v>6020</v>
      </c>
      <c r="C342" s="110" t="s">
        <v>5755</v>
      </c>
      <c r="D342" s="111">
        <v>10623.81</v>
      </c>
    </row>
    <row r="343" spans="1:4" ht="38.25" x14ac:dyDescent="0.25">
      <c r="A343" s="106">
        <v>43190</v>
      </c>
      <c r="B343" s="108" t="s">
        <v>10605</v>
      </c>
      <c r="C343" s="110" t="s">
        <v>5755</v>
      </c>
      <c r="D343" s="111">
        <v>1567.79</v>
      </c>
    </row>
    <row r="344" spans="1:4" ht="38.25" x14ac:dyDescent="0.25">
      <c r="A344" s="106">
        <v>39555</v>
      </c>
      <c r="B344" s="108" t="s">
        <v>6021</v>
      </c>
      <c r="C344" s="110" t="s">
        <v>5755</v>
      </c>
      <c r="D344" s="111">
        <v>1695.95</v>
      </c>
    </row>
    <row r="345" spans="1:4" ht="38.25" x14ac:dyDescent="0.25">
      <c r="A345" s="106">
        <v>43191</v>
      </c>
      <c r="B345" s="108" t="s">
        <v>10606</v>
      </c>
      <c r="C345" s="110" t="s">
        <v>5755</v>
      </c>
      <c r="D345" s="111">
        <v>2255.84</v>
      </c>
    </row>
    <row r="346" spans="1:4" ht="38.25" x14ac:dyDescent="0.25">
      <c r="A346" s="106">
        <v>39548</v>
      </c>
      <c r="B346" s="108" t="s">
        <v>6022</v>
      </c>
      <c r="C346" s="110" t="s">
        <v>5755</v>
      </c>
      <c r="D346" s="111">
        <v>2515.61</v>
      </c>
    </row>
    <row r="347" spans="1:4" ht="38.25" x14ac:dyDescent="0.25">
      <c r="A347" s="106">
        <v>43192</v>
      </c>
      <c r="B347" s="108" t="s">
        <v>10607</v>
      </c>
      <c r="C347" s="110" t="s">
        <v>5755</v>
      </c>
      <c r="D347" s="111">
        <v>2954.95</v>
      </c>
    </row>
    <row r="348" spans="1:4" ht="38.25" x14ac:dyDescent="0.25">
      <c r="A348" s="106">
        <v>39554</v>
      </c>
      <c r="B348" s="108" t="s">
        <v>6023</v>
      </c>
      <c r="C348" s="110" t="s">
        <v>5755</v>
      </c>
      <c r="D348" s="111">
        <v>3326.52</v>
      </c>
    </row>
    <row r="349" spans="1:4" ht="38.25" x14ac:dyDescent="0.25">
      <c r="A349" s="106">
        <v>43194</v>
      </c>
      <c r="B349" s="108" t="s">
        <v>10608</v>
      </c>
      <c r="C349" s="110" t="s">
        <v>5755</v>
      </c>
      <c r="D349" s="111">
        <v>1343.08</v>
      </c>
    </row>
    <row r="350" spans="1:4" ht="38.25" x14ac:dyDescent="0.25">
      <c r="A350" s="106">
        <v>39551</v>
      </c>
      <c r="B350" s="108" t="s">
        <v>6024</v>
      </c>
      <c r="C350" s="110" t="s">
        <v>5755</v>
      </c>
      <c r="D350" s="111">
        <v>1478.87</v>
      </c>
    </row>
    <row r="351" spans="1:4" ht="38.25" x14ac:dyDescent="0.25">
      <c r="A351" s="106">
        <v>43185</v>
      </c>
      <c r="B351" s="108" t="s">
        <v>10609</v>
      </c>
      <c r="C351" s="110" t="s">
        <v>5755</v>
      </c>
      <c r="D351" s="111">
        <v>4202.7</v>
      </c>
    </row>
    <row r="352" spans="1:4" ht="38.25" x14ac:dyDescent="0.25">
      <c r="A352" s="106">
        <v>43186</v>
      </c>
      <c r="B352" s="108" t="s">
        <v>10610</v>
      </c>
      <c r="C352" s="110" t="s">
        <v>5755</v>
      </c>
      <c r="D352" s="111">
        <v>4433</v>
      </c>
    </row>
    <row r="353" spans="1:4" ht="38.25" x14ac:dyDescent="0.25">
      <c r="A353" s="106">
        <v>43187</v>
      </c>
      <c r="B353" s="108" t="s">
        <v>10611</v>
      </c>
      <c r="C353" s="110" t="s">
        <v>5755</v>
      </c>
      <c r="D353" s="111">
        <v>5882.63</v>
      </c>
    </row>
    <row r="354" spans="1:4" ht="38.25" x14ac:dyDescent="0.25">
      <c r="A354" s="106">
        <v>43188</v>
      </c>
      <c r="B354" s="108" t="s">
        <v>10612</v>
      </c>
      <c r="C354" s="110" t="s">
        <v>5755</v>
      </c>
      <c r="D354" s="111">
        <v>7127.59</v>
      </c>
    </row>
    <row r="355" spans="1:4" ht="38.25" x14ac:dyDescent="0.25">
      <c r="A355" s="106">
        <v>43189</v>
      </c>
      <c r="B355" s="108" t="s">
        <v>10613</v>
      </c>
      <c r="C355" s="110" t="s">
        <v>5755</v>
      </c>
      <c r="D355" s="111">
        <v>8017.35</v>
      </c>
    </row>
    <row r="356" spans="1:4" x14ac:dyDescent="0.25">
      <c r="A356" s="106">
        <v>39580</v>
      </c>
      <c r="B356" s="108" t="s">
        <v>6025</v>
      </c>
      <c r="C356" s="110" t="s">
        <v>5755</v>
      </c>
      <c r="D356" s="111">
        <v>63180.03</v>
      </c>
    </row>
    <row r="357" spans="1:4" x14ac:dyDescent="0.25">
      <c r="A357" s="106">
        <v>39577</v>
      </c>
      <c r="B357" s="108" t="s">
        <v>6026</v>
      </c>
      <c r="C357" s="110" t="s">
        <v>5755</v>
      </c>
      <c r="D357" s="111">
        <v>19775.22</v>
      </c>
    </row>
    <row r="358" spans="1:4" x14ac:dyDescent="0.25">
      <c r="A358" s="106">
        <v>39578</v>
      </c>
      <c r="B358" s="108" t="s">
        <v>6027</v>
      </c>
      <c r="C358" s="110" t="s">
        <v>5755</v>
      </c>
      <c r="D358" s="111">
        <v>25520.31</v>
      </c>
    </row>
    <row r="359" spans="1:4" x14ac:dyDescent="0.25">
      <c r="A359" s="106">
        <v>39579</v>
      </c>
      <c r="B359" s="108" t="s">
        <v>6028</v>
      </c>
      <c r="C359" s="110" t="s">
        <v>5755</v>
      </c>
      <c r="D359" s="111">
        <v>37130.050000000003</v>
      </c>
    </row>
    <row r="360" spans="1:4" ht="38.25" x14ac:dyDescent="0.25">
      <c r="A360" s="106">
        <v>39826</v>
      </c>
      <c r="B360" s="108" t="s">
        <v>6029</v>
      </c>
      <c r="C360" s="110" t="s">
        <v>5755</v>
      </c>
      <c r="D360" s="111">
        <v>4560.24</v>
      </c>
    </row>
    <row r="361" spans="1:4" x14ac:dyDescent="0.25">
      <c r="A361" s="106">
        <v>10700</v>
      </c>
      <c r="B361" s="108" t="s">
        <v>6030</v>
      </c>
      <c r="C361" s="110" t="s">
        <v>5755</v>
      </c>
      <c r="D361" s="111">
        <v>12306.9</v>
      </c>
    </row>
    <row r="362" spans="1:4" x14ac:dyDescent="0.25">
      <c r="A362" s="106">
        <v>346</v>
      </c>
      <c r="B362" s="108" t="s">
        <v>6031</v>
      </c>
      <c r="C362" s="110" t="s">
        <v>5816</v>
      </c>
      <c r="D362" s="111">
        <v>15.63</v>
      </c>
    </row>
    <row r="363" spans="1:4" x14ac:dyDescent="0.25">
      <c r="A363" s="106">
        <v>3312</v>
      </c>
      <c r="B363" s="108" t="s">
        <v>6032</v>
      </c>
      <c r="C363" s="110" t="s">
        <v>5816</v>
      </c>
      <c r="D363" s="111">
        <v>21.12</v>
      </c>
    </row>
    <row r="364" spans="1:4" x14ac:dyDescent="0.25">
      <c r="A364" s="106">
        <v>339</v>
      </c>
      <c r="B364" s="108" t="s">
        <v>10614</v>
      </c>
      <c r="C364" s="110" t="s">
        <v>5767</v>
      </c>
      <c r="D364" s="111">
        <v>0.8</v>
      </c>
    </row>
    <row r="365" spans="1:4" x14ac:dyDescent="0.25">
      <c r="A365" s="106">
        <v>340</v>
      </c>
      <c r="B365" s="108" t="s">
        <v>6033</v>
      </c>
      <c r="C365" s="110" t="s">
        <v>5767</v>
      </c>
      <c r="D365" s="111">
        <v>0.72</v>
      </c>
    </row>
    <row r="366" spans="1:4" ht="25.5" x14ac:dyDescent="0.25">
      <c r="A366" s="106">
        <v>43130</v>
      </c>
      <c r="B366" s="108" t="s">
        <v>10615</v>
      </c>
      <c r="C366" s="110" t="s">
        <v>5816</v>
      </c>
      <c r="D366" s="111">
        <v>13.2</v>
      </c>
    </row>
    <row r="367" spans="1:4" x14ac:dyDescent="0.25">
      <c r="A367" s="106">
        <v>344</v>
      </c>
      <c r="B367" s="108" t="s">
        <v>10616</v>
      </c>
      <c r="C367" s="110" t="s">
        <v>5816</v>
      </c>
      <c r="D367" s="111">
        <v>17.350000000000001</v>
      </c>
    </row>
    <row r="368" spans="1:4" x14ac:dyDescent="0.25">
      <c r="A368" s="106">
        <v>345</v>
      </c>
      <c r="B368" s="108" t="s">
        <v>10617</v>
      </c>
      <c r="C368" s="110" t="s">
        <v>5816</v>
      </c>
      <c r="D368" s="111">
        <v>18.82</v>
      </c>
    </row>
    <row r="369" spans="1:4" ht="25.5" x14ac:dyDescent="0.25">
      <c r="A369" s="106">
        <v>43131</v>
      </c>
      <c r="B369" s="108" t="s">
        <v>10618</v>
      </c>
      <c r="C369" s="110" t="s">
        <v>5816</v>
      </c>
      <c r="D369" s="111">
        <v>15.33</v>
      </c>
    </row>
    <row r="370" spans="1:4" x14ac:dyDescent="0.25">
      <c r="A370" s="106">
        <v>3313</v>
      </c>
      <c r="B370" s="108" t="s">
        <v>6034</v>
      </c>
      <c r="C370" s="110" t="s">
        <v>5816</v>
      </c>
      <c r="D370" s="111">
        <v>27.18</v>
      </c>
    </row>
    <row r="371" spans="1:4" ht="25.5" x14ac:dyDescent="0.25">
      <c r="A371" s="106">
        <v>43132</v>
      </c>
      <c r="B371" s="108" t="s">
        <v>13033</v>
      </c>
      <c r="C371" s="110" t="s">
        <v>5816</v>
      </c>
      <c r="D371" s="111">
        <v>13.2</v>
      </c>
    </row>
    <row r="372" spans="1:4" ht="25.5" x14ac:dyDescent="0.25">
      <c r="A372" s="106">
        <v>369</v>
      </c>
      <c r="B372" s="108" t="s">
        <v>6035</v>
      </c>
      <c r="C372" s="110" t="s">
        <v>5902</v>
      </c>
      <c r="D372" s="111">
        <v>66.56</v>
      </c>
    </row>
    <row r="373" spans="1:4" ht="25.5" x14ac:dyDescent="0.25">
      <c r="A373" s="106">
        <v>366</v>
      </c>
      <c r="B373" s="108" t="s">
        <v>6036</v>
      </c>
      <c r="C373" s="110" t="s">
        <v>5902</v>
      </c>
      <c r="D373" s="111">
        <v>66.5</v>
      </c>
    </row>
    <row r="374" spans="1:4" ht="25.5" x14ac:dyDescent="0.25">
      <c r="A374" s="106">
        <v>367</v>
      </c>
      <c r="B374" s="108" t="s">
        <v>6037</v>
      </c>
      <c r="C374" s="110" t="s">
        <v>5902</v>
      </c>
      <c r="D374" s="111">
        <v>66.5</v>
      </c>
    </row>
    <row r="375" spans="1:4" ht="25.5" x14ac:dyDescent="0.25">
      <c r="A375" s="106">
        <v>370</v>
      </c>
      <c r="B375" s="108" t="s">
        <v>439</v>
      </c>
      <c r="C375" s="110" t="s">
        <v>5902</v>
      </c>
      <c r="D375" s="111">
        <v>62.5</v>
      </c>
    </row>
    <row r="376" spans="1:4" ht="25.5" x14ac:dyDescent="0.25">
      <c r="A376" s="106">
        <v>368</v>
      </c>
      <c r="B376" s="108" t="s">
        <v>6038</v>
      </c>
      <c r="C376" s="110" t="s">
        <v>5902</v>
      </c>
      <c r="D376" s="111">
        <v>49.87</v>
      </c>
    </row>
    <row r="377" spans="1:4" ht="25.5" x14ac:dyDescent="0.25">
      <c r="A377" s="106">
        <v>11075</v>
      </c>
      <c r="B377" s="108" t="s">
        <v>6039</v>
      </c>
      <c r="C377" s="110" t="s">
        <v>5902</v>
      </c>
      <c r="D377" s="111">
        <v>1088.93</v>
      </c>
    </row>
    <row r="378" spans="1:4" ht="25.5" x14ac:dyDescent="0.25">
      <c r="A378" s="106">
        <v>11076</v>
      </c>
      <c r="B378" s="108" t="s">
        <v>6040</v>
      </c>
      <c r="C378" s="110" t="s">
        <v>5902</v>
      </c>
      <c r="D378" s="111">
        <v>83.12</v>
      </c>
    </row>
    <row r="379" spans="1:4" x14ac:dyDescent="0.25">
      <c r="A379" s="106">
        <v>1381</v>
      </c>
      <c r="B379" s="108" t="s">
        <v>419</v>
      </c>
      <c r="C379" s="110" t="s">
        <v>5816</v>
      </c>
      <c r="D379" s="111">
        <v>0.65</v>
      </c>
    </row>
    <row r="380" spans="1:4" x14ac:dyDescent="0.25">
      <c r="A380" s="106">
        <v>34353</v>
      </c>
      <c r="B380" s="108" t="s">
        <v>13034</v>
      </c>
      <c r="C380" s="110" t="s">
        <v>5816</v>
      </c>
      <c r="D380" s="111">
        <v>1.21</v>
      </c>
    </row>
    <row r="381" spans="1:4" x14ac:dyDescent="0.25">
      <c r="A381" s="106">
        <v>37595</v>
      </c>
      <c r="B381" s="108" t="s">
        <v>13035</v>
      </c>
      <c r="C381" s="110" t="s">
        <v>5816</v>
      </c>
      <c r="D381" s="111">
        <v>1.99</v>
      </c>
    </row>
    <row r="382" spans="1:4" x14ac:dyDescent="0.25">
      <c r="A382" s="106">
        <v>37596</v>
      </c>
      <c r="B382" s="108" t="s">
        <v>13036</v>
      </c>
      <c r="C382" s="110" t="s">
        <v>5816</v>
      </c>
      <c r="D382" s="111">
        <v>2.29</v>
      </c>
    </row>
    <row r="383" spans="1:4" ht="25.5" x14ac:dyDescent="0.25">
      <c r="A383" s="106">
        <v>371</v>
      </c>
      <c r="B383" s="108" t="s">
        <v>407</v>
      </c>
      <c r="C383" s="110" t="s">
        <v>5816</v>
      </c>
      <c r="D383" s="111">
        <v>0.71</v>
      </c>
    </row>
    <row r="384" spans="1:4" x14ac:dyDescent="0.25">
      <c r="A384" s="106">
        <v>37553</v>
      </c>
      <c r="B384" s="108" t="s">
        <v>6041</v>
      </c>
      <c r="C384" s="110" t="s">
        <v>5816</v>
      </c>
      <c r="D384" s="111">
        <v>1.32</v>
      </c>
    </row>
    <row r="385" spans="1:4" x14ac:dyDescent="0.25">
      <c r="A385" s="106">
        <v>37552</v>
      </c>
      <c r="B385" s="108" t="s">
        <v>6042</v>
      </c>
      <c r="C385" s="110" t="s">
        <v>5816</v>
      </c>
      <c r="D385" s="111">
        <v>2.13</v>
      </c>
    </row>
    <row r="386" spans="1:4" x14ac:dyDescent="0.25">
      <c r="A386" s="106">
        <v>36880</v>
      </c>
      <c r="B386" s="108" t="s">
        <v>13037</v>
      </c>
      <c r="C386" s="110" t="s">
        <v>5816</v>
      </c>
      <c r="D386" s="111">
        <v>2.17</v>
      </c>
    </row>
    <row r="387" spans="1:4" x14ac:dyDescent="0.25">
      <c r="A387" s="106">
        <v>34355</v>
      </c>
      <c r="B387" s="108" t="s">
        <v>6043</v>
      </c>
      <c r="C387" s="110" t="s">
        <v>5816</v>
      </c>
      <c r="D387" s="111">
        <v>1.86</v>
      </c>
    </row>
    <row r="388" spans="1:4" x14ac:dyDescent="0.25">
      <c r="A388" s="106">
        <v>130</v>
      </c>
      <c r="B388" s="108" t="s">
        <v>6044</v>
      </c>
      <c r="C388" s="110" t="s">
        <v>5816</v>
      </c>
      <c r="D388" s="111">
        <v>2.87</v>
      </c>
    </row>
    <row r="389" spans="1:4" ht="25.5" x14ac:dyDescent="0.25">
      <c r="A389" s="106">
        <v>135</v>
      </c>
      <c r="B389" s="108" t="s">
        <v>6045</v>
      </c>
      <c r="C389" s="110" t="s">
        <v>5816</v>
      </c>
      <c r="D389" s="111">
        <v>2.31</v>
      </c>
    </row>
    <row r="390" spans="1:4" x14ac:dyDescent="0.25">
      <c r="A390" s="106">
        <v>36886</v>
      </c>
      <c r="B390" s="108" t="s">
        <v>6046</v>
      </c>
      <c r="C390" s="110" t="s">
        <v>5816</v>
      </c>
      <c r="D390" s="111">
        <v>0.67</v>
      </c>
    </row>
    <row r="391" spans="1:4" ht="25.5" x14ac:dyDescent="0.25">
      <c r="A391" s="106">
        <v>38546</v>
      </c>
      <c r="B391" s="108" t="s">
        <v>6047</v>
      </c>
      <c r="C391" s="110" t="s">
        <v>5902</v>
      </c>
      <c r="D391" s="111">
        <v>400.23</v>
      </c>
    </row>
    <row r="392" spans="1:4" x14ac:dyDescent="0.25">
      <c r="A392" s="106">
        <v>34549</v>
      </c>
      <c r="B392" s="108" t="s">
        <v>477</v>
      </c>
      <c r="C392" s="110" t="s">
        <v>5902</v>
      </c>
      <c r="D392" s="111">
        <v>199.68</v>
      </c>
    </row>
    <row r="393" spans="1:4" ht="25.5" x14ac:dyDescent="0.25">
      <c r="A393" s="106">
        <v>6081</v>
      </c>
      <c r="B393" s="108" t="s">
        <v>6048</v>
      </c>
      <c r="C393" s="110" t="s">
        <v>5902</v>
      </c>
      <c r="D393" s="111">
        <v>28.28</v>
      </c>
    </row>
    <row r="394" spans="1:4" ht="25.5" x14ac:dyDescent="0.25">
      <c r="A394" s="106">
        <v>6077</v>
      </c>
      <c r="B394" s="108" t="s">
        <v>6049</v>
      </c>
      <c r="C394" s="110" t="s">
        <v>5902</v>
      </c>
      <c r="D394" s="111">
        <v>16.3</v>
      </c>
    </row>
    <row r="395" spans="1:4" ht="25.5" x14ac:dyDescent="0.25">
      <c r="A395" s="106">
        <v>6079</v>
      </c>
      <c r="B395" s="108" t="s">
        <v>6050</v>
      </c>
      <c r="C395" s="110" t="s">
        <v>5902</v>
      </c>
      <c r="D395" s="111">
        <v>9.31</v>
      </c>
    </row>
    <row r="396" spans="1:4" ht="25.5" x14ac:dyDescent="0.25">
      <c r="A396" s="106">
        <v>1091</v>
      </c>
      <c r="B396" s="108" t="s">
        <v>6051</v>
      </c>
      <c r="C396" s="110" t="s">
        <v>5755</v>
      </c>
      <c r="D396" s="111">
        <v>19.47</v>
      </c>
    </row>
    <row r="397" spans="1:4" ht="25.5" x14ac:dyDescent="0.25">
      <c r="A397" s="106">
        <v>1094</v>
      </c>
      <c r="B397" s="108" t="s">
        <v>6052</v>
      </c>
      <c r="C397" s="110" t="s">
        <v>5755</v>
      </c>
      <c r="D397" s="111">
        <v>13.62</v>
      </c>
    </row>
    <row r="398" spans="1:4" ht="25.5" x14ac:dyDescent="0.25">
      <c r="A398" s="106">
        <v>1095</v>
      </c>
      <c r="B398" s="108" t="s">
        <v>6053</v>
      </c>
      <c r="C398" s="110" t="s">
        <v>5755</v>
      </c>
      <c r="D398" s="111">
        <v>28.95</v>
      </c>
    </row>
    <row r="399" spans="1:4" ht="25.5" x14ac:dyDescent="0.25">
      <c r="A399" s="106">
        <v>1092</v>
      </c>
      <c r="B399" s="108" t="s">
        <v>6054</v>
      </c>
      <c r="C399" s="110" t="s">
        <v>5755</v>
      </c>
      <c r="D399" s="111">
        <v>22.4</v>
      </c>
    </row>
    <row r="400" spans="1:4" ht="25.5" x14ac:dyDescent="0.25">
      <c r="A400" s="106">
        <v>1093</v>
      </c>
      <c r="B400" s="108" t="s">
        <v>6055</v>
      </c>
      <c r="C400" s="110" t="s">
        <v>5755</v>
      </c>
      <c r="D400" s="111">
        <v>52.31</v>
      </c>
    </row>
    <row r="401" spans="1:4" ht="25.5" x14ac:dyDescent="0.25">
      <c r="A401" s="106">
        <v>1090</v>
      </c>
      <c r="B401" s="108" t="s">
        <v>6056</v>
      </c>
      <c r="C401" s="110" t="s">
        <v>5755</v>
      </c>
      <c r="D401" s="111">
        <v>37.450000000000003</v>
      </c>
    </row>
    <row r="402" spans="1:4" ht="25.5" x14ac:dyDescent="0.25">
      <c r="A402" s="106">
        <v>1096</v>
      </c>
      <c r="B402" s="108" t="s">
        <v>667</v>
      </c>
      <c r="C402" s="110" t="s">
        <v>5755</v>
      </c>
      <c r="D402" s="111">
        <v>67.400000000000006</v>
      </c>
    </row>
    <row r="403" spans="1:4" ht="25.5" x14ac:dyDescent="0.25">
      <c r="A403" s="106">
        <v>1097</v>
      </c>
      <c r="B403" s="108" t="s">
        <v>6057</v>
      </c>
      <c r="C403" s="110" t="s">
        <v>5755</v>
      </c>
      <c r="D403" s="111">
        <v>57.21</v>
      </c>
    </row>
    <row r="404" spans="1:4" x14ac:dyDescent="0.25">
      <c r="A404" s="106">
        <v>378</v>
      </c>
      <c r="B404" s="108" t="s">
        <v>6058</v>
      </c>
      <c r="C404" s="110" t="s">
        <v>5759</v>
      </c>
      <c r="D404" s="111">
        <v>12.79</v>
      </c>
    </row>
    <row r="405" spans="1:4" x14ac:dyDescent="0.25">
      <c r="A405" s="106">
        <v>40911</v>
      </c>
      <c r="B405" s="108" t="s">
        <v>6059</v>
      </c>
      <c r="C405" s="110" t="s">
        <v>5906</v>
      </c>
      <c r="D405" s="111">
        <v>2266.4299999999998</v>
      </c>
    </row>
    <row r="406" spans="1:4" x14ac:dyDescent="0.25">
      <c r="A406" s="106">
        <v>33939</v>
      </c>
      <c r="B406" s="108" t="s">
        <v>6060</v>
      </c>
      <c r="C406" s="110" t="s">
        <v>5759</v>
      </c>
      <c r="D406" s="111">
        <v>57.04</v>
      </c>
    </row>
    <row r="407" spans="1:4" x14ac:dyDescent="0.25">
      <c r="A407" s="106">
        <v>40815</v>
      </c>
      <c r="B407" s="108" t="s">
        <v>6061</v>
      </c>
      <c r="C407" s="110" t="s">
        <v>5906</v>
      </c>
      <c r="D407" s="111">
        <v>10107.67</v>
      </c>
    </row>
    <row r="408" spans="1:4" x14ac:dyDescent="0.25">
      <c r="A408" s="106">
        <v>34760</v>
      </c>
      <c r="B408" s="108" t="s">
        <v>6062</v>
      </c>
      <c r="C408" s="110" t="s">
        <v>5759</v>
      </c>
      <c r="D408" s="111">
        <v>53.85</v>
      </c>
    </row>
    <row r="409" spans="1:4" x14ac:dyDescent="0.25">
      <c r="A409" s="106">
        <v>40935</v>
      </c>
      <c r="B409" s="108" t="s">
        <v>6063</v>
      </c>
      <c r="C409" s="110" t="s">
        <v>5906</v>
      </c>
      <c r="D409" s="111">
        <v>9544.09</v>
      </c>
    </row>
    <row r="410" spans="1:4" x14ac:dyDescent="0.25">
      <c r="A410" s="106">
        <v>33952</v>
      </c>
      <c r="B410" s="108" t="s">
        <v>6064</v>
      </c>
      <c r="C410" s="110" t="s">
        <v>5759</v>
      </c>
      <c r="D410" s="111">
        <v>81.02</v>
      </c>
    </row>
    <row r="411" spans="1:4" x14ac:dyDescent="0.25">
      <c r="A411" s="106">
        <v>40816</v>
      </c>
      <c r="B411" s="108" t="s">
        <v>6065</v>
      </c>
      <c r="C411" s="110" t="s">
        <v>5906</v>
      </c>
      <c r="D411" s="111">
        <v>14357.11</v>
      </c>
    </row>
    <row r="412" spans="1:4" x14ac:dyDescent="0.25">
      <c r="A412" s="106">
        <v>33953</v>
      </c>
      <c r="B412" s="108" t="s">
        <v>6066</v>
      </c>
      <c r="C412" s="110" t="s">
        <v>5759</v>
      </c>
      <c r="D412" s="111">
        <v>107.12</v>
      </c>
    </row>
    <row r="413" spans="1:4" x14ac:dyDescent="0.25">
      <c r="A413" s="106">
        <v>40817</v>
      </c>
      <c r="B413" s="108" t="s">
        <v>6067</v>
      </c>
      <c r="C413" s="110" t="s">
        <v>5906</v>
      </c>
      <c r="D413" s="111">
        <v>18981.38</v>
      </c>
    </row>
    <row r="414" spans="1:4" ht="25.5" x14ac:dyDescent="0.25">
      <c r="A414" s="106">
        <v>13348</v>
      </c>
      <c r="B414" s="108" t="s">
        <v>6068</v>
      </c>
      <c r="C414" s="110" t="s">
        <v>5755</v>
      </c>
      <c r="D414" s="111">
        <v>0.65</v>
      </c>
    </row>
    <row r="415" spans="1:4" x14ac:dyDescent="0.25">
      <c r="A415" s="106">
        <v>39211</v>
      </c>
      <c r="B415" s="108" t="s">
        <v>6069</v>
      </c>
      <c r="C415" s="110" t="s">
        <v>5755</v>
      </c>
      <c r="D415" s="111">
        <v>1.03</v>
      </c>
    </row>
    <row r="416" spans="1:4" x14ac:dyDescent="0.25">
      <c r="A416" s="106">
        <v>39212</v>
      </c>
      <c r="B416" s="108" t="s">
        <v>6070</v>
      </c>
      <c r="C416" s="110" t="s">
        <v>5755</v>
      </c>
      <c r="D416" s="111">
        <v>1.1499999999999999</v>
      </c>
    </row>
    <row r="417" spans="1:4" x14ac:dyDescent="0.25">
      <c r="A417" s="106">
        <v>39208</v>
      </c>
      <c r="B417" s="108" t="s">
        <v>6071</v>
      </c>
      <c r="C417" s="110" t="s">
        <v>5755</v>
      </c>
      <c r="D417" s="111">
        <v>0.31</v>
      </c>
    </row>
    <row r="418" spans="1:4" x14ac:dyDescent="0.25">
      <c r="A418" s="106">
        <v>39210</v>
      </c>
      <c r="B418" s="108" t="s">
        <v>677</v>
      </c>
      <c r="C418" s="110" t="s">
        <v>5755</v>
      </c>
      <c r="D418" s="111">
        <v>0.56999999999999995</v>
      </c>
    </row>
    <row r="419" spans="1:4" x14ac:dyDescent="0.25">
      <c r="A419" s="106">
        <v>39214</v>
      </c>
      <c r="B419" s="108" t="s">
        <v>6072</v>
      </c>
      <c r="C419" s="110" t="s">
        <v>5755</v>
      </c>
      <c r="D419" s="111">
        <v>2.13</v>
      </c>
    </row>
    <row r="420" spans="1:4" x14ac:dyDescent="0.25">
      <c r="A420" s="106">
        <v>39213</v>
      </c>
      <c r="B420" s="108" t="s">
        <v>6073</v>
      </c>
      <c r="C420" s="110" t="s">
        <v>5755</v>
      </c>
      <c r="D420" s="111">
        <v>1.5</v>
      </c>
    </row>
    <row r="421" spans="1:4" x14ac:dyDescent="0.25">
      <c r="A421" s="106">
        <v>39209</v>
      </c>
      <c r="B421" s="108" t="s">
        <v>533</v>
      </c>
      <c r="C421" s="110" t="s">
        <v>5755</v>
      </c>
      <c r="D421" s="111">
        <v>0.37</v>
      </c>
    </row>
    <row r="422" spans="1:4" x14ac:dyDescent="0.25">
      <c r="A422" s="106">
        <v>39207</v>
      </c>
      <c r="B422" s="108" t="s">
        <v>523</v>
      </c>
      <c r="C422" s="110" t="s">
        <v>5755</v>
      </c>
      <c r="D422" s="111">
        <v>0.56999999999999995</v>
      </c>
    </row>
    <row r="423" spans="1:4" x14ac:dyDescent="0.25">
      <c r="A423" s="106">
        <v>39215</v>
      </c>
      <c r="B423" s="108" t="s">
        <v>6074</v>
      </c>
      <c r="C423" s="110" t="s">
        <v>5755</v>
      </c>
      <c r="D423" s="111">
        <v>3.88</v>
      </c>
    </row>
    <row r="424" spans="1:4" x14ac:dyDescent="0.25">
      <c r="A424" s="106">
        <v>39216</v>
      </c>
      <c r="B424" s="108" t="s">
        <v>6075</v>
      </c>
      <c r="C424" s="110" t="s">
        <v>5755</v>
      </c>
      <c r="D424" s="111">
        <v>5.42</v>
      </c>
    </row>
    <row r="425" spans="1:4" ht="25.5" x14ac:dyDescent="0.25">
      <c r="A425" s="106">
        <v>379</v>
      </c>
      <c r="B425" s="108" t="s">
        <v>6076</v>
      </c>
      <c r="C425" s="110" t="s">
        <v>5755</v>
      </c>
      <c r="D425" s="111">
        <v>0.56999999999999995</v>
      </c>
    </row>
    <row r="426" spans="1:4" ht="25.5" x14ac:dyDescent="0.25">
      <c r="A426" s="106">
        <v>11267</v>
      </c>
      <c r="B426" s="108" t="s">
        <v>674</v>
      </c>
      <c r="C426" s="110" t="s">
        <v>5755</v>
      </c>
      <c r="D426" s="111">
        <v>5.69</v>
      </c>
    </row>
    <row r="427" spans="1:4" ht="25.5" x14ac:dyDescent="0.25">
      <c r="A427" s="106">
        <v>41901</v>
      </c>
      <c r="B427" s="108" t="s">
        <v>6077</v>
      </c>
      <c r="C427" s="110" t="s">
        <v>5816</v>
      </c>
      <c r="D427" s="111">
        <v>5.61</v>
      </c>
    </row>
    <row r="428" spans="1:4" ht="25.5" x14ac:dyDescent="0.25">
      <c r="A428" s="106">
        <v>510</v>
      </c>
      <c r="B428" s="108" t="s">
        <v>6078</v>
      </c>
      <c r="C428" s="110" t="s">
        <v>5816</v>
      </c>
      <c r="D428" s="111">
        <v>8.48</v>
      </c>
    </row>
    <row r="429" spans="1:4" ht="25.5" x14ac:dyDescent="0.25">
      <c r="A429" s="106">
        <v>516</v>
      </c>
      <c r="B429" s="108" t="s">
        <v>6079</v>
      </c>
      <c r="C429" s="110" t="s">
        <v>5816</v>
      </c>
      <c r="D429" s="111">
        <v>9.0399999999999991</v>
      </c>
    </row>
    <row r="430" spans="1:4" ht="25.5" x14ac:dyDescent="0.25">
      <c r="A430" s="106">
        <v>509</v>
      </c>
      <c r="B430" s="108" t="s">
        <v>6080</v>
      </c>
      <c r="C430" s="110" t="s">
        <v>5816</v>
      </c>
      <c r="D430" s="111">
        <v>9.23</v>
      </c>
    </row>
    <row r="431" spans="1:4" x14ac:dyDescent="0.25">
      <c r="A431" s="106">
        <v>40331</v>
      </c>
      <c r="B431" s="108" t="s">
        <v>6081</v>
      </c>
      <c r="C431" s="110" t="s">
        <v>5759</v>
      </c>
      <c r="D431" s="111">
        <v>10.73</v>
      </c>
    </row>
    <row r="432" spans="1:4" x14ac:dyDescent="0.25">
      <c r="A432" s="106">
        <v>40930</v>
      </c>
      <c r="B432" s="108" t="s">
        <v>6082</v>
      </c>
      <c r="C432" s="110" t="s">
        <v>5906</v>
      </c>
      <c r="D432" s="111">
        <v>1903.28</v>
      </c>
    </row>
    <row r="433" spans="1:4" x14ac:dyDescent="0.25">
      <c r="A433" s="106">
        <v>11761</v>
      </c>
      <c r="B433" s="108" t="s">
        <v>6083</v>
      </c>
      <c r="C433" s="110" t="s">
        <v>5755</v>
      </c>
      <c r="D433" s="111">
        <v>58.69</v>
      </c>
    </row>
    <row r="434" spans="1:4" x14ac:dyDescent="0.25">
      <c r="A434" s="106">
        <v>377</v>
      </c>
      <c r="B434" s="108" t="s">
        <v>6084</v>
      </c>
      <c r="C434" s="110" t="s">
        <v>5755</v>
      </c>
      <c r="D434" s="111">
        <v>27.58</v>
      </c>
    </row>
    <row r="435" spans="1:4" x14ac:dyDescent="0.25">
      <c r="A435" s="106">
        <v>7588</v>
      </c>
      <c r="B435" s="108" t="s">
        <v>6085</v>
      </c>
      <c r="C435" s="110" t="s">
        <v>5755</v>
      </c>
      <c r="D435" s="111">
        <v>33.200000000000003</v>
      </c>
    </row>
    <row r="436" spans="1:4" x14ac:dyDescent="0.25">
      <c r="A436" s="106">
        <v>34392</v>
      </c>
      <c r="B436" s="108" t="s">
        <v>6086</v>
      </c>
      <c r="C436" s="110" t="s">
        <v>5759</v>
      </c>
      <c r="D436" s="111">
        <v>9.7899999999999991</v>
      </c>
    </row>
    <row r="437" spans="1:4" x14ac:dyDescent="0.25">
      <c r="A437" s="106">
        <v>40908</v>
      </c>
      <c r="B437" s="108" t="s">
        <v>6087</v>
      </c>
      <c r="C437" s="110" t="s">
        <v>5906</v>
      </c>
      <c r="D437" s="111">
        <v>1736.64</v>
      </c>
    </row>
    <row r="438" spans="1:4" x14ac:dyDescent="0.25">
      <c r="A438" s="106">
        <v>34551</v>
      </c>
      <c r="B438" s="108" t="s">
        <v>6088</v>
      </c>
      <c r="C438" s="110" t="s">
        <v>5759</v>
      </c>
      <c r="D438" s="111">
        <v>9.31</v>
      </c>
    </row>
    <row r="439" spans="1:4" x14ac:dyDescent="0.25">
      <c r="A439" s="106">
        <v>41078</v>
      </c>
      <c r="B439" s="108" t="s">
        <v>6089</v>
      </c>
      <c r="C439" s="110" t="s">
        <v>5906</v>
      </c>
      <c r="D439" s="111">
        <v>1652.12</v>
      </c>
    </row>
    <row r="440" spans="1:4" x14ac:dyDescent="0.25">
      <c r="A440" s="106">
        <v>246</v>
      </c>
      <c r="B440" s="108" t="s">
        <v>6090</v>
      </c>
      <c r="C440" s="110" t="s">
        <v>5759</v>
      </c>
      <c r="D440" s="111">
        <v>9.36</v>
      </c>
    </row>
    <row r="441" spans="1:4" x14ac:dyDescent="0.25">
      <c r="A441" s="106">
        <v>40927</v>
      </c>
      <c r="B441" s="108" t="s">
        <v>6091</v>
      </c>
      <c r="C441" s="110" t="s">
        <v>5906</v>
      </c>
      <c r="D441" s="111">
        <v>1662.35</v>
      </c>
    </row>
    <row r="442" spans="1:4" x14ac:dyDescent="0.25">
      <c r="A442" s="106">
        <v>2350</v>
      </c>
      <c r="B442" s="108" t="s">
        <v>6092</v>
      </c>
      <c r="C442" s="110" t="s">
        <v>5759</v>
      </c>
      <c r="D442" s="111">
        <v>10.3</v>
      </c>
    </row>
    <row r="443" spans="1:4" x14ac:dyDescent="0.25">
      <c r="A443" s="106">
        <v>40812</v>
      </c>
      <c r="B443" s="108" t="s">
        <v>6093</v>
      </c>
      <c r="C443" s="110" t="s">
        <v>5906</v>
      </c>
      <c r="D443" s="111">
        <v>1827.34</v>
      </c>
    </row>
    <row r="444" spans="1:4" x14ac:dyDescent="0.25">
      <c r="A444" s="106">
        <v>245</v>
      </c>
      <c r="B444" s="108" t="s">
        <v>10619</v>
      </c>
      <c r="C444" s="110" t="s">
        <v>5759</v>
      </c>
      <c r="D444" s="111">
        <v>17.54</v>
      </c>
    </row>
    <row r="445" spans="1:4" x14ac:dyDescent="0.25">
      <c r="A445" s="106">
        <v>41090</v>
      </c>
      <c r="B445" s="108" t="s">
        <v>6094</v>
      </c>
      <c r="C445" s="110" t="s">
        <v>5906</v>
      </c>
      <c r="D445" s="111">
        <v>3109.73</v>
      </c>
    </row>
    <row r="446" spans="1:4" x14ac:dyDescent="0.25">
      <c r="A446" s="106">
        <v>251</v>
      </c>
      <c r="B446" s="108" t="s">
        <v>6095</v>
      </c>
      <c r="C446" s="110" t="s">
        <v>5759</v>
      </c>
      <c r="D446" s="111">
        <v>8</v>
      </c>
    </row>
    <row r="447" spans="1:4" x14ac:dyDescent="0.25">
      <c r="A447" s="106">
        <v>40975</v>
      </c>
      <c r="B447" s="108" t="s">
        <v>6096</v>
      </c>
      <c r="C447" s="110" t="s">
        <v>5906</v>
      </c>
      <c r="D447" s="111">
        <v>1420.78</v>
      </c>
    </row>
    <row r="448" spans="1:4" x14ac:dyDescent="0.25">
      <c r="A448" s="106">
        <v>6127</v>
      </c>
      <c r="B448" s="108" t="s">
        <v>6097</v>
      </c>
      <c r="C448" s="110" t="s">
        <v>5759</v>
      </c>
      <c r="D448" s="111">
        <v>9.49</v>
      </c>
    </row>
    <row r="449" spans="1:4" x14ac:dyDescent="0.25">
      <c r="A449" s="106">
        <v>41072</v>
      </c>
      <c r="B449" s="108" t="s">
        <v>6098</v>
      </c>
      <c r="C449" s="110" t="s">
        <v>5906</v>
      </c>
      <c r="D449" s="111">
        <v>1684.02</v>
      </c>
    </row>
    <row r="450" spans="1:4" x14ac:dyDescent="0.25">
      <c r="A450" s="106">
        <v>6121</v>
      </c>
      <c r="B450" s="108" t="s">
        <v>6099</v>
      </c>
      <c r="C450" s="110" t="s">
        <v>5759</v>
      </c>
      <c r="D450" s="111">
        <v>10.23</v>
      </c>
    </row>
    <row r="451" spans="1:4" x14ac:dyDescent="0.25">
      <c r="A451" s="106">
        <v>41071</v>
      </c>
      <c r="B451" s="108" t="s">
        <v>6100</v>
      </c>
      <c r="C451" s="110" t="s">
        <v>5906</v>
      </c>
      <c r="D451" s="111">
        <v>1815.09</v>
      </c>
    </row>
    <row r="452" spans="1:4" x14ac:dyDescent="0.25">
      <c r="A452" s="106">
        <v>244</v>
      </c>
      <c r="B452" s="108" t="s">
        <v>6101</v>
      </c>
      <c r="C452" s="110" t="s">
        <v>5759</v>
      </c>
      <c r="D452" s="111">
        <v>5.04</v>
      </c>
    </row>
    <row r="453" spans="1:4" x14ac:dyDescent="0.25">
      <c r="A453" s="106">
        <v>41093</v>
      </c>
      <c r="B453" s="108" t="s">
        <v>6102</v>
      </c>
      <c r="C453" s="110" t="s">
        <v>5906</v>
      </c>
      <c r="D453" s="111">
        <v>895.16</v>
      </c>
    </row>
    <row r="454" spans="1:4" x14ac:dyDescent="0.25">
      <c r="A454" s="106">
        <v>532</v>
      </c>
      <c r="B454" s="108" t="s">
        <v>6103</v>
      </c>
      <c r="C454" s="110" t="s">
        <v>5759</v>
      </c>
      <c r="D454" s="111">
        <v>19.98</v>
      </c>
    </row>
    <row r="455" spans="1:4" x14ac:dyDescent="0.25">
      <c r="A455" s="106">
        <v>40931</v>
      </c>
      <c r="B455" s="108" t="s">
        <v>6104</v>
      </c>
      <c r="C455" s="110" t="s">
        <v>5906</v>
      </c>
      <c r="D455" s="111">
        <v>3542.68</v>
      </c>
    </row>
    <row r="456" spans="1:4" x14ac:dyDescent="0.25">
      <c r="A456" s="106">
        <v>36150</v>
      </c>
      <c r="B456" s="108" t="s">
        <v>6105</v>
      </c>
      <c r="C456" s="110" t="s">
        <v>5755</v>
      </c>
      <c r="D456" s="111">
        <v>35.49</v>
      </c>
    </row>
    <row r="457" spans="1:4" x14ac:dyDescent="0.25">
      <c r="A457" s="106">
        <v>4760</v>
      </c>
      <c r="B457" s="108" t="s">
        <v>10620</v>
      </c>
      <c r="C457" s="110" t="s">
        <v>5759</v>
      </c>
      <c r="D457" s="111">
        <v>12.79</v>
      </c>
    </row>
    <row r="458" spans="1:4" x14ac:dyDescent="0.25">
      <c r="A458" s="106">
        <v>41069</v>
      </c>
      <c r="B458" s="108" t="s">
        <v>6106</v>
      </c>
      <c r="C458" s="110" t="s">
        <v>5906</v>
      </c>
      <c r="D458" s="111">
        <v>2266.4299999999998</v>
      </c>
    </row>
    <row r="459" spans="1:4" x14ac:dyDescent="0.25">
      <c r="A459" s="106">
        <v>10422</v>
      </c>
      <c r="B459" s="108" t="s">
        <v>6107</v>
      </c>
      <c r="C459" s="110" t="s">
        <v>5755</v>
      </c>
      <c r="D459" s="111">
        <v>285.16000000000003</v>
      </c>
    </row>
    <row r="460" spans="1:4" x14ac:dyDescent="0.25">
      <c r="A460" s="106">
        <v>10420</v>
      </c>
      <c r="B460" s="108" t="s">
        <v>6108</v>
      </c>
      <c r="C460" s="110" t="s">
        <v>5755</v>
      </c>
      <c r="D460" s="111">
        <v>106.95</v>
      </c>
    </row>
    <row r="461" spans="1:4" x14ac:dyDescent="0.25">
      <c r="A461" s="106">
        <v>10421</v>
      </c>
      <c r="B461" s="108" t="s">
        <v>6109</v>
      </c>
      <c r="C461" s="110" t="s">
        <v>5755</v>
      </c>
      <c r="D461" s="111">
        <v>143.13</v>
      </c>
    </row>
    <row r="462" spans="1:4" ht="25.5" x14ac:dyDescent="0.25">
      <c r="A462" s="106">
        <v>36520</v>
      </c>
      <c r="B462" s="108" t="s">
        <v>6110</v>
      </c>
      <c r="C462" s="110" t="s">
        <v>5755</v>
      </c>
      <c r="D462" s="111">
        <v>532.84</v>
      </c>
    </row>
    <row r="463" spans="1:4" x14ac:dyDescent="0.25">
      <c r="A463" s="106">
        <v>11784</v>
      </c>
      <c r="B463" s="108" t="s">
        <v>6111</v>
      </c>
      <c r="C463" s="110" t="s">
        <v>5755</v>
      </c>
      <c r="D463" s="111">
        <v>400.19</v>
      </c>
    </row>
    <row r="464" spans="1:4" x14ac:dyDescent="0.25">
      <c r="A464" s="106">
        <v>10</v>
      </c>
      <c r="B464" s="108" t="s">
        <v>6112</v>
      </c>
      <c r="C464" s="110" t="s">
        <v>5755</v>
      </c>
      <c r="D464" s="111">
        <v>11.23</v>
      </c>
    </row>
    <row r="465" spans="1:4" x14ac:dyDescent="0.25">
      <c r="A465" s="106">
        <v>4815</v>
      </c>
      <c r="B465" s="108" t="s">
        <v>6113</v>
      </c>
      <c r="C465" s="110" t="s">
        <v>5755</v>
      </c>
      <c r="D465" s="111">
        <v>5.01</v>
      </c>
    </row>
    <row r="466" spans="1:4" x14ac:dyDescent="0.25">
      <c r="A466" s="106">
        <v>541</v>
      </c>
      <c r="B466" s="108" t="s">
        <v>6114</v>
      </c>
      <c r="C466" s="110" t="s">
        <v>5755</v>
      </c>
      <c r="D466" s="111">
        <v>124.63</v>
      </c>
    </row>
    <row r="467" spans="1:4" x14ac:dyDescent="0.25">
      <c r="A467" s="106">
        <v>542</v>
      </c>
      <c r="B467" s="108" t="s">
        <v>6115</v>
      </c>
      <c r="C467" s="110" t="s">
        <v>5755</v>
      </c>
      <c r="D467" s="111">
        <v>156.22</v>
      </c>
    </row>
    <row r="468" spans="1:4" x14ac:dyDescent="0.25">
      <c r="A468" s="106">
        <v>540</v>
      </c>
      <c r="B468" s="108" t="s">
        <v>6116</v>
      </c>
      <c r="C468" s="110" t="s">
        <v>5755</v>
      </c>
      <c r="D468" s="111">
        <v>352.05</v>
      </c>
    </row>
    <row r="469" spans="1:4" ht="38.25" x14ac:dyDescent="0.25">
      <c r="A469" s="106">
        <v>38364</v>
      </c>
      <c r="B469" s="108" t="s">
        <v>6117</v>
      </c>
      <c r="C469" s="110" t="s">
        <v>5755</v>
      </c>
      <c r="D469" s="111">
        <v>754.71</v>
      </c>
    </row>
    <row r="470" spans="1:4" x14ac:dyDescent="0.25">
      <c r="A470" s="106">
        <v>11692</v>
      </c>
      <c r="B470" s="108" t="s">
        <v>6118</v>
      </c>
      <c r="C470" s="110" t="s">
        <v>5757</v>
      </c>
      <c r="D470" s="111">
        <v>420.99</v>
      </c>
    </row>
    <row r="471" spans="1:4" ht="25.5" x14ac:dyDescent="0.25">
      <c r="A471" s="106">
        <v>1746</v>
      </c>
      <c r="B471" s="108" t="s">
        <v>6119</v>
      </c>
      <c r="C471" s="110" t="s">
        <v>5755</v>
      </c>
      <c r="D471" s="111">
        <v>183</v>
      </c>
    </row>
    <row r="472" spans="1:4" ht="25.5" x14ac:dyDescent="0.25">
      <c r="A472" s="106">
        <v>1748</v>
      </c>
      <c r="B472" s="108" t="s">
        <v>6120</v>
      </c>
      <c r="C472" s="110" t="s">
        <v>5755</v>
      </c>
      <c r="D472" s="111">
        <v>243.34</v>
      </c>
    </row>
    <row r="473" spans="1:4" ht="25.5" x14ac:dyDescent="0.25">
      <c r="A473" s="106">
        <v>1749</v>
      </c>
      <c r="B473" s="108" t="s">
        <v>6121</v>
      </c>
      <c r="C473" s="110" t="s">
        <v>5755</v>
      </c>
      <c r="D473" s="111">
        <v>352.56</v>
      </c>
    </row>
    <row r="474" spans="1:4" ht="25.5" x14ac:dyDescent="0.25">
      <c r="A474" s="106">
        <v>37412</v>
      </c>
      <c r="B474" s="108" t="s">
        <v>6122</v>
      </c>
      <c r="C474" s="110" t="s">
        <v>5755</v>
      </c>
      <c r="D474" s="111">
        <v>178.88</v>
      </c>
    </row>
    <row r="475" spans="1:4" ht="25.5" x14ac:dyDescent="0.25">
      <c r="A475" s="106">
        <v>1745</v>
      </c>
      <c r="B475" s="108" t="s">
        <v>6123</v>
      </c>
      <c r="C475" s="110" t="s">
        <v>5755</v>
      </c>
      <c r="D475" s="111">
        <v>212.71</v>
      </c>
    </row>
    <row r="476" spans="1:4" ht="25.5" x14ac:dyDescent="0.25">
      <c r="A476" s="106">
        <v>1750</v>
      </c>
      <c r="B476" s="108" t="s">
        <v>6124</v>
      </c>
      <c r="C476" s="110" t="s">
        <v>5755</v>
      </c>
      <c r="D476" s="111">
        <v>497.08</v>
      </c>
    </row>
    <row r="477" spans="1:4" ht="25.5" x14ac:dyDescent="0.25">
      <c r="A477" s="106">
        <v>11687</v>
      </c>
      <c r="B477" s="108" t="s">
        <v>6125</v>
      </c>
      <c r="C477" s="110" t="s">
        <v>5767</v>
      </c>
      <c r="D477" s="111">
        <v>792</v>
      </c>
    </row>
    <row r="478" spans="1:4" ht="25.5" x14ac:dyDescent="0.25">
      <c r="A478" s="106">
        <v>11689</v>
      </c>
      <c r="B478" s="108" t="s">
        <v>6126</v>
      </c>
      <c r="C478" s="110" t="s">
        <v>5767</v>
      </c>
      <c r="D478" s="111">
        <v>992.33</v>
      </c>
    </row>
    <row r="479" spans="1:4" x14ac:dyDescent="0.25">
      <c r="A479" s="106">
        <v>11693</v>
      </c>
      <c r="B479" s="108" t="s">
        <v>6127</v>
      </c>
      <c r="C479" s="110" t="s">
        <v>5757</v>
      </c>
      <c r="D479" s="111">
        <v>138.19</v>
      </c>
    </row>
    <row r="480" spans="1:4" ht="25.5" x14ac:dyDescent="0.25">
      <c r="A480" s="106">
        <v>36215</v>
      </c>
      <c r="B480" s="108" t="s">
        <v>642</v>
      </c>
      <c r="C480" s="110" t="s">
        <v>5755</v>
      </c>
      <c r="D480" s="111">
        <v>1052.25</v>
      </c>
    </row>
    <row r="481" spans="1:4" ht="38.25" x14ac:dyDescent="0.25">
      <c r="A481" s="106">
        <v>42439</v>
      </c>
      <c r="B481" s="108" t="s">
        <v>6128</v>
      </c>
      <c r="C481" s="110" t="s">
        <v>5755</v>
      </c>
      <c r="D481" s="111">
        <v>686.09</v>
      </c>
    </row>
    <row r="482" spans="1:4" x14ac:dyDescent="0.25">
      <c r="A482" s="106">
        <v>38381</v>
      </c>
      <c r="B482" s="108" t="s">
        <v>6129</v>
      </c>
      <c r="C482" s="110" t="s">
        <v>5755</v>
      </c>
      <c r="D482" s="111">
        <v>9.1</v>
      </c>
    </row>
    <row r="483" spans="1:4" x14ac:dyDescent="0.25">
      <c r="A483" s="106">
        <v>39621</v>
      </c>
      <c r="B483" s="108" t="s">
        <v>493</v>
      </c>
      <c r="C483" s="110" t="s">
        <v>6130</v>
      </c>
      <c r="D483" s="111">
        <v>1207.31</v>
      </c>
    </row>
    <row r="484" spans="1:4" x14ac:dyDescent="0.25">
      <c r="A484" s="106">
        <v>39624</v>
      </c>
      <c r="B484" s="108" t="s">
        <v>6131</v>
      </c>
      <c r="C484" s="110" t="s">
        <v>6130</v>
      </c>
      <c r="D484" s="111">
        <v>1221.72</v>
      </c>
    </row>
    <row r="485" spans="1:4" x14ac:dyDescent="0.25">
      <c r="A485" s="106">
        <v>39615</v>
      </c>
      <c r="B485" s="108" t="s">
        <v>6132</v>
      </c>
      <c r="C485" s="110" t="s">
        <v>5755</v>
      </c>
      <c r="D485" s="111">
        <v>421.2</v>
      </c>
    </row>
    <row r="486" spans="1:4" ht="25.5" x14ac:dyDescent="0.25">
      <c r="A486" s="106">
        <v>39620</v>
      </c>
      <c r="B486" s="108" t="s">
        <v>6133</v>
      </c>
      <c r="C486" s="110" t="s">
        <v>5755</v>
      </c>
      <c r="D486" s="111">
        <v>643.9</v>
      </c>
    </row>
    <row r="487" spans="1:4" x14ac:dyDescent="0.25">
      <c r="A487" s="106">
        <v>39623</v>
      </c>
      <c r="B487" s="108" t="s">
        <v>6134</v>
      </c>
      <c r="C487" s="110" t="s">
        <v>5755</v>
      </c>
      <c r="D487" s="111">
        <v>623.51</v>
      </c>
    </row>
    <row r="488" spans="1:4" ht="25.5" x14ac:dyDescent="0.25">
      <c r="A488" s="106">
        <v>36207</v>
      </c>
      <c r="B488" s="108" t="s">
        <v>6135</v>
      </c>
      <c r="C488" s="110" t="s">
        <v>5755</v>
      </c>
      <c r="D488" s="111">
        <v>466.08</v>
      </c>
    </row>
    <row r="489" spans="1:4" ht="25.5" x14ac:dyDescent="0.25">
      <c r="A489" s="106">
        <v>36209</v>
      </c>
      <c r="B489" s="108" t="s">
        <v>6136</v>
      </c>
      <c r="C489" s="110" t="s">
        <v>5755</v>
      </c>
      <c r="D489" s="111">
        <v>534.89</v>
      </c>
    </row>
    <row r="490" spans="1:4" ht="25.5" x14ac:dyDescent="0.25">
      <c r="A490" s="106">
        <v>36210</v>
      </c>
      <c r="B490" s="108" t="s">
        <v>6137</v>
      </c>
      <c r="C490" s="110" t="s">
        <v>5755</v>
      </c>
      <c r="D490" s="111">
        <v>578.74</v>
      </c>
    </row>
    <row r="491" spans="1:4" ht="25.5" x14ac:dyDescent="0.25">
      <c r="A491" s="106">
        <v>36204</v>
      </c>
      <c r="B491" s="108" t="s">
        <v>638</v>
      </c>
      <c r="C491" s="110" t="s">
        <v>5755</v>
      </c>
      <c r="D491" s="111">
        <v>205.2</v>
      </c>
    </row>
    <row r="492" spans="1:4" ht="25.5" x14ac:dyDescent="0.25">
      <c r="A492" s="106">
        <v>36205</v>
      </c>
      <c r="B492" s="108" t="s">
        <v>639</v>
      </c>
      <c r="C492" s="110" t="s">
        <v>5755</v>
      </c>
      <c r="D492" s="111">
        <v>227.89</v>
      </c>
    </row>
    <row r="493" spans="1:4" ht="25.5" x14ac:dyDescent="0.25">
      <c r="A493" s="106">
        <v>36081</v>
      </c>
      <c r="B493" s="108" t="s">
        <v>640</v>
      </c>
      <c r="C493" s="110" t="s">
        <v>5755</v>
      </c>
      <c r="D493" s="111">
        <v>242.99</v>
      </c>
    </row>
    <row r="494" spans="1:4" ht="25.5" x14ac:dyDescent="0.25">
      <c r="A494" s="106">
        <v>36206</v>
      </c>
      <c r="B494" s="108" t="s">
        <v>6138</v>
      </c>
      <c r="C494" s="110" t="s">
        <v>5755</v>
      </c>
      <c r="D494" s="111">
        <v>254.57</v>
      </c>
    </row>
    <row r="495" spans="1:4" ht="25.5" x14ac:dyDescent="0.25">
      <c r="A495" s="106">
        <v>36218</v>
      </c>
      <c r="B495" s="108" t="s">
        <v>6139</v>
      </c>
      <c r="C495" s="110" t="s">
        <v>5755</v>
      </c>
      <c r="D495" s="111">
        <v>99.97</v>
      </c>
    </row>
    <row r="496" spans="1:4" ht="25.5" x14ac:dyDescent="0.25">
      <c r="A496" s="106">
        <v>36220</v>
      </c>
      <c r="B496" s="108" t="s">
        <v>6140</v>
      </c>
      <c r="C496" s="110" t="s">
        <v>5755</v>
      </c>
      <c r="D496" s="111">
        <v>114.64</v>
      </c>
    </row>
    <row r="497" spans="1:4" ht="25.5" x14ac:dyDescent="0.25">
      <c r="A497" s="106">
        <v>36080</v>
      </c>
      <c r="B497" s="108" t="s">
        <v>6141</v>
      </c>
      <c r="C497" s="110" t="s">
        <v>5755</v>
      </c>
      <c r="D497" s="111">
        <v>124</v>
      </c>
    </row>
    <row r="498" spans="1:4" ht="25.5" x14ac:dyDescent="0.25">
      <c r="A498" s="106">
        <v>36223</v>
      </c>
      <c r="B498" s="108" t="s">
        <v>6142</v>
      </c>
      <c r="C498" s="110" t="s">
        <v>5755</v>
      </c>
      <c r="D498" s="111">
        <v>129.84</v>
      </c>
    </row>
    <row r="499" spans="1:4" x14ac:dyDescent="0.25">
      <c r="A499" s="106">
        <v>546</v>
      </c>
      <c r="B499" s="108" t="s">
        <v>6143</v>
      </c>
      <c r="C499" s="110" t="s">
        <v>5816</v>
      </c>
      <c r="D499" s="111">
        <v>6.23</v>
      </c>
    </row>
    <row r="500" spans="1:4" ht="25.5" x14ac:dyDescent="0.25">
      <c r="A500" s="106">
        <v>557</v>
      </c>
      <c r="B500" s="108" t="s">
        <v>6144</v>
      </c>
      <c r="C500" s="110" t="s">
        <v>5767</v>
      </c>
      <c r="D500" s="111">
        <v>23.91</v>
      </c>
    </row>
    <row r="501" spans="1:4" ht="25.5" x14ac:dyDescent="0.25">
      <c r="A501" s="106">
        <v>552</v>
      </c>
      <c r="B501" s="108" t="s">
        <v>6145</v>
      </c>
      <c r="C501" s="110" t="s">
        <v>5767</v>
      </c>
      <c r="D501" s="111">
        <v>11.77</v>
      </c>
    </row>
    <row r="502" spans="1:4" ht="25.5" x14ac:dyDescent="0.25">
      <c r="A502" s="106">
        <v>555</v>
      </c>
      <c r="B502" s="108" t="s">
        <v>6146</v>
      </c>
      <c r="C502" s="110" t="s">
        <v>5767</v>
      </c>
      <c r="D502" s="111">
        <v>7.21</v>
      </c>
    </row>
    <row r="503" spans="1:4" ht="25.5" x14ac:dyDescent="0.25">
      <c r="A503" s="106">
        <v>565</v>
      </c>
      <c r="B503" s="108" t="s">
        <v>6147</v>
      </c>
      <c r="C503" s="110" t="s">
        <v>5767</v>
      </c>
      <c r="D503" s="111">
        <v>11.02</v>
      </c>
    </row>
    <row r="504" spans="1:4" ht="25.5" x14ac:dyDescent="0.25">
      <c r="A504" s="106">
        <v>549</v>
      </c>
      <c r="B504" s="108" t="s">
        <v>6148</v>
      </c>
      <c r="C504" s="110" t="s">
        <v>5767</v>
      </c>
      <c r="D504" s="111">
        <v>31.52</v>
      </c>
    </row>
    <row r="505" spans="1:4" ht="25.5" x14ac:dyDescent="0.25">
      <c r="A505" s="106">
        <v>559</v>
      </c>
      <c r="B505" s="108" t="s">
        <v>6149</v>
      </c>
      <c r="C505" s="110" t="s">
        <v>5767</v>
      </c>
      <c r="D505" s="111">
        <v>15.76</v>
      </c>
    </row>
    <row r="506" spans="1:4" x14ac:dyDescent="0.25">
      <c r="A506" s="106">
        <v>551</v>
      </c>
      <c r="B506" s="108" t="s">
        <v>6150</v>
      </c>
      <c r="C506" s="110" t="s">
        <v>5767</v>
      </c>
      <c r="D506" s="111">
        <v>61.59</v>
      </c>
    </row>
    <row r="507" spans="1:4" x14ac:dyDescent="0.25">
      <c r="A507" s="106">
        <v>547</v>
      </c>
      <c r="B507" s="108" t="s">
        <v>6151</v>
      </c>
      <c r="C507" s="110" t="s">
        <v>5767</v>
      </c>
      <c r="D507" s="111">
        <v>23.61</v>
      </c>
    </row>
    <row r="508" spans="1:4" ht="25.5" x14ac:dyDescent="0.25">
      <c r="A508" s="106">
        <v>560</v>
      </c>
      <c r="B508" s="108" t="s">
        <v>6152</v>
      </c>
      <c r="C508" s="110" t="s">
        <v>5767</v>
      </c>
      <c r="D508" s="111">
        <v>19.95</v>
      </c>
    </row>
    <row r="509" spans="1:4" ht="25.5" x14ac:dyDescent="0.25">
      <c r="A509" s="106">
        <v>566</v>
      </c>
      <c r="B509" s="108" t="s">
        <v>6153</v>
      </c>
      <c r="C509" s="110" t="s">
        <v>5767</v>
      </c>
      <c r="D509" s="111">
        <v>3.2</v>
      </c>
    </row>
    <row r="510" spans="1:4" ht="25.5" x14ac:dyDescent="0.25">
      <c r="A510" s="106">
        <v>563</v>
      </c>
      <c r="B510" s="108" t="s">
        <v>6154</v>
      </c>
      <c r="C510" s="110" t="s">
        <v>5767</v>
      </c>
      <c r="D510" s="111">
        <v>17.920000000000002</v>
      </c>
    </row>
    <row r="511" spans="1:4" x14ac:dyDescent="0.25">
      <c r="A511" s="106">
        <v>38127</v>
      </c>
      <c r="B511" s="108" t="s">
        <v>6155</v>
      </c>
      <c r="C511" s="110" t="s">
        <v>5755</v>
      </c>
      <c r="D511" s="111">
        <v>375.63</v>
      </c>
    </row>
    <row r="512" spans="1:4" x14ac:dyDescent="0.25">
      <c r="A512" s="106">
        <v>38060</v>
      </c>
      <c r="B512" s="108" t="s">
        <v>6156</v>
      </c>
      <c r="C512" s="110" t="s">
        <v>5755</v>
      </c>
      <c r="D512" s="111">
        <v>66.349999999999994</v>
      </c>
    </row>
    <row r="513" spans="1:4" x14ac:dyDescent="0.25">
      <c r="A513" s="106">
        <v>10956</v>
      </c>
      <c r="B513" s="108" t="s">
        <v>6157</v>
      </c>
      <c r="C513" s="110" t="s">
        <v>5755</v>
      </c>
      <c r="D513" s="111">
        <v>68.930000000000007</v>
      </c>
    </row>
    <row r="514" spans="1:4" x14ac:dyDescent="0.25">
      <c r="A514" s="106">
        <v>39380</v>
      </c>
      <c r="B514" s="108" t="s">
        <v>6158</v>
      </c>
      <c r="C514" s="110" t="s">
        <v>5755</v>
      </c>
      <c r="D514" s="111">
        <v>9.82</v>
      </c>
    </row>
    <row r="515" spans="1:4" ht="25.5" x14ac:dyDescent="0.25">
      <c r="A515" s="106">
        <v>13374</v>
      </c>
      <c r="B515" s="108" t="s">
        <v>6159</v>
      </c>
      <c r="C515" s="110" t="s">
        <v>5755</v>
      </c>
      <c r="D515" s="111">
        <v>89.96</v>
      </c>
    </row>
    <row r="516" spans="1:4" ht="25.5" x14ac:dyDescent="0.25">
      <c r="A516" s="106">
        <v>37597</v>
      </c>
      <c r="B516" s="108" t="s">
        <v>6160</v>
      </c>
      <c r="C516" s="110" t="s">
        <v>5755</v>
      </c>
      <c r="D516" s="111">
        <v>332215.39</v>
      </c>
    </row>
    <row r="517" spans="1:4" ht="51" x14ac:dyDescent="0.25">
      <c r="A517" s="106">
        <v>183</v>
      </c>
      <c r="B517" s="108" t="s">
        <v>6161</v>
      </c>
      <c r="C517" s="110" t="s">
        <v>6162</v>
      </c>
      <c r="D517" s="111">
        <v>109.45</v>
      </c>
    </row>
    <row r="518" spans="1:4" ht="38.25" x14ac:dyDescent="0.25">
      <c r="A518" s="106">
        <v>184</v>
      </c>
      <c r="B518" s="108" t="s">
        <v>6163</v>
      </c>
      <c r="C518" s="110" t="s">
        <v>6162</v>
      </c>
      <c r="D518" s="111">
        <v>72.34</v>
      </c>
    </row>
    <row r="519" spans="1:4" ht="51" x14ac:dyDescent="0.25">
      <c r="A519" s="106">
        <v>195</v>
      </c>
      <c r="B519" s="108" t="s">
        <v>6164</v>
      </c>
      <c r="C519" s="110" t="s">
        <v>6162</v>
      </c>
      <c r="D519" s="111">
        <v>88.91</v>
      </c>
    </row>
    <row r="520" spans="1:4" ht="38.25" x14ac:dyDescent="0.25">
      <c r="A520" s="106">
        <v>194</v>
      </c>
      <c r="B520" s="108" t="s">
        <v>6165</v>
      </c>
      <c r="C520" s="110" t="s">
        <v>6162</v>
      </c>
      <c r="D520" s="111">
        <v>48.33</v>
      </c>
    </row>
    <row r="521" spans="1:4" ht="38.25" x14ac:dyDescent="0.25">
      <c r="A521" s="106">
        <v>20001</v>
      </c>
      <c r="B521" s="108" t="s">
        <v>6166</v>
      </c>
      <c r="C521" s="110" t="s">
        <v>6162</v>
      </c>
      <c r="D521" s="111">
        <v>88.6</v>
      </c>
    </row>
    <row r="522" spans="1:4" ht="51" x14ac:dyDescent="0.25">
      <c r="A522" s="106">
        <v>181</v>
      </c>
      <c r="B522" s="108" t="s">
        <v>6167</v>
      </c>
      <c r="C522" s="110" t="s">
        <v>6162</v>
      </c>
      <c r="D522" s="111">
        <v>119.87</v>
      </c>
    </row>
    <row r="523" spans="1:4" ht="38.25" x14ac:dyDescent="0.25">
      <c r="A523" s="106">
        <v>39837</v>
      </c>
      <c r="B523" s="108" t="s">
        <v>6168</v>
      </c>
      <c r="C523" s="110" t="s">
        <v>6162</v>
      </c>
      <c r="D523" s="111">
        <v>223.87</v>
      </c>
    </row>
    <row r="524" spans="1:4" ht="38.25" x14ac:dyDescent="0.25">
      <c r="A524" s="106">
        <v>10535</v>
      </c>
      <c r="B524" s="108" t="s">
        <v>6169</v>
      </c>
      <c r="C524" s="110" t="s">
        <v>5755</v>
      </c>
      <c r="D524" s="111">
        <v>3700</v>
      </c>
    </row>
    <row r="525" spans="1:4" ht="25.5" x14ac:dyDescent="0.25">
      <c r="A525" s="106">
        <v>10537</v>
      </c>
      <c r="B525" s="108" t="s">
        <v>6170</v>
      </c>
      <c r="C525" s="110" t="s">
        <v>5755</v>
      </c>
      <c r="D525" s="111">
        <v>5045.79</v>
      </c>
    </row>
    <row r="526" spans="1:4" ht="25.5" x14ac:dyDescent="0.25">
      <c r="A526" s="106">
        <v>13891</v>
      </c>
      <c r="B526" s="108" t="s">
        <v>6171</v>
      </c>
      <c r="C526" s="110" t="s">
        <v>5755</v>
      </c>
      <c r="D526" s="111">
        <v>4628.13</v>
      </c>
    </row>
    <row r="527" spans="1:4" ht="25.5" x14ac:dyDescent="0.25">
      <c r="A527" s="106">
        <v>25975</v>
      </c>
      <c r="B527" s="108" t="s">
        <v>6172</v>
      </c>
      <c r="C527" s="110" t="s">
        <v>5755</v>
      </c>
      <c r="D527" s="111">
        <v>20130.5</v>
      </c>
    </row>
    <row r="528" spans="1:4" ht="38.25" x14ac:dyDescent="0.25">
      <c r="A528" s="106">
        <v>36396</v>
      </c>
      <c r="B528" s="108" t="s">
        <v>6173</v>
      </c>
      <c r="C528" s="110" t="s">
        <v>5755</v>
      </c>
      <c r="D528" s="111">
        <v>4233.05</v>
      </c>
    </row>
    <row r="529" spans="1:4" ht="38.25" x14ac:dyDescent="0.25">
      <c r="A529" s="106">
        <v>36397</v>
      </c>
      <c r="B529" s="108" t="s">
        <v>6174</v>
      </c>
      <c r="C529" s="110" t="s">
        <v>5755</v>
      </c>
      <c r="D529" s="111">
        <v>15050.84</v>
      </c>
    </row>
    <row r="530" spans="1:4" ht="25.5" x14ac:dyDescent="0.25">
      <c r="A530" s="106">
        <v>36398</v>
      </c>
      <c r="B530" s="108" t="s">
        <v>6175</v>
      </c>
      <c r="C530" s="110" t="s">
        <v>5755</v>
      </c>
      <c r="D530" s="111">
        <v>18293.05</v>
      </c>
    </row>
    <row r="531" spans="1:4" x14ac:dyDescent="0.25">
      <c r="A531" s="106">
        <v>647</v>
      </c>
      <c r="B531" s="108" t="s">
        <v>6176</v>
      </c>
      <c r="C531" s="110" t="s">
        <v>5759</v>
      </c>
      <c r="D531" s="111">
        <v>8.7899999999999991</v>
      </c>
    </row>
    <row r="532" spans="1:4" x14ac:dyDescent="0.25">
      <c r="A532" s="106">
        <v>40920</v>
      </c>
      <c r="B532" s="108" t="s">
        <v>6177</v>
      </c>
      <c r="C532" s="110" t="s">
        <v>5906</v>
      </c>
      <c r="D532" s="111">
        <v>1558.81</v>
      </c>
    </row>
    <row r="533" spans="1:4" x14ac:dyDescent="0.25">
      <c r="A533" s="106">
        <v>7266</v>
      </c>
      <c r="B533" s="108" t="s">
        <v>6178</v>
      </c>
      <c r="C533" s="110" t="s">
        <v>6179</v>
      </c>
      <c r="D533" s="111">
        <v>582</v>
      </c>
    </row>
    <row r="534" spans="1:4" x14ac:dyDescent="0.25">
      <c r="A534" s="106">
        <v>7270</v>
      </c>
      <c r="B534" s="108" t="s">
        <v>408</v>
      </c>
      <c r="C534" s="110" t="s">
        <v>5755</v>
      </c>
      <c r="D534" s="111">
        <v>0.55000000000000004</v>
      </c>
    </row>
    <row r="535" spans="1:4" x14ac:dyDescent="0.25">
      <c r="A535" s="106">
        <v>7269</v>
      </c>
      <c r="B535" s="108" t="s">
        <v>6180</v>
      </c>
      <c r="C535" s="110" t="s">
        <v>5755</v>
      </c>
      <c r="D535" s="111">
        <v>0.39</v>
      </c>
    </row>
    <row r="536" spans="1:4" ht="25.5" x14ac:dyDescent="0.25">
      <c r="A536" s="106">
        <v>7271</v>
      </c>
      <c r="B536" s="108" t="s">
        <v>420</v>
      </c>
      <c r="C536" s="110" t="s">
        <v>5755</v>
      </c>
      <c r="D536" s="111">
        <v>0.57999999999999996</v>
      </c>
    </row>
    <row r="537" spans="1:4" ht="25.5" x14ac:dyDescent="0.25">
      <c r="A537" s="106">
        <v>7268</v>
      </c>
      <c r="B537" s="108" t="s">
        <v>6181</v>
      </c>
      <c r="C537" s="110" t="s">
        <v>5755</v>
      </c>
      <c r="D537" s="111">
        <v>0.82</v>
      </c>
    </row>
    <row r="538" spans="1:4" x14ac:dyDescent="0.25">
      <c r="A538" s="106">
        <v>7267</v>
      </c>
      <c r="B538" s="108" t="s">
        <v>6182</v>
      </c>
      <c r="C538" s="110" t="s">
        <v>5755</v>
      </c>
      <c r="D538" s="111">
        <v>0.4</v>
      </c>
    </row>
    <row r="539" spans="1:4" ht="25.5" x14ac:dyDescent="0.25">
      <c r="A539" s="106">
        <v>38783</v>
      </c>
      <c r="B539" s="108" t="s">
        <v>6183</v>
      </c>
      <c r="C539" s="110" t="s">
        <v>5755</v>
      </c>
      <c r="D539" s="111">
        <v>0.72</v>
      </c>
    </row>
    <row r="540" spans="1:4" ht="25.5" x14ac:dyDescent="0.25">
      <c r="A540" s="106">
        <v>37593</v>
      </c>
      <c r="B540" s="108" t="s">
        <v>6184</v>
      </c>
      <c r="C540" s="110" t="s">
        <v>5755</v>
      </c>
      <c r="D540" s="111">
        <v>1.9</v>
      </c>
    </row>
    <row r="541" spans="1:4" ht="25.5" x14ac:dyDescent="0.25">
      <c r="A541" s="106">
        <v>37594</v>
      </c>
      <c r="B541" s="108" t="s">
        <v>6185</v>
      </c>
      <c r="C541" s="110" t="s">
        <v>5755</v>
      </c>
      <c r="D541" s="111">
        <v>2.3199999999999998</v>
      </c>
    </row>
    <row r="542" spans="1:4" ht="25.5" x14ac:dyDescent="0.25">
      <c r="A542" s="106">
        <v>37592</v>
      </c>
      <c r="B542" s="108" t="s">
        <v>6186</v>
      </c>
      <c r="C542" s="110" t="s">
        <v>5755</v>
      </c>
      <c r="D542" s="111">
        <v>1.42</v>
      </c>
    </row>
    <row r="543" spans="1:4" ht="25.5" x14ac:dyDescent="0.25">
      <c r="A543" s="106">
        <v>34556</v>
      </c>
      <c r="B543" s="108" t="s">
        <v>13038</v>
      </c>
      <c r="C543" s="110" t="s">
        <v>5755</v>
      </c>
      <c r="D543" s="111">
        <v>3.07</v>
      </c>
    </row>
    <row r="544" spans="1:4" ht="25.5" x14ac:dyDescent="0.25">
      <c r="A544" s="106">
        <v>37873</v>
      </c>
      <c r="B544" s="108" t="s">
        <v>13039</v>
      </c>
      <c r="C544" s="110" t="s">
        <v>5755</v>
      </c>
      <c r="D544" s="111">
        <v>3.12</v>
      </c>
    </row>
    <row r="545" spans="1:4" ht="25.5" x14ac:dyDescent="0.25">
      <c r="A545" s="106">
        <v>34564</v>
      </c>
      <c r="B545" s="108" t="s">
        <v>13040</v>
      </c>
      <c r="C545" s="110" t="s">
        <v>5755</v>
      </c>
      <c r="D545" s="111">
        <v>3.27</v>
      </c>
    </row>
    <row r="546" spans="1:4" ht="25.5" x14ac:dyDescent="0.25">
      <c r="A546" s="106">
        <v>34565</v>
      </c>
      <c r="B546" s="108" t="s">
        <v>13041</v>
      </c>
      <c r="C546" s="110" t="s">
        <v>5755</v>
      </c>
      <c r="D546" s="111">
        <v>3.46</v>
      </c>
    </row>
    <row r="547" spans="1:4" ht="25.5" x14ac:dyDescent="0.25">
      <c r="A547" s="106">
        <v>38590</v>
      </c>
      <c r="B547" s="108" t="s">
        <v>13042</v>
      </c>
      <c r="C547" s="110" t="s">
        <v>5755</v>
      </c>
      <c r="D547" s="111">
        <v>2.5499999999999998</v>
      </c>
    </row>
    <row r="548" spans="1:4" ht="25.5" x14ac:dyDescent="0.25">
      <c r="A548" s="106">
        <v>34566</v>
      </c>
      <c r="B548" s="108" t="s">
        <v>13043</v>
      </c>
      <c r="C548" s="110" t="s">
        <v>5755</v>
      </c>
      <c r="D548" s="111">
        <v>2.68</v>
      </c>
    </row>
    <row r="549" spans="1:4" ht="25.5" x14ac:dyDescent="0.25">
      <c r="A549" s="106">
        <v>34567</v>
      </c>
      <c r="B549" s="108" t="s">
        <v>13044</v>
      </c>
      <c r="C549" s="110" t="s">
        <v>5755</v>
      </c>
      <c r="D549" s="111">
        <v>2.84</v>
      </c>
    </row>
    <row r="550" spans="1:4" ht="25.5" x14ac:dyDescent="0.25">
      <c r="A550" s="106">
        <v>38591</v>
      </c>
      <c r="B550" s="108" t="s">
        <v>13045</v>
      </c>
      <c r="C550" s="110" t="s">
        <v>5755</v>
      </c>
      <c r="D550" s="111">
        <v>2.58</v>
      </c>
    </row>
    <row r="551" spans="1:4" ht="25.5" x14ac:dyDescent="0.25">
      <c r="A551" s="106">
        <v>34568</v>
      </c>
      <c r="B551" s="108" t="s">
        <v>13046</v>
      </c>
      <c r="C551" s="110" t="s">
        <v>5755</v>
      </c>
      <c r="D551" s="111">
        <v>3.36</v>
      </c>
    </row>
    <row r="552" spans="1:4" ht="25.5" x14ac:dyDescent="0.25">
      <c r="A552" s="106">
        <v>34569</v>
      </c>
      <c r="B552" s="108" t="s">
        <v>13047</v>
      </c>
      <c r="C552" s="110" t="s">
        <v>5755</v>
      </c>
      <c r="D552" s="111">
        <v>3.46</v>
      </c>
    </row>
    <row r="553" spans="1:4" ht="25.5" x14ac:dyDescent="0.25">
      <c r="A553" s="106">
        <v>34570</v>
      </c>
      <c r="B553" s="108" t="s">
        <v>13048</v>
      </c>
      <c r="C553" s="110" t="s">
        <v>5755</v>
      </c>
      <c r="D553" s="111">
        <v>3.75</v>
      </c>
    </row>
    <row r="554" spans="1:4" ht="25.5" x14ac:dyDescent="0.25">
      <c r="A554" s="106">
        <v>25070</v>
      </c>
      <c r="B554" s="108" t="s">
        <v>13049</v>
      </c>
      <c r="C554" s="110" t="s">
        <v>5755</v>
      </c>
      <c r="D554" s="111">
        <v>2.82</v>
      </c>
    </row>
    <row r="555" spans="1:4" ht="25.5" x14ac:dyDescent="0.25">
      <c r="A555" s="106">
        <v>34571</v>
      </c>
      <c r="B555" s="108" t="s">
        <v>13050</v>
      </c>
      <c r="C555" s="110" t="s">
        <v>5755</v>
      </c>
      <c r="D555" s="111">
        <v>2.85</v>
      </c>
    </row>
    <row r="556" spans="1:4" ht="25.5" x14ac:dyDescent="0.25">
      <c r="A556" s="106">
        <v>34573</v>
      </c>
      <c r="B556" s="108" t="s">
        <v>13051</v>
      </c>
      <c r="C556" s="110" t="s">
        <v>5755</v>
      </c>
      <c r="D556" s="111">
        <v>3</v>
      </c>
    </row>
    <row r="557" spans="1:4" x14ac:dyDescent="0.25">
      <c r="A557" s="106">
        <v>37107</v>
      </c>
      <c r="B557" s="108" t="s">
        <v>13052</v>
      </c>
      <c r="C557" s="110" t="s">
        <v>5755</v>
      </c>
      <c r="D557" s="111">
        <v>3.96</v>
      </c>
    </row>
    <row r="558" spans="1:4" ht="25.5" x14ac:dyDescent="0.25">
      <c r="A558" s="106">
        <v>34576</v>
      </c>
      <c r="B558" s="108" t="s">
        <v>13053</v>
      </c>
      <c r="C558" s="110" t="s">
        <v>5755</v>
      </c>
      <c r="D558" s="111">
        <v>4.37</v>
      </c>
    </row>
    <row r="559" spans="1:4" ht="25.5" x14ac:dyDescent="0.25">
      <c r="A559" s="106">
        <v>34577</v>
      </c>
      <c r="B559" s="108" t="s">
        <v>13054</v>
      </c>
      <c r="C559" s="110" t="s">
        <v>5755</v>
      </c>
      <c r="D559" s="111">
        <v>4.5599999999999996</v>
      </c>
    </row>
    <row r="560" spans="1:4" ht="25.5" x14ac:dyDescent="0.25">
      <c r="A560" s="106">
        <v>34578</v>
      </c>
      <c r="B560" s="108" t="s">
        <v>13055</v>
      </c>
      <c r="C560" s="110" t="s">
        <v>5755</v>
      </c>
      <c r="D560" s="111">
        <v>4.95</v>
      </c>
    </row>
    <row r="561" spans="1:4" ht="25.5" x14ac:dyDescent="0.25">
      <c r="A561" s="106">
        <v>34579</v>
      </c>
      <c r="B561" s="108" t="s">
        <v>13056</v>
      </c>
      <c r="C561" s="110" t="s">
        <v>5755</v>
      </c>
      <c r="D561" s="111">
        <v>5.28</v>
      </c>
    </row>
    <row r="562" spans="1:4" ht="25.5" x14ac:dyDescent="0.25">
      <c r="A562" s="106">
        <v>25067</v>
      </c>
      <c r="B562" s="108" t="s">
        <v>13057</v>
      </c>
      <c r="C562" s="110" t="s">
        <v>5755</v>
      </c>
      <c r="D562" s="111">
        <v>3.53</v>
      </c>
    </row>
    <row r="563" spans="1:4" ht="25.5" x14ac:dyDescent="0.25">
      <c r="A563" s="106">
        <v>34580</v>
      </c>
      <c r="B563" s="108" t="s">
        <v>13058</v>
      </c>
      <c r="C563" s="110" t="s">
        <v>5755</v>
      </c>
      <c r="D563" s="111">
        <v>3.94</v>
      </c>
    </row>
    <row r="564" spans="1:4" ht="25.5" x14ac:dyDescent="0.25">
      <c r="A564" s="106">
        <v>25071</v>
      </c>
      <c r="B564" s="108" t="s">
        <v>13059</v>
      </c>
      <c r="C564" s="110" t="s">
        <v>5755</v>
      </c>
      <c r="D564" s="111">
        <v>1.96</v>
      </c>
    </row>
    <row r="565" spans="1:4" x14ac:dyDescent="0.25">
      <c r="A565" s="106">
        <v>38395</v>
      </c>
      <c r="B565" s="108" t="s">
        <v>705</v>
      </c>
      <c r="C565" s="110" t="s">
        <v>5755</v>
      </c>
      <c r="D565" s="111">
        <v>7.6</v>
      </c>
    </row>
    <row r="566" spans="1:4" x14ac:dyDescent="0.25">
      <c r="A566" s="106">
        <v>34583</v>
      </c>
      <c r="B566" s="108" t="s">
        <v>6187</v>
      </c>
      <c r="C566" s="110" t="s">
        <v>5757</v>
      </c>
      <c r="D566" s="111">
        <v>64.8</v>
      </c>
    </row>
    <row r="567" spans="1:4" x14ac:dyDescent="0.25">
      <c r="A567" s="106">
        <v>34584</v>
      </c>
      <c r="B567" s="108" t="s">
        <v>6188</v>
      </c>
      <c r="C567" s="110" t="s">
        <v>5757</v>
      </c>
      <c r="D567" s="111">
        <v>36.270000000000003</v>
      </c>
    </row>
    <row r="568" spans="1:4" ht="38.25" x14ac:dyDescent="0.25">
      <c r="A568" s="106">
        <v>709</v>
      </c>
      <c r="B568" s="108" t="s">
        <v>6189</v>
      </c>
      <c r="C568" s="110" t="s">
        <v>5757</v>
      </c>
      <c r="D568" s="111">
        <v>524.21</v>
      </c>
    </row>
    <row r="569" spans="1:4" ht="25.5" x14ac:dyDescent="0.25">
      <c r="A569" s="106">
        <v>34599</v>
      </c>
      <c r="B569" s="108" t="s">
        <v>13060</v>
      </c>
      <c r="C569" s="110" t="s">
        <v>5755</v>
      </c>
      <c r="D569" s="111">
        <v>2.02</v>
      </c>
    </row>
    <row r="570" spans="1:4" x14ac:dyDescent="0.25">
      <c r="A570" s="106">
        <v>34592</v>
      </c>
      <c r="B570" s="108" t="s">
        <v>13061</v>
      </c>
      <c r="C570" s="110" t="s">
        <v>5755</v>
      </c>
      <c r="D570" s="111">
        <v>2.2400000000000002</v>
      </c>
    </row>
    <row r="571" spans="1:4" ht="25.5" x14ac:dyDescent="0.25">
      <c r="A571" s="106">
        <v>37103</v>
      </c>
      <c r="B571" s="108" t="s">
        <v>13062</v>
      </c>
      <c r="C571" s="110" t="s">
        <v>5755</v>
      </c>
      <c r="D571" s="111">
        <v>2.57</v>
      </c>
    </row>
    <row r="572" spans="1:4" ht="25.5" x14ac:dyDescent="0.25">
      <c r="A572" s="106">
        <v>34555</v>
      </c>
      <c r="B572" s="108" t="s">
        <v>13063</v>
      </c>
      <c r="C572" s="110" t="s">
        <v>5755</v>
      </c>
      <c r="D572" s="111">
        <v>3.26</v>
      </c>
    </row>
    <row r="573" spans="1:4" ht="25.5" x14ac:dyDescent="0.25">
      <c r="A573" s="106">
        <v>651</v>
      </c>
      <c r="B573" s="108" t="s">
        <v>13064</v>
      </c>
      <c r="C573" s="110" t="s">
        <v>5755</v>
      </c>
      <c r="D573" s="111">
        <v>2.4700000000000002</v>
      </c>
    </row>
    <row r="574" spans="1:4" ht="25.5" x14ac:dyDescent="0.25">
      <c r="A574" s="106">
        <v>654</v>
      </c>
      <c r="B574" s="108" t="s">
        <v>13065</v>
      </c>
      <c r="C574" s="110" t="s">
        <v>5755</v>
      </c>
      <c r="D574" s="111">
        <v>3.07</v>
      </c>
    </row>
    <row r="575" spans="1:4" ht="25.5" x14ac:dyDescent="0.25">
      <c r="A575" s="106">
        <v>650</v>
      </c>
      <c r="B575" s="108" t="s">
        <v>13066</v>
      </c>
      <c r="C575" s="110" t="s">
        <v>5755</v>
      </c>
      <c r="D575" s="111">
        <v>1.98</v>
      </c>
    </row>
    <row r="576" spans="1:4" x14ac:dyDescent="0.25">
      <c r="A576" s="106">
        <v>716</v>
      </c>
      <c r="B576" s="108" t="s">
        <v>6190</v>
      </c>
      <c r="C576" s="110" t="s">
        <v>5755</v>
      </c>
      <c r="D576" s="111">
        <v>15.92</v>
      </c>
    </row>
    <row r="577" spans="1:4" x14ac:dyDescent="0.25">
      <c r="A577" s="106">
        <v>715</v>
      </c>
      <c r="B577" s="108" t="s">
        <v>6191</v>
      </c>
      <c r="C577" s="110" t="s">
        <v>5755</v>
      </c>
      <c r="D577" s="111">
        <v>15.75</v>
      </c>
    </row>
    <row r="578" spans="1:4" ht="25.5" x14ac:dyDescent="0.25">
      <c r="A578" s="106">
        <v>718</v>
      </c>
      <c r="B578" s="108" t="s">
        <v>6192</v>
      </c>
      <c r="C578" s="110" t="s">
        <v>5755</v>
      </c>
      <c r="D578" s="111">
        <v>23.46</v>
      </c>
    </row>
    <row r="579" spans="1:4" ht="25.5" x14ac:dyDescent="0.25">
      <c r="A579" s="106">
        <v>11981</v>
      </c>
      <c r="B579" s="108" t="s">
        <v>6193</v>
      </c>
      <c r="C579" s="110" t="s">
        <v>5755</v>
      </c>
      <c r="D579" s="111">
        <v>16.09</v>
      </c>
    </row>
    <row r="580" spans="1:4" ht="25.5" x14ac:dyDescent="0.25">
      <c r="A580" s="106">
        <v>10610</v>
      </c>
      <c r="B580" s="108" t="s">
        <v>6194</v>
      </c>
      <c r="C580" s="110" t="s">
        <v>5755</v>
      </c>
      <c r="D580" s="111">
        <v>1.57</v>
      </c>
    </row>
    <row r="581" spans="1:4" x14ac:dyDescent="0.25">
      <c r="A581" s="106">
        <v>34585</v>
      </c>
      <c r="B581" s="108" t="s">
        <v>6195</v>
      </c>
      <c r="C581" s="110" t="s">
        <v>5755</v>
      </c>
      <c r="D581" s="111">
        <v>1.6</v>
      </c>
    </row>
    <row r="582" spans="1:4" x14ac:dyDescent="0.25">
      <c r="A582" s="106">
        <v>34586</v>
      </c>
      <c r="B582" s="108" t="s">
        <v>6196</v>
      </c>
      <c r="C582" s="110" t="s">
        <v>5755</v>
      </c>
      <c r="D582" s="111">
        <v>1.61</v>
      </c>
    </row>
    <row r="583" spans="1:4" x14ac:dyDescent="0.25">
      <c r="A583" s="106">
        <v>38603</v>
      </c>
      <c r="B583" s="108" t="s">
        <v>6197</v>
      </c>
      <c r="C583" s="110" t="s">
        <v>5755</v>
      </c>
      <c r="D583" s="111">
        <v>1.87</v>
      </c>
    </row>
    <row r="584" spans="1:4" x14ac:dyDescent="0.25">
      <c r="A584" s="106">
        <v>34588</v>
      </c>
      <c r="B584" s="108" t="s">
        <v>6198</v>
      </c>
      <c r="C584" s="110" t="s">
        <v>5755</v>
      </c>
      <c r="D584" s="111">
        <v>2.08</v>
      </c>
    </row>
    <row r="585" spans="1:4" x14ac:dyDescent="0.25">
      <c r="A585" s="106">
        <v>34590</v>
      </c>
      <c r="B585" s="108" t="s">
        <v>6199</v>
      </c>
      <c r="C585" s="110" t="s">
        <v>5755</v>
      </c>
      <c r="D585" s="111">
        <v>2.2400000000000002</v>
      </c>
    </row>
    <row r="586" spans="1:4" x14ac:dyDescent="0.25">
      <c r="A586" s="106">
        <v>34591</v>
      </c>
      <c r="B586" s="108" t="s">
        <v>6200</v>
      </c>
      <c r="C586" s="110" t="s">
        <v>5755</v>
      </c>
      <c r="D586" s="111">
        <v>2.8</v>
      </c>
    </row>
    <row r="587" spans="1:4" ht="25.5" x14ac:dyDescent="0.25">
      <c r="A587" s="106">
        <v>674</v>
      </c>
      <c r="B587" s="108" t="s">
        <v>6201</v>
      </c>
      <c r="C587" s="110" t="s">
        <v>5757</v>
      </c>
      <c r="D587" s="111">
        <v>46.83</v>
      </c>
    </row>
    <row r="588" spans="1:4" ht="25.5" x14ac:dyDescent="0.25">
      <c r="A588" s="106">
        <v>34600</v>
      </c>
      <c r="B588" s="108" t="s">
        <v>6202</v>
      </c>
      <c r="C588" s="110" t="s">
        <v>5757</v>
      </c>
      <c r="D588" s="111">
        <v>76.099999999999994</v>
      </c>
    </row>
    <row r="589" spans="1:4" x14ac:dyDescent="0.25">
      <c r="A589" s="106">
        <v>652</v>
      </c>
      <c r="B589" s="108" t="s">
        <v>6203</v>
      </c>
      <c r="C589" s="110" t="s">
        <v>5757</v>
      </c>
      <c r="D589" s="111">
        <v>96.92</v>
      </c>
    </row>
    <row r="590" spans="1:4" ht="38.25" x14ac:dyDescent="0.25">
      <c r="A590" s="106">
        <v>40517</v>
      </c>
      <c r="B590" s="108" t="s">
        <v>10621</v>
      </c>
      <c r="C590" s="110" t="s">
        <v>5757</v>
      </c>
      <c r="D590" s="111">
        <v>38.9</v>
      </c>
    </row>
    <row r="591" spans="1:4" ht="51" x14ac:dyDescent="0.25">
      <c r="A591" s="106">
        <v>40515</v>
      </c>
      <c r="B591" s="108" t="s">
        <v>10622</v>
      </c>
      <c r="C591" s="110" t="s">
        <v>5757</v>
      </c>
      <c r="D591" s="111">
        <v>87.53</v>
      </c>
    </row>
    <row r="592" spans="1:4" ht="51" x14ac:dyDescent="0.25">
      <c r="A592" s="106">
        <v>40529</v>
      </c>
      <c r="B592" s="108" t="s">
        <v>6204</v>
      </c>
      <c r="C592" s="110" t="s">
        <v>5757</v>
      </c>
      <c r="D592" s="111">
        <v>55.92</v>
      </c>
    </row>
    <row r="593" spans="1:4" ht="51" x14ac:dyDescent="0.25">
      <c r="A593" s="106">
        <v>36170</v>
      </c>
      <c r="B593" s="108" t="s">
        <v>6205</v>
      </c>
      <c r="C593" s="110" t="s">
        <v>5757</v>
      </c>
      <c r="D593" s="111">
        <v>46.4</v>
      </c>
    </row>
    <row r="594" spans="1:4" ht="51" x14ac:dyDescent="0.25">
      <c r="A594" s="106">
        <v>40524</v>
      </c>
      <c r="B594" s="108" t="s">
        <v>6206</v>
      </c>
      <c r="C594" s="110" t="s">
        <v>5757</v>
      </c>
      <c r="D594" s="111">
        <v>54.7</v>
      </c>
    </row>
    <row r="595" spans="1:4" ht="38.25" x14ac:dyDescent="0.25">
      <c r="A595" s="106">
        <v>36156</v>
      </c>
      <c r="B595" s="108" t="s">
        <v>6207</v>
      </c>
      <c r="C595" s="110" t="s">
        <v>5757</v>
      </c>
      <c r="D595" s="111">
        <v>42.55</v>
      </c>
    </row>
    <row r="596" spans="1:4" ht="51" x14ac:dyDescent="0.25">
      <c r="A596" s="106">
        <v>36155</v>
      </c>
      <c r="B596" s="108" t="s">
        <v>6208</v>
      </c>
      <c r="C596" s="110" t="s">
        <v>5757</v>
      </c>
      <c r="D596" s="111">
        <v>36.729999999999997</v>
      </c>
    </row>
    <row r="597" spans="1:4" ht="38.25" x14ac:dyDescent="0.25">
      <c r="A597" s="106">
        <v>36154</v>
      </c>
      <c r="B597" s="108" t="s">
        <v>6209</v>
      </c>
      <c r="C597" s="110" t="s">
        <v>5757</v>
      </c>
      <c r="D597" s="111">
        <v>51.06</v>
      </c>
    </row>
    <row r="598" spans="1:4" ht="38.25" x14ac:dyDescent="0.25">
      <c r="A598" s="106">
        <v>695</v>
      </c>
      <c r="B598" s="108" t="s">
        <v>6210</v>
      </c>
      <c r="C598" s="110" t="s">
        <v>5757</v>
      </c>
      <c r="D598" s="111">
        <v>37.5</v>
      </c>
    </row>
    <row r="599" spans="1:4" ht="38.25" x14ac:dyDescent="0.25">
      <c r="A599" s="106">
        <v>679</v>
      </c>
      <c r="B599" s="108" t="s">
        <v>10623</v>
      </c>
      <c r="C599" s="110" t="s">
        <v>5757</v>
      </c>
      <c r="D599" s="111">
        <v>55.92</v>
      </c>
    </row>
    <row r="600" spans="1:4" ht="38.25" x14ac:dyDescent="0.25">
      <c r="A600" s="106">
        <v>711</v>
      </c>
      <c r="B600" s="108" t="s">
        <v>10624</v>
      </c>
      <c r="C600" s="110" t="s">
        <v>5757</v>
      </c>
      <c r="D600" s="111">
        <v>36.99</v>
      </c>
    </row>
    <row r="601" spans="1:4" ht="38.25" x14ac:dyDescent="0.25">
      <c r="A601" s="106">
        <v>712</v>
      </c>
      <c r="B601" s="108" t="s">
        <v>10625</v>
      </c>
      <c r="C601" s="110" t="s">
        <v>5757</v>
      </c>
      <c r="D601" s="111">
        <v>46.6</v>
      </c>
    </row>
    <row r="602" spans="1:4" ht="25.5" x14ac:dyDescent="0.25">
      <c r="A602" s="106">
        <v>12614</v>
      </c>
      <c r="B602" s="108" t="s">
        <v>6211</v>
      </c>
      <c r="C602" s="110" t="s">
        <v>5755</v>
      </c>
      <c r="D602" s="111">
        <v>15.42</v>
      </c>
    </row>
    <row r="603" spans="1:4" ht="25.5" x14ac:dyDescent="0.25">
      <c r="A603" s="106">
        <v>6140</v>
      </c>
      <c r="B603" s="108" t="s">
        <v>6212</v>
      </c>
      <c r="C603" s="110" t="s">
        <v>5755</v>
      </c>
      <c r="D603" s="111">
        <v>2.91</v>
      </c>
    </row>
    <row r="604" spans="1:4" x14ac:dyDescent="0.25">
      <c r="A604" s="106">
        <v>38399</v>
      </c>
      <c r="B604" s="108" t="s">
        <v>6213</v>
      </c>
      <c r="C604" s="110" t="s">
        <v>5755</v>
      </c>
      <c r="D604" s="111">
        <v>143.22</v>
      </c>
    </row>
    <row r="605" spans="1:4" ht="38.25" x14ac:dyDescent="0.25">
      <c r="A605" s="106">
        <v>735</v>
      </c>
      <c r="B605" s="108" t="s">
        <v>6214</v>
      </c>
      <c r="C605" s="110" t="s">
        <v>5755</v>
      </c>
      <c r="D605" s="111">
        <v>1736.5</v>
      </c>
    </row>
    <row r="606" spans="1:4" ht="38.25" x14ac:dyDescent="0.25">
      <c r="A606" s="106">
        <v>736</v>
      </c>
      <c r="B606" s="108" t="s">
        <v>6215</v>
      </c>
      <c r="C606" s="110" t="s">
        <v>5755</v>
      </c>
      <c r="D606" s="111">
        <v>1460.08</v>
      </c>
    </row>
    <row r="607" spans="1:4" ht="38.25" x14ac:dyDescent="0.25">
      <c r="A607" s="106">
        <v>729</v>
      </c>
      <c r="B607" s="108" t="s">
        <v>6216</v>
      </c>
      <c r="C607" s="110" t="s">
        <v>5755</v>
      </c>
      <c r="D607" s="111">
        <v>595</v>
      </c>
    </row>
    <row r="608" spans="1:4" ht="38.25" x14ac:dyDescent="0.25">
      <c r="A608" s="106">
        <v>39925</v>
      </c>
      <c r="B608" s="108" t="s">
        <v>6217</v>
      </c>
      <c r="C608" s="110" t="s">
        <v>5755</v>
      </c>
      <c r="D608" s="111">
        <v>8597.69</v>
      </c>
    </row>
    <row r="609" spans="1:4" ht="38.25" x14ac:dyDescent="0.25">
      <c r="A609" s="106">
        <v>731</v>
      </c>
      <c r="B609" s="108" t="s">
        <v>6218</v>
      </c>
      <c r="C609" s="110" t="s">
        <v>5755</v>
      </c>
      <c r="D609" s="111">
        <v>579.08000000000004</v>
      </c>
    </row>
    <row r="610" spans="1:4" ht="38.25" x14ac:dyDescent="0.25">
      <c r="A610" s="106">
        <v>10575</v>
      </c>
      <c r="B610" s="108" t="s">
        <v>6219</v>
      </c>
      <c r="C610" s="110" t="s">
        <v>5755</v>
      </c>
      <c r="D610" s="111">
        <v>903.7</v>
      </c>
    </row>
    <row r="611" spans="1:4" ht="38.25" x14ac:dyDescent="0.25">
      <c r="A611" s="106">
        <v>733</v>
      </c>
      <c r="B611" s="108" t="s">
        <v>6220</v>
      </c>
      <c r="C611" s="110" t="s">
        <v>5755</v>
      </c>
      <c r="D611" s="111">
        <v>989.44</v>
      </c>
    </row>
    <row r="612" spans="1:4" ht="38.25" x14ac:dyDescent="0.25">
      <c r="A612" s="106">
        <v>732</v>
      </c>
      <c r="B612" s="108" t="s">
        <v>6221</v>
      </c>
      <c r="C612" s="110" t="s">
        <v>5755</v>
      </c>
      <c r="D612" s="111">
        <v>976.14</v>
      </c>
    </row>
    <row r="613" spans="1:4" ht="38.25" x14ac:dyDescent="0.25">
      <c r="A613" s="106">
        <v>737</v>
      </c>
      <c r="B613" s="108" t="s">
        <v>6222</v>
      </c>
      <c r="C613" s="110" t="s">
        <v>5755</v>
      </c>
      <c r="D613" s="111">
        <v>5473.9</v>
      </c>
    </row>
    <row r="614" spans="1:4" ht="38.25" x14ac:dyDescent="0.25">
      <c r="A614" s="106">
        <v>738</v>
      </c>
      <c r="B614" s="108" t="s">
        <v>6223</v>
      </c>
      <c r="C614" s="110" t="s">
        <v>5755</v>
      </c>
      <c r="D614" s="111">
        <v>2538.21</v>
      </c>
    </row>
    <row r="615" spans="1:4" ht="38.25" x14ac:dyDescent="0.25">
      <c r="A615" s="106">
        <v>740</v>
      </c>
      <c r="B615" s="108" t="s">
        <v>6224</v>
      </c>
      <c r="C615" s="110" t="s">
        <v>5755</v>
      </c>
      <c r="D615" s="111">
        <v>5149.5</v>
      </c>
    </row>
    <row r="616" spans="1:4" ht="38.25" x14ac:dyDescent="0.25">
      <c r="A616" s="106">
        <v>734</v>
      </c>
      <c r="B616" s="108" t="s">
        <v>6225</v>
      </c>
      <c r="C616" s="110" t="s">
        <v>5755</v>
      </c>
      <c r="D616" s="111">
        <v>1046.42</v>
      </c>
    </row>
    <row r="617" spans="1:4" ht="25.5" x14ac:dyDescent="0.25">
      <c r="A617" s="106">
        <v>39008</v>
      </c>
      <c r="B617" s="108" t="s">
        <v>6226</v>
      </c>
      <c r="C617" s="110" t="s">
        <v>5755</v>
      </c>
      <c r="D617" s="111">
        <v>45104.13</v>
      </c>
    </row>
    <row r="618" spans="1:4" ht="25.5" x14ac:dyDescent="0.25">
      <c r="A618" s="106">
        <v>39009</v>
      </c>
      <c r="B618" s="108" t="s">
        <v>6227</v>
      </c>
      <c r="C618" s="110" t="s">
        <v>5755</v>
      </c>
      <c r="D618" s="111">
        <v>48323.48</v>
      </c>
    </row>
    <row r="619" spans="1:4" ht="51" x14ac:dyDescent="0.25">
      <c r="A619" s="106">
        <v>10587</v>
      </c>
      <c r="B619" s="108" t="s">
        <v>6228</v>
      </c>
      <c r="C619" s="110" t="s">
        <v>5755</v>
      </c>
      <c r="D619" s="111">
        <v>2916.45</v>
      </c>
    </row>
    <row r="620" spans="1:4" ht="51" x14ac:dyDescent="0.25">
      <c r="A620" s="106">
        <v>759</v>
      </c>
      <c r="B620" s="108" t="s">
        <v>6229</v>
      </c>
      <c r="C620" s="110" t="s">
        <v>5755</v>
      </c>
      <c r="D620" s="111">
        <v>4193.28</v>
      </c>
    </row>
    <row r="621" spans="1:4" ht="51" x14ac:dyDescent="0.25">
      <c r="A621" s="106">
        <v>761</v>
      </c>
      <c r="B621" s="108" t="s">
        <v>6230</v>
      </c>
      <c r="C621" s="110" t="s">
        <v>5755</v>
      </c>
      <c r="D621" s="111">
        <v>7107.97</v>
      </c>
    </row>
    <row r="622" spans="1:4" ht="51" x14ac:dyDescent="0.25">
      <c r="A622" s="106">
        <v>750</v>
      </c>
      <c r="B622" s="108" t="s">
        <v>6231</v>
      </c>
      <c r="C622" s="110" t="s">
        <v>5755</v>
      </c>
      <c r="D622" s="111">
        <v>6748.45</v>
      </c>
    </row>
    <row r="623" spans="1:4" ht="51" x14ac:dyDescent="0.25">
      <c r="A623" s="106">
        <v>755</v>
      </c>
      <c r="B623" s="108" t="s">
        <v>6232</v>
      </c>
      <c r="C623" s="110" t="s">
        <v>5755</v>
      </c>
      <c r="D623" s="111">
        <v>27692.38</v>
      </c>
    </row>
    <row r="624" spans="1:4" ht="51" x14ac:dyDescent="0.25">
      <c r="A624" s="106">
        <v>749</v>
      </c>
      <c r="B624" s="108" t="s">
        <v>6233</v>
      </c>
      <c r="C624" s="110" t="s">
        <v>5755</v>
      </c>
      <c r="D624" s="111">
        <v>10184.74</v>
      </c>
    </row>
    <row r="625" spans="1:4" ht="51" x14ac:dyDescent="0.25">
      <c r="A625" s="106">
        <v>756</v>
      </c>
      <c r="B625" s="108" t="s">
        <v>6234</v>
      </c>
      <c r="C625" s="110" t="s">
        <v>5755</v>
      </c>
      <c r="D625" s="111">
        <v>30202.240000000002</v>
      </c>
    </row>
    <row r="626" spans="1:4" ht="38.25" x14ac:dyDescent="0.25">
      <c r="A626" s="106">
        <v>757</v>
      </c>
      <c r="B626" s="108" t="s">
        <v>6235</v>
      </c>
      <c r="C626" s="110" t="s">
        <v>5755</v>
      </c>
      <c r="D626" s="111">
        <v>13713.75</v>
      </c>
    </row>
    <row r="627" spans="1:4" ht="38.25" x14ac:dyDescent="0.25">
      <c r="A627" s="106">
        <v>10588</v>
      </c>
      <c r="B627" s="108" t="s">
        <v>6236</v>
      </c>
      <c r="C627" s="110" t="s">
        <v>5755</v>
      </c>
      <c r="D627" s="111">
        <v>3027.65</v>
      </c>
    </row>
    <row r="628" spans="1:4" ht="38.25" x14ac:dyDescent="0.25">
      <c r="A628" s="106">
        <v>10592</v>
      </c>
      <c r="B628" s="108" t="s">
        <v>6237</v>
      </c>
      <c r="C628" s="110" t="s">
        <v>5755</v>
      </c>
      <c r="D628" s="111">
        <v>3657</v>
      </c>
    </row>
    <row r="629" spans="1:4" ht="51" x14ac:dyDescent="0.25">
      <c r="A629" s="106">
        <v>10589</v>
      </c>
      <c r="B629" s="108" t="s">
        <v>6238</v>
      </c>
      <c r="C629" s="110" t="s">
        <v>5755</v>
      </c>
      <c r="D629" s="111">
        <v>4912.95</v>
      </c>
    </row>
    <row r="630" spans="1:4" ht="38.25" x14ac:dyDescent="0.25">
      <c r="A630" s="106">
        <v>760</v>
      </c>
      <c r="B630" s="108" t="s">
        <v>6239</v>
      </c>
      <c r="C630" s="110" t="s">
        <v>5755</v>
      </c>
      <c r="D630" s="111">
        <v>27427.5</v>
      </c>
    </row>
    <row r="631" spans="1:4" ht="51" x14ac:dyDescent="0.25">
      <c r="A631" s="106">
        <v>751</v>
      </c>
      <c r="B631" s="108" t="s">
        <v>6240</v>
      </c>
      <c r="C631" s="110" t="s">
        <v>5755</v>
      </c>
      <c r="D631" s="111">
        <v>4319.83</v>
      </c>
    </row>
    <row r="632" spans="1:4" ht="38.25" x14ac:dyDescent="0.25">
      <c r="A632" s="106">
        <v>754</v>
      </c>
      <c r="B632" s="108" t="s">
        <v>6241</v>
      </c>
      <c r="C632" s="110" t="s">
        <v>5755</v>
      </c>
      <c r="D632" s="111">
        <v>6856.87</v>
      </c>
    </row>
    <row r="633" spans="1:4" ht="25.5" x14ac:dyDescent="0.25">
      <c r="A633" s="106">
        <v>14013</v>
      </c>
      <c r="B633" s="108" t="s">
        <v>6242</v>
      </c>
      <c r="C633" s="110" t="s">
        <v>5755</v>
      </c>
      <c r="D633" s="111">
        <v>147916.73000000001</v>
      </c>
    </row>
    <row r="634" spans="1:4" ht="38.25" x14ac:dyDescent="0.25">
      <c r="A634" s="106">
        <v>39917</v>
      </c>
      <c r="B634" s="108" t="s">
        <v>6243</v>
      </c>
      <c r="C634" s="110" t="s">
        <v>5755</v>
      </c>
      <c r="D634" s="111">
        <v>69283.19</v>
      </c>
    </row>
    <row r="635" spans="1:4" ht="25.5" x14ac:dyDescent="0.25">
      <c r="A635" s="106">
        <v>5081</v>
      </c>
      <c r="B635" s="108" t="s">
        <v>6244</v>
      </c>
      <c r="C635" s="110" t="s">
        <v>6130</v>
      </c>
      <c r="D635" s="111">
        <v>20.84</v>
      </c>
    </row>
    <row r="636" spans="1:4" ht="25.5" x14ac:dyDescent="0.25">
      <c r="A636" s="106">
        <v>38167</v>
      </c>
      <c r="B636" s="108" t="s">
        <v>6245</v>
      </c>
      <c r="C636" s="110" t="s">
        <v>6130</v>
      </c>
      <c r="D636" s="111">
        <v>17.96</v>
      </c>
    </row>
    <row r="637" spans="1:4" x14ac:dyDescent="0.25">
      <c r="A637" s="106">
        <v>36145</v>
      </c>
      <c r="B637" s="108" t="s">
        <v>6246</v>
      </c>
      <c r="C637" s="110" t="s">
        <v>6130</v>
      </c>
      <c r="D637" s="111">
        <v>34.409999999999997</v>
      </c>
    </row>
    <row r="638" spans="1:4" ht="25.5" x14ac:dyDescent="0.25">
      <c r="A638" s="106">
        <v>12893</v>
      </c>
      <c r="B638" s="108" t="s">
        <v>6247</v>
      </c>
      <c r="C638" s="110" t="s">
        <v>6130</v>
      </c>
      <c r="D638" s="111">
        <v>57.36</v>
      </c>
    </row>
    <row r="639" spans="1:4" x14ac:dyDescent="0.25">
      <c r="A639" s="106">
        <v>11685</v>
      </c>
      <c r="B639" s="108" t="s">
        <v>6248</v>
      </c>
      <c r="C639" s="110" t="s">
        <v>5755</v>
      </c>
      <c r="D639" s="111">
        <v>24.19</v>
      </c>
    </row>
    <row r="640" spans="1:4" ht="25.5" x14ac:dyDescent="0.25">
      <c r="A640" s="106">
        <v>11679</v>
      </c>
      <c r="B640" s="108" t="s">
        <v>6249</v>
      </c>
      <c r="C640" s="110" t="s">
        <v>5755</v>
      </c>
      <c r="D640" s="111">
        <v>6.55</v>
      </c>
    </row>
    <row r="641" spans="1:4" ht="25.5" x14ac:dyDescent="0.25">
      <c r="A641" s="106">
        <v>11680</v>
      </c>
      <c r="B641" s="108" t="s">
        <v>6250</v>
      </c>
      <c r="C641" s="110" t="s">
        <v>5755</v>
      </c>
      <c r="D641" s="111">
        <v>5.39</v>
      </c>
    </row>
    <row r="642" spans="1:4" x14ac:dyDescent="0.25">
      <c r="A642" s="106">
        <v>2512</v>
      </c>
      <c r="B642" s="108" t="s">
        <v>6251</v>
      </c>
      <c r="C642" s="110" t="s">
        <v>5755</v>
      </c>
      <c r="D642" s="111">
        <v>18.88</v>
      </c>
    </row>
    <row r="643" spans="1:4" x14ac:dyDescent="0.25">
      <c r="A643" s="106">
        <v>4374</v>
      </c>
      <c r="B643" s="108" t="s">
        <v>6252</v>
      </c>
      <c r="C643" s="110" t="s">
        <v>5755</v>
      </c>
      <c r="D643" s="111">
        <v>0.25</v>
      </c>
    </row>
    <row r="644" spans="1:4" ht="25.5" x14ac:dyDescent="0.25">
      <c r="A644" s="106">
        <v>7568</v>
      </c>
      <c r="B644" s="108" t="s">
        <v>484</v>
      </c>
      <c r="C644" s="110" t="s">
        <v>5755</v>
      </c>
      <c r="D644" s="111">
        <v>0.43</v>
      </c>
    </row>
    <row r="645" spans="1:4" ht="25.5" x14ac:dyDescent="0.25">
      <c r="A645" s="106">
        <v>7584</v>
      </c>
      <c r="B645" s="108" t="s">
        <v>6253</v>
      </c>
      <c r="C645" s="110" t="s">
        <v>5755</v>
      </c>
      <c r="D645" s="111">
        <v>0.65</v>
      </c>
    </row>
    <row r="646" spans="1:4" x14ac:dyDescent="0.25">
      <c r="A646" s="106">
        <v>11945</v>
      </c>
      <c r="B646" s="108" t="s">
        <v>6254</v>
      </c>
      <c r="C646" s="110" t="s">
        <v>5755</v>
      </c>
      <c r="D646" s="111">
        <v>0.04</v>
      </c>
    </row>
    <row r="647" spans="1:4" x14ac:dyDescent="0.25">
      <c r="A647" s="106">
        <v>11946</v>
      </c>
      <c r="B647" s="108" t="s">
        <v>6255</v>
      </c>
      <c r="C647" s="110" t="s">
        <v>5755</v>
      </c>
      <c r="D647" s="111">
        <v>0.04</v>
      </c>
    </row>
    <row r="648" spans="1:4" x14ac:dyDescent="0.25">
      <c r="A648" s="106">
        <v>4375</v>
      </c>
      <c r="B648" s="108" t="s">
        <v>6256</v>
      </c>
      <c r="C648" s="110" t="s">
        <v>5755</v>
      </c>
      <c r="D648" s="111">
        <v>7.0000000000000007E-2</v>
      </c>
    </row>
    <row r="649" spans="1:4" ht="25.5" x14ac:dyDescent="0.25">
      <c r="A649" s="106">
        <v>11950</v>
      </c>
      <c r="B649" s="108" t="s">
        <v>517</v>
      </c>
      <c r="C649" s="110" t="s">
        <v>5755</v>
      </c>
      <c r="D649" s="111">
        <v>0.14000000000000001</v>
      </c>
    </row>
    <row r="650" spans="1:4" x14ac:dyDescent="0.25">
      <c r="A650" s="106">
        <v>4376</v>
      </c>
      <c r="B650" s="108" t="s">
        <v>532</v>
      </c>
      <c r="C650" s="110" t="s">
        <v>5755</v>
      </c>
      <c r="D650" s="111">
        <v>0.13</v>
      </c>
    </row>
    <row r="651" spans="1:4" ht="25.5" x14ac:dyDescent="0.25">
      <c r="A651" s="106">
        <v>7583</v>
      </c>
      <c r="B651" s="108" t="s">
        <v>513</v>
      </c>
      <c r="C651" s="110" t="s">
        <v>5755</v>
      </c>
      <c r="D651" s="111">
        <v>0.28999999999999998</v>
      </c>
    </row>
    <row r="652" spans="1:4" ht="38.25" x14ac:dyDescent="0.25">
      <c r="A652" s="106">
        <v>4350</v>
      </c>
      <c r="B652" s="108" t="s">
        <v>6257</v>
      </c>
      <c r="C652" s="110" t="s">
        <v>5755</v>
      </c>
      <c r="D652" s="111">
        <v>0.44</v>
      </c>
    </row>
    <row r="653" spans="1:4" ht="25.5" x14ac:dyDescent="0.25">
      <c r="A653" s="106">
        <v>39886</v>
      </c>
      <c r="B653" s="108" t="s">
        <v>6258</v>
      </c>
      <c r="C653" s="110" t="s">
        <v>5755</v>
      </c>
      <c r="D653" s="111">
        <v>3.88</v>
      </c>
    </row>
    <row r="654" spans="1:4" ht="25.5" x14ac:dyDescent="0.25">
      <c r="A654" s="106">
        <v>39887</v>
      </c>
      <c r="B654" s="108" t="s">
        <v>6259</v>
      </c>
      <c r="C654" s="110" t="s">
        <v>5755</v>
      </c>
      <c r="D654" s="111">
        <v>5.82</v>
      </c>
    </row>
    <row r="655" spans="1:4" ht="25.5" x14ac:dyDescent="0.25">
      <c r="A655" s="106">
        <v>39888</v>
      </c>
      <c r="B655" s="108" t="s">
        <v>6260</v>
      </c>
      <c r="C655" s="110" t="s">
        <v>5755</v>
      </c>
      <c r="D655" s="111">
        <v>13.31</v>
      </c>
    </row>
    <row r="656" spans="1:4" ht="25.5" x14ac:dyDescent="0.25">
      <c r="A656" s="106">
        <v>39890</v>
      </c>
      <c r="B656" s="108" t="s">
        <v>6261</v>
      </c>
      <c r="C656" s="110" t="s">
        <v>5755</v>
      </c>
      <c r="D656" s="111">
        <v>22.71</v>
      </c>
    </row>
    <row r="657" spans="1:4" ht="25.5" x14ac:dyDescent="0.25">
      <c r="A657" s="106">
        <v>39891</v>
      </c>
      <c r="B657" s="108" t="s">
        <v>6262</v>
      </c>
      <c r="C657" s="110" t="s">
        <v>5755</v>
      </c>
      <c r="D657" s="111">
        <v>32.03</v>
      </c>
    </row>
    <row r="658" spans="1:4" ht="25.5" x14ac:dyDescent="0.25">
      <c r="A658" s="106">
        <v>39892</v>
      </c>
      <c r="B658" s="108" t="s">
        <v>6263</v>
      </c>
      <c r="C658" s="110" t="s">
        <v>5755</v>
      </c>
      <c r="D658" s="111">
        <v>99.84</v>
      </c>
    </row>
    <row r="659" spans="1:4" ht="25.5" x14ac:dyDescent="0.25">
      <c r="A659" s="106">
        <v>790</v>
      </c>
      <c r="B659" s="108" t="s">
        <v>6264</v>
      </c>
      <c r="C659" s="110" t="s">
        <v>5755</v>
      </c>
      <c r="D659" s="111">
        <v>10.84</v>
      </c>
    </row>
    <row r="660" spans="1:4" ht="25.5" x14ac:dyDescent="0.25">
      <c r="A660" s="106">
        <v>766</v>
      </c>
      <c r="B660" s="108" t="s">
        <v>6265</v>
      </c>
      <c r="C660" s="110" t="s">
        <v>5755</v>
      </c>
      <c r="D660" s="111">
        <v>10.84</v>
      </c>
    </row>
    <row r="661" spans="1:4" ht="25.5" x14ac:dyDescent="0.25">
      <c r="A661" s="106">
        <v>791</v>
      </c>
      <c r="B661" s="108" t="s">
        <v>6266</v>
      </c>
      <c r="C661" s="110" t="s">
        <v>5755</v>
      </c>
      <c r="D661" s="111">
        <v>10.84</v>
      </c>
    </row>
    <row r="662" spans="1:4" ht="25.5" x14ac:dyDescent="0.25">
      <c r="A662" s="106">
        <v>767</v>
      </c>
      <c r="B662" s="108" t="s">
        <v>6267</v>
      </c>
      <c r="C662" s="110" t="s">
        <v>5755</v>
      </c>
      <c r="D662" s="111">
        <v>10.84</v>
      </c>
    </row>
    <row r="663" spans="1:4" ht="25.5" x14ac:dyDescent="0.25">
      <c r="A663" s="106">
        <v>768</v>
      </c>
      <c r="B663" s="108" t="s">
        <v>6268</v>
      </c>
      <c r="C663" s="110" t="s">
        <v>5755</v>
      </c>
      <c r="D663" s="111">
        <v>8.51</v>
      </c>
    </row>
    <row r="664" spans="1:4" ht="25.5" x14ac:dyDescent="0.25">
      <c r="A664" s="106">
        <v>789</v>
      </c>
      <c r="B664" s="108" t="s">
        <v>6269</v>
      </c>
      <c r="C664" s="110" t="s">
        <v>5755</v>
      </c>
      <c r="D664" s="111">
        <v>8.33</v>
      </c>
    </row>
    <row r="665" spans="1:4" ht="25.5" x14ac:dyDescent="0.25">
      <c r="A665" s="106">
        <v>769</v>
      </c>
      <c r="B665" s="108" t="s">
        <v>6270</v>
      </c>
      <c r="C665" s="110" t="s">
        <v>5755</v>
      </c>
      <c r="D665" s="111">
        <v>8.51</v>
      </c>
    </row>
    <row r="666" spans="1:4" ht="25.5" x14ac:dyDescent="0.25">
      <c r="A666" s="106">
        <v>770</v>
      </c>
      <c r="B666" s="108" t="s">
        <v>6271</v>
      </c>
      <c r="C666" s="110" t="s">
        <v>5755</v>
      </c>
      <c r="D666" s="111">
        <v>3</v>
      </c>
    </row>
    <row r="667" spans="1:4" ht="25.5" x14ac:dyDescent="0.25">
      <c r="A667" s="106">
        <v>12394</v>
      </c>
      <c r="B667" s="108" t="s">
        <v>6272</v>
      </c>
      <c r="C667" s="110" t="s">
        <v>5755</v>
      </c>
      <c r="D667" s="111">
        <v>3</v>
      </c>
    </row>
    <row r="668" spans="1:4" ht="25.5" x14ac:dyDescent="0.25">
      <c r="A668" s="106">
        <v>764</v>
      </c>
      <c r="B668" s="108" t="s">
        <v>6273</v>
      </c>
      <c r="C668" s="110" t="s">
        <v>5755</v>
      </c>
      <c r="D668" s="111">
        <v>5.24</v>
      </c>
    </row>
    <row r="669" spans="1:4" ht="25.5" x14ac:dyDescent="0.25">
      <c r="A669" s="106">
        <v>765</v>
      </c>
      <c r="B669" s="108" t="s">
        <v>6274</v>
      </c>
      <c r="C669" s="110" t="s">
        <v>5755</v>
      </c>
      <c r="D669" s="111">
        <v>5.24</v>
      </c>
    </row>
    <row r="670" spans="1:4" ht="25.5" x14ac:dyDescent="0.25">
      <c r="A670" s="106">
        <v>787</v>
      </c>
      <c r="B670" s="108" t="s">
        <v>6275</v>
      </c>
      <c r="C670" s="110" t="s">
        <v>5755</v>
      </c>
      <c r="D670" s="111">
        <v>23.4</v>
      </c>
    </row>
    <row r="671" spans="1:4" ht="25.5" x14ac:dyDescent="0.25">
      <c r="A671" s="106">
        <v>774</v>
      </c>
      <c r="B671" s="108" t="s">
        <v>6276</v>
      </c>
      <c r="C671" s="110" t="s">
        <v>5755</v>
      </c>
      <c r="D671" s="111">
        <v>23.4</v>
      </c>
    </row>
    <row r="672" spans="1:4" ht="25.5" x14ac:dyDescent="0.25">
      <c r="A672" s="106">
        <v>773</v>
      </c>
      <c r="B672" s="108" t="s">
        <v>6277</v>
      </c>
      <c r="C672" s="110" t="s">
        <v>5755</v>
      </c>
      <c r="D672" s="111">
        <v>23.4</v>
      </c>
    </row>
    <row r="673" spans="1:4" ht="25.5" x14ac:dyDescent="0.25">
      <c r="A673" s="106">
        <v>775</v>
      </c>
      <c r="B673" s="108" t="s">
        <v>6278</v>
      </c>
      <c r="C673" s="110" t="s">
        <v>5755</v>
      </c>
      <c r="D673" s="111">
        <v>23.4</v>
      </c>
    </row>
    <row r="674" spans="1:4" ht="25.5" x14ac:dyDescent="0.25">
      <c r="A674" s="106">
        <v>788</v>
      </c>
      <c r="B674" s="108" t="s">
        <v>6279</v>
      </c>
      <c r="C674" s="110" t="s">
        <v>5755</v>
      </c>
      <c r="D674" s="111">
        <v>14.54</v>
      </c>
    </row>
    <row r="675" spans="1:4" ht="25.5" x14ac:dyDescent="0.25">
      <c r="A675" s="106">
        <v>772</v>
      </c>
      <c r="B675" s="108" t="s">
        <v>6280</v>
      </c>
      <c r="C675" s="110" t="s">
        <v>5755</v>
      </c>
      <c r="D675" s="111">
        <v>14.54</v>
      </c>
    </row>
    <row r="676" spans="1:4" ht="25.5" x14ac:dyDescent="0.25">
      <c r="A676" s="106">
        <v>771</v>
      </c>
      <c r="B676" s="108" t="s">
        <v>6281</v>
      </c>
      <c r="C676" s="110" t="s">
        <v>5755</v>
      </c>
      <c r="D676" s="111">
        <v>14.54</v>
      </c>
    </row>
    <row r="677" spans="1:4" ht="25.5" x14ac:dyDescent="0.25">
      <c r="A677" s="106">
        <v>779</v>
      </c>
      <c r="B677" s="108" t="s">
        <v>6282</v>
      </c>
      <c r="C677" s="110" t="s">
        <v>5755</v>
      </c>
      <c r="D677" s="111">
        <v>3.61</v>
      </c>
    </row>
    <row r="678" spans="1:4" ht="25.5" x14ac:dyDescent="0.25">
      <c r="A678" s="106">
        <v>776</v>
      </c>
      <c r="B678" s="108" t="s">
        <v>6283</v>
      </c>
      <c r="C678" s="110" t="s">
        <v>5755</v>
      </c>
      <c r="D678" s="111">
        <v>34.5</v>
      </c>
    </row>
    <row r="679" spans="1:4" ht="25.5" x14ac:dyDescent="0.25">
      <c r="A679" s="106">
        <v>777</v>
      </c>
      <c r="B679" s="108" t="s">
        <v>6284</v>
      </c>
      <c r="C679" s="110" t="s">
        <v>5755</v>
      </c>
      <c r="D679" s="111">
        <v>33.54</v>
      </c>
    </row>
    <row r="680" spans="1:4" ht="25.5" x14ac:dyDescent="0.25">
      <c r="A680" s="106">
        <v>780</v>
      </c>
      <c r="B680" s="108" t="s">
        <v>6285</v>
      </c>
      <c r="C680" s="110" t="s">
        <v>5755</v>
      </c>
      <c r="D680" s="111">
        <v>33.71</v>
      </c>
    </row>
    <row r="681" spans="1:4" ht="25.5" x14ac:dyDescent="0.25">
      <c r="A681" s="106">
        <v>778</v>
      </c>
      <c r="B681" s="108" t="s">
        <v>6286</v>
      </c>
      <c r="C681" s="110" t="s">
        <v>5755</v>
      </c>
      <c r="D681" s="111">
        <v>34.5</v>
      </c>
    </row>
    <row r="682" spans="1:4" ht="25.5" x14ac:dyDescent="0.25">
      <c r="A682" s="106">
        <v>781</v>
      </c>
      <c r="B682" s="108" t="s">
        <v>6287</v>
      </c>
      <c r="C682" s="110" t="s">
        <v>5755</v>
      </c>
      <c r="D682" s="111">
        <v>63.75</v>
      </c>
    </row>
    <row r="683" spans="1:4" ht="25.5" x14ac:dyDescent="0.25">
      <c r="A683" s="106">
        <v>786</v>
      </c>
      <c r="B683" s="108" t="s">
        <v>6288</v>
      </c>
      <c r="C683" s="110" t="s">
        <v>5755</v>
      </c>
      <c r="D683" s="111">
        <v>63.75</v>
      </c>
    </row>
    <row r="684" spans="1:4" ht="25.5" x14ac:dyDescent="0.25">
      <c r="A684" s="106">
        <v>782</v>
      </c>
      <c r="B684" s="108" t="s">
        <v>6289</v>
      </c>
      <c r="C684" s="110" t="s">
        <v>5755</v>
      </c>
      <c r="D684" s="111">
        <v>63.75</v>
      </c>
    </row>
    <row r="685" spans="1:4" ht="25.5" x14ac:dyDescent="0.25">
      <c r="A685" s="106">
        <v>783</v>
      </c>
      <c r="B685" s="108" t="s">
        <v>6290</v>
      </c>
      <c r="C685" s="110" t="s">
        <v>5755</v>
      </c>
      <c r="D685" s="111">
        <v>174.48</v>
      </c>
    </row>
    <row r="686" spans="1:4" ht="25.5" x14ac:dyDescent="0.25">
      <c r="A686" s="106">
        <v>785</v>
      </c>
      <c r="B686" s="108" t="s">
        <v>6291</v>
      </c>
      <c r="C686" s="110" t="s">
        <v>5755</v>
      </c>
      <c r="D686" s="111">
        <v>184.36</v>
      </c>
    </row>
    <row r="687" spans="1:4" ht="25.5" x14ac:dyDescent="0.25">
      <c r="A687" s="106">
        <v>784</v>
      </c>
      <c r="B687" s="108" t="s">
        <v>6292</v>
      </c>
      <c r="C687" s="110" t="s">
        <v>5755</v>
      </c>
      <c r="D687" s="111">
        <v>197.77</v>
      </c>
    </row>
    <row r="688" spans="1:4" ht="25.5" x14ac:dyDescent="0.25">
      <c r="A688" s="106">
        <v>831</v>
      </c>
      <c r="B688" s="108" t="s">
        <v>556</v>
      </c>
      <c r="C688" s="110" t="s">
        <v>5755</v>
      </c>
      <c r="D688" s="111">
        <v>56.66</v>
      </c>
    </row>
    <row r="689" spans="1:4" ht="25.5" x14ac:dyDescent="0.25">
      <c r="A689" s="106">
        <v>828</v>
      </c>
      <c r="B689" s="108" t="s">
        <v>6293</v>
      </c>
      <c r="C689" s="110" t="s">
        <v>5755</v>
      </c>
      <c r="D689" s="111">
        <v>0.32</v>
      </c>
    </row>
    <row r="690" spans="1:4" ht="25.5" x14ac:dyDescent="0.25">
      <c r="A690" s="106">
        <v>829</v>
      </c>
      <c r="B690" s="108" t="s">
        <v>557</v>
      </c>
      <c r="C690" s="110" t="s">
        <v>5755</v>
      </c>
      <c r="D690" s="111">
        <v>0.68</v>
      </c>
    </row>
    <row r="691" spans="1:4" ht="25.5" x14ac:dyDescent="0.25">
      <c r="A691" s="106">
        <v>812</v>
      </c>
      <c r="B691" s="108" t="s">
        <v>587</v>
      </c>
      <c r="C691" s="110" t="s">
        <v>5755</v>
      </c>
      <c r="D691" s="111">
        <v>1.49</v>
      </c>
    </row>
    <row r="692" spans="1:4" ht="25.5" x14ac:dyDescent="0.25">
      <c r="A692" s="106">
        <v>819</v>
      </c>
      <c r="B692" s="108" t="s">
        <v>6294</v>
      </c>
      <c r="C692" s="110" t="s">
        <v>5755</v>
      </c>
      <c r="D692" s="111">
        <v>2.44</v>
      </c>
    </row>
    <row r="693" spans="1:4" ht="25.5" x14ac:dyDescent="0.25">
      <c r="A693" s="106">
        <v>818</v>
      </c>
      <c r="B693" s="108" t="s">
        <v>558</v>
      </c>
      <c r="C693" s="110" t="s">
        <v>5755</v>
      </c>
      <c r="D693" s="111">
        <v>4.1100000000000003</v>
      </c>
    </row>
    <row r="694" spans="1:4" ht="25.5" x14ac:dyDescent="0.25">
      <c r="A694" s="106">
        <v>823</v>
      </c>
      <c r="B694" s="108" t="s">
        <v>6295</v>
      </c>
      <c r="C694" s="110" t="s">
        <v>5755</v>
      </c>
      <c r="D694" s="111">
        <v>12.39</v>
      </c>
    </row>
    <row r="695" spans="1:4" ht="25.5" x14ac:dyDescent="0.25">
      <c r="A695" s="106">
        <v>830</v>
      </c>
      <c r="B695" s="108" t="s">
        <v>559</v>
      </c>
      <c r="C695" s="110" t="s">
        <v>5755</v>
      </c>
      <c r="D695" s="111">
        <v>10.210000000000001</v>
      </c>
    </row>
    <row r="696" spans="1:4" ht="25.5" x14ac:dyDescent="0.25">
      <c r="A696" s="106">
        <v>826</v>
      </c>
      <c r="B696" s="108" t="s">
        <v>6296</v>
      </c>
      <c r="C696" s="110" t="s">
        <v>5755</v>
      </c>
      <c r="D696" s="111">
        <v>31.78</v>
      </c>
    </row>
    <row r="697" spans="1:4" ht="25.5" x14ac:dyDescent="0.25">
      <c r="A697" s="106">
        <v>827</v>
      </c>
      <c r="B697" s="108" t="s">
        <v>615</v>
      </c>
      <c r="C697" s="110" t="s">
        <v>5755</v>
      </c>
      <c r="D697" s="111">
        <v>26.85</v>
      </c>
    </row>
    <row r="698" spans="1:4" ht="25.5" x14ac:dyDescent="0.25">
      <c r="A698" s="106">
        <v>832</v>
      </c>
      <c r="B698" s="108" t="s">
        <v>6297</v>
      </c>
      <c r="C698" s="110" t="s">
        <v>5755</v>
      </c>
      <c r="D698" s="111">
        <v>1.85</v>
      </c>
    </row>
    <row r="699" spans="1:4" ht="25.5" x14ac:dyDescent="0.25">
      <c r="A699" s="106">
        <v>833</v>
      </c>
      <c r="B699" s="108" t="s">
        <v>6298</v>
      </c>
      <c r="C699" s="110" t="s">
        <v>5755</v>
      </c>
      <c r="D699" s="111">
        <v>2.63</v>
      </c>
    </row>
    <row r="700" spans="1:4" ht="25.5" x14ac:dyDescent="0.25">
      <c r="A700" s="106">
        <v>834</v>
      </c>
      <c r="B700" s="108" t="s">
        <v>560</v>
      </c>
      <c r="C700" s="110" t="s">
        <v>5755</v>
      </c>
      <c r="D700" s="111">
        <v>2.89</v>
      </c>
    </row>
    <row r="701" spans="1:4" ht="25.5" x14ac:dyDescent="0.25">
      <c r="A701" s="106">
        <v>825</v>
      </c>
      <c r="B701" s="108" t="s">
        <v>6299</v>
      </c>
      <c r="C701" s="110" t="s">
        <v>5755</v>
      </c>
      <c r="D701" s="111">
        <v>3.22</v>
      </c>
    </row>
    <row r="702" spans="1:4" ht="25.5" x14ac:dyDescent="0.25">
      <c r="A702" s="106">
        <v>813</v>
      </c>
      <c r="B702" s="108" t="s">
        <v>561</v>
      </c>
      <c r="C702" s="110" t="s">
        <v>5755</v>
      </c>
      <c r="D702" s="111">
        <v>3.16</v>
      </c>
    </row>
    <row r="703" spans="1:4" ht="25.5" x14ac:dyDescent="0.25">
      <c r="A703" s="106">
        <v>820</v>
      </c>
      <c r="B703" s="108" t="s">
        <v>562</v>
      </c>
      <c r="C703" s="110" t="s">
        <v>5755</v>
      </c>
      <c r="D703" s="111">
        <v>4.0199999999999996</v>
      </c>
    </row>
    <row r="704" spans="1:4" ht="25.5" x14ac:dyDescent="0.25">
      <c r="A704" s="106">
        <v>816</v>
      </c>
      <c r="B704" s="108" t="s">
        <v>563</v>
      </c>
      <c r="C704" s="110" t="s">
        <v>5755</v>
      </c>
      <c r="D704" s="111">
        <v>6.84</v>
      </c>
    </row>
    <row r="705" spans="1:4" ht="25.5" x14ac:dyDescent="0.25">
      <c r="A705" s="106">
        <v>814</v>
      </c>
      <c r="B705" s="108" t="s">
        <v>6300</v>
      </c>
      <c r="C705" s="110" t="s">
        <v>5755</v>
      </c>
      <c r="D705" s="111">
        <v>8.26</v>
      </c>
    </row>
    <row r="706" spans="1:4" ht="25.5" x14ac:dyDescent="0.25">
      <c r="A706" s="106">
        <v>815</v>
      </c>
      <c r="B706" s="108" t="s">
        <v>564</v>
      </c>
      <c r="C706" s="110" t="s">
        <v>5755</v>
      </c>
      <c r="D706" s="111">
        <v>8.93</v>
      </c>
    </row>
    <row r="707" spans="1:4" ht="25.5" x14ac:dyDescent="0.25">
      <c r="A707" s="106">
        <v>822</v>
      </c>
      <c r="B707" s="108" t="s">
        <v>6301</v>
      </c>
      <c r="C707" s="110" t="s">
        <v>5755</v>
      </c>
      <c r="D707" s="111">
        <v>10.88</v>
      </c>
    </row>
    <row r="708" spans="1:4" ht="25.5" x14ac:dyDescent="0.25">
      <c r="A708" s="106">
        <v>821</v>
      </c>
      <c r="B708" s="108" t="s">
        <v>565</v>
      </c>
      <c r="C708" s="110" t="s">
        <v>5755</v>
      </c>
      <c r="D708" s="111">
        <v>12.71</v>
      </c>
    </row>
    <row r="709" spans="1:4" ht="25.5" x14ac:dyDescent="0.25">
      <c r="A709" s="106">
        <v>817</v>
      </c>
      <c r="B709" s="108" t="s">
        <v>6302</v>
      </c>
      <c r="C709" s="110" t="s">
        <v>5755</v>
      </c>
      <c r="D709" s="111">
        <v>15.12</v>
      </c>
    </row>
    <row r="710" spans="1:4" ht="25.5" x14ac:dyDescent="0.25">
      <c r="A710" s="106">
        <v>20086</v>
      </c>
      <c r="B710" s="108" t="s">
        <v>606</v>
      </c>
      <c r="C710" s="110" t="s">
        <v>5755</v>
      </c>
      <c r="D710" s="111">
        <v>1.62</v>
      </c>
    </row>
    <row r="711" spans="1:4" ht="25.5" x14ac:dyDescent="0.25">
      <c r="A711" s="106">
        <v>39191</v>
      </c>
      <c r="B711" s="108" t="s">
        <v>6303</v>
      </c>
      <c r="C711" s="110" t="s">
        <v>5755</v>
      </c>
      <c r="D711" s="111">
        <v>12.1</v>
      </c>
    </row>
    <row r="712" spans="1:4" ht="25.5" x14ac:dyDescent="0.25">
      <c r="A712" s="106">
        <v>39190</v>
      </c>
      <c r="B712" s="108" t="s">
        <v>6304</v>
      </c>
      <c r="C712" s="110" t="s">
        <v>5755</v>
      </c>
      <c r="D712" s="111">
        <v>12.64</v>
      </c>
    </row>
    <row r="713" spans="1:4" ht="25.5" x14ac:dyDescent="0.25">
      <c r="A713" s="106">
        <v>39189</v>
      </c>
      <c r="B713" s="108" t="s">
        <v>6305</v>
      </c>
      <c r="C713" s="110" t="s">
        <v>5755</v>
      </c>
      <c r="D713" s="111">
        <v>13.38</v>
      </c>
    </row>
    <row r="714" spans="1:4" ht="25.5" x14ac:dyDescent="0.25">
      <c r="A714" s="106">
        <v>39186</v>
      </c>
      <c r="B714" s="108" t="s">
        <v>6306</v>
      </c>
      <c r="C714" s="110" t="s">
        <v>5755</v>
      </c>
      <c r="D714" s="111">
        <v>11.97</v>
      </c>
    </row>
    <row r="715" spans="1:4" ht="25.5" x14ac:dyDescent="0.25">
      <c r="A715" s="106">
        <v>39188</v>
      </c>
      <c r="B715" s="108" t="s">
        <v>6307</v>
      </c>
      <c r="C715" s="110" t="s">
        <v>5755</v>
      </c>
      <c r="D715" s="111">
        <v>9.85</v>
      </c>
    </row>
    <row r="716" spans="1:4" ht="25.5" x14ac:dyDescent="0.25">
      <c r="A716" s="106">
        <v>39187</v>
      </c>
      <c r="B716" s="108" t="s">
        <v>6308</v>
      </c>
      <c r="C716" s="110" t="s">
        <v>5755</v>
      </c>
      <c r="D716" s="111">
        <v>10.32</v>
      </c>
    </row>
    <row r="717" spans="1:4" ht="25.5" x14ac:dyDescent="0.25">
      <c r="A717" s="106">
        <v>39184</v>
      </c>
      <c r="B717" s="108" t="s">
        <v>6309</v>
      </c>
      <c r="C717" s="110" t="s">
        <v>5755</v>
      </c>
      <c r="D717" s="111">
        <v>3.88</v>
      </c>
    </row>
    <row r="718" spans="1:4" ht="25.5" x14ac:dyDescent="0.25">
      <c r="A718" s="106">
        <v>39185</v>
      </c>
      <c r="B718" s="108" t="s">
        <v>6310</v>
      </c>
      <c r="C718" s="110" t="s">
        <v>5755</v>
      </c>
      <c r="D718" s="111">
        <v>3.54</v>
      </c>
    </row>
    <row r="719" spans="1:4" ht="25.5" x14ac:dyDescent="0.25">
      <c r="A719" s="106">
        <v>39198</v>
      </c>
      <c r="B719" s="108" t="s">
        <v>6311</v>
      </c>
      <c r="C719" s="110" t="s">
        <v>5755</v>
      </c>
      <c r="D719" s="111">
        <v>39.71</v>
      </c>
    </row>
    <row r="720" spans="1:4" ht="25.5" x14ac:dyDescent="0.25">
      <c r="A720" s="106">
        <v>39197</v>
      </c>
      <c r="B720" s="108" t="s">
        <v>6312</v>
      </c>
      <c r="C720" s="110" t="s">
        <v>5755</v>
      </c>
      <c r="D720" s="111">
        <v>41.48</v>
      </c>
    </row>
    <row r="721" spans="1:4" ht="25.5" x14ac:dyDescent="0.25">
      <c r="A721" s="106">
        <v>39196</v>
      </c>
      <c r="B721" s="108" t="s">
        <v>6313</v>
      </c>
      <c r="C721" s="110" t="s">
        <v>5755</v>
      </c>
      <c r="D721" s="111">
        <v>42.78</v>
      </c>
    </row>
    <row r="722" spans="1:4" ht="25.5" x14ac:dyDescent="0.25">
      <c r="A722" s="106">
        <v>39199</v>
      </c>
      <c r="B722" s="108" t="s">
        <v>6314</v>
      </c>
      <c r="C722" s="110" t="s">
        <v>5755</v>
      </c>
      <c r="D722" s="111">
        <v>38.22</v>
      </c>
    </row>
    <row r="723" spans="1:4" ht="25.5" x14ac:dyDescent="0.25">
      <c r="A723" s="106">
        <v>39195</v>
      </c>
      <c r="B723" s="108" t="s">
        <v>6315</v>
      </c>
      <c r="C723" s="110" t="s">
        <v>5755</v>
      </c>
      <c r="D723" s="111">
        <v>22.06</v>
      </c>
    </row>
    <row r="724" spans="1:4" ht="25.5" x14ac:dyDescent="0.25">
      <c r="A724" s="106">
        <v>39194</v>
      </c>
      <c r="B724" s="108" t="s">
        <v>6316</v>
      </c>
      <c r="C724" s="110" t="s">
        <v>5755</v>
      </c>
      <c r="D724" s="111">
        <v>23.61</v>
      </c>
    </row>
    <row r="725" spans="1:4" ht="25.5" x14ac:dyDescent="0.25">
      <c r="A725" s="106">
        <v>39193</v>
      </c>
      <c r="B725" s="108" t="s">
        <v>6317</v>
      </c>
      <c r="C725" s="110" t="s">
        <v>5755</v>
      </c>
      <c r="D725" s="111">
        <v>25.87</v>
      </c>
    </row>
    <row r="726" spans="1:4" ht="25.5" x14ac:dyDescent="0.25">
      <c r="A726" s="106">
        <v>39192</v>
      </c>
      <c r="B726" s="108" t="s">
        <v>6318</v>
      </c>
      <c r="C726" s="110" t="s">
        <v>5755</v>
      </c>
      <c r="D726" s="111">
        <v>26.91</v>
      </c>
    </row>
    <row r="727" spans="1:4" ht="25.5" x14ac:dyDescent="0.25">
      <c r="A727" s="106">
        <v>39920</v>
      </c>
      <c r="B727" s="108" t="s">
        <v>6319</v>
      </c>
      <c r="C727" s="110" t="s">
        <v>5755</v>
      </c>
      <c r="D727" s="111">
        <v>3.26</v>
      </c>
    </row>
    <row r="728" spans="1:4" ht="25.5" x14ac:dyDescent="0.25">
      <c r="A728" s="106">
        <v>39201</v>
      </c>
      <c r="B728" s="108" t="s">
        <v>6320</v>
      </c>
      <c r="C728" s="110" t="s">
        <v>5755</v>
      </c>
      <c r="D728" s="111">
        <v>47.48</v>
      </c>
    </row>
    <row r="729" spans="1:4" ht="25.5" x14ac:dyDescent="0.25">
      <c r="A729" s="106">
        <v>39200</v>
      </c>
      <c r="B729" s="108" t="s">
        <v>6321</v>
      </c>
      <c r="C729" s="110" t="s">
        <v>5755</v>
      </c>
      <c r="D729" s="111">
        <v>47.86</v>
      </c>
    </row>
    <row r="730" spans="1:4" ht="25.5" x14ac:dyDescent="0.25">
      <c r="A730" s="106">
        <v>39203</v>
      </c>
      <c r="B730" s="108" t="s">
        <v>6322</v>
      </c>
      <c r="C730" s="110" t="s">
        <v>5755</v>
      </c>
      <c r="D730" s="111">
        <v>38.64</v>
      </c>
    </row>
    <row r="731" spans="1:4" ht="25.5" x14ac:dyDescent="0.25">
      <c r="A731" s="106">
        <v>39202</v>
      </c>
      <c r="B731" s="108" t="s">
        <v>6323</v>
      </c>
      <c r="C731" s="110" t="s">
        <v>5755</v>
      </c>
      <c r="D731" s="111">
        <v>45.4</v>
      </c>
    </row>
    <row r="732" spans="1:4" ht="25.5" x14ac:dyDescent="0.25">
      <c r="A732" s="106">
        <v>39205</v>
      </c>
      <c r="B732" s="108" t="s">
        <v>6324</v>
      </c>
      <c r="C732" s="110" t="s">
        <v>5755</v>
      </c>
      <c r="D732" s="111">
        <v>75.739999999999995</v>
      </c>
    </row>
    <row r="733" spans="1:4" ht="25.5" x14ac:dyDescent="0.25">
      <c r="A733" s="106">
        <v>39204</v>
      </c>
      <c r="B733" s="108" t="s">
        <v>6325</v>
      </c>
      <c r="C733" s="110" t="s">
        <v>5755</v>
      </c>
      <c r="D733" s="111">
        <v>77.569999999999993</v>
      </c>
    </row>
    <row r="734" spans="1:4" ht="25.5" x14ac:dyDescent="0.25">
      <c r="A734" s="106">
        <v>39206</v>
      </c>
      <c r="B734" s="108" t="s">
        <v>6326</v>
      </c>
      <c r="C734" s="110" t="s">
        <v>5755</v>
      </c>
      <c r="D734" s="111">
        <v>73.59</v>
      </c>
    </row>
    <row r="735" spans="1:4" x14ac:dyDescent="0.25">
      <c r="A735" s="106">
        <v>797</v>
      </c>
      <c r="B735" s="108" t="s">
        <v>6327</v>
      </c>
      <c r="C735" s="110" t="s">
        <v>5755</v>
      </c>
      <c r="D735" s="111">
        <v>5.91</v>
      </c>
    </row>
    <row r="736" spans="1:4" x14ac:dyDescent="0.25">
      <c r="A736" s="106">
        <v>798</v>
      </c>
      <c r="B736" s="108" t="s">
        <v>6328</v>
      </c>
      <c r="C736" s="110" t="s">
        <v>5755</v>
      </c>
      <c r="D736" s="111">
        <v>0.81</v>
      </c>
    </row>
    <row r="737" spans="1:4" x14ac:dyDescent="0.25">
      <c r="A737" s="106">
        <v>796</v>
      </c>
      <c r="B737" s="108" t="s">
        <v>6329</v>
      </c>
      <c r="C737" s="110" t="s">
        <v>5755</v>
      </c>
      <c r="D737" s="111">
        <v>5.66</v>
      </c>
    </row>
    <row r="738" spans="1:4" x14ac:dyDescent="0.25">
      <c r="A738" s="106">
        <v>799</v>
      </c>
      <c r="B738" s="108" t="s">
        <v>6330</v>
      </c>
      <c r="C738" s="110" t="s">
        <v>5755</v>
      </c>
      <c r="D738" s="111">
        <v>2.66</v>
      </c>
    </row>
    <row r="739" spans="1:4" x14ac:dyDescent="0.25">
      <c r="A739" s="106">
        <v>792</v>
      </c>
      <c r="B739" s="108" t="s">
        <v>6331</v>
      </c>
      <c r="C739" s="110" t="s">
        <v>5755</v>
      </c>
      <c r="D739" s="111">
        <v>2.71</v>
      </c>
    </row>
    <row r="740" spans="1:4" x14ac:dyDescent="0.25">
      <c r="A740" s="106">
        <v>804</v>
      </c>
      <c r="B740" s="108" t="s">
        <v>6332</v>
      </c>
      <c r="C740" s="110" t="s">
        <v>5755</v>
      </c>
      <c r="D740" s="111">
        <v>13.43</v>
      </c>
    </row>
    <row r="741" spans="1:4" x14ac:dyDescent="0.25">
      <c r="A741" s="106">
        <v>793</v>
      </c>
      <c r="B741" s="108" t="s">
        <v>6333</v>
      </c>
      <c r="C741" s="110" t="s">
        <v>5755</v>
      </c>
      <c r="D741" s="111">
        <v>5.76</v>
      </c>
    </row>
    <row r="742" spans="1:4" x14ac:dyDescent="0.25">
      <c r="A742" s="106">
        <v>801</v>
      </c>
      <c r="B742" s="108" t="s">
        <v>6334</v>
      </c>
      <c r="C742" s="110" t="s">
        <v>5755</v>
      </c>
      <c r="D742" s="111">
        <v>4.1100000000000003</v>
      </c>
    </row>
    <row r="743" spans="1:4" x14ac:dyDescent="0.25">
      <c r="A743" s="106">
        <v>794</v>
      </c>
      <c r="B743" s="108" t="s">
        <v>6335</v>
      </c>
      <c r="C743" s="110" t="s">
        <v>5755</v>
      </c>
      <c r="D743" s="111">
        <v>4.24</v>
      </c>
    </row>
    <row r="744" spans="1:4" x14ac:dyDescent="0.25">
      <c r="A744" s="106">
        <v>802</v>
      </c>
      <c r="B744" s="108" t="s">
        <v>6336</v>
      </c>
      <c r="C744" s="110" t="s">
        <v>5755</v>
      </c>
      <c r="D744" s="111">
        <v>11.84</v>
      </c>
    </row>
    <row r="745" spans="1:4" x14ac:dyDescent="0.25">
      <c r="A745" s="106">
        <v>803</v>
      </c>
      <c r="B745" s="108" t="s">
        <v>6337</v>
      </c>
      <c r="C745" s="110" t="s">
        <v>5755</v>
      </c>
      <c r="D745" s="111">
        <v>10.33</v>
      </c>
    </row>
    <row r="746" spans="1:4" x14ac:dyDescent="0.25">
      <c r="A746" s="106">
        <v>38001</v>
      </c>
      <c r="B746" s="108" t="s">
        <v>6338</v>
      </c>
      <c r="C746" s="110" t="s">
        <v>5755</v>
      </c>
      <c r="D746" s="111">
        <v>1.28</v>
      </c>
    </row>
    <row r="747" spans="1:4" x14ac:dyDescent="0.25">
      <c r="A747" s="106">
        <v>38002</v>
      </c>
      <c r="B747" s="108" t="s">
        <v>6339</v>
      </c>
      <c r="C747" s="110" t="s">
        <v>5755</v>
      </c>
      <c r="D747" s="111">
        <v>2.38</v>
      </c>
    </row>
    <row r="748" spans="1:4" x14ac:dyDescent="0.25">
      <c r="A748" s="106">
        <v>38003</v>
      </c>
      <c r="B748" s="108" t="s">
        <v>6340</v>
      </c>
      <c r="C748" s="110" t="s">
        <v>5755</v>
      </c>
      <c r="D748" s="111">
        <v>28.64</v>
      </c>
    </row>
    <row r="749" spans="1:4" x14ac:dyDescent="0.25">
      <c r="A749" s="106">
        <v>38004</v>
      </c>
      <c r="B749" s="108" t="s">
        <v>6341</v>
      </c>
      <c r="C749" s="110" t="s">
        <v>5755</v>
      </c>
      <c r="D749" s="111">
        <v>38.29</v>
      </c>
    </row>
    <row r="750" spans="1:4" x14ac:dyDescent="0.25">
      <c r="A750" s="106">
        <v>36327</v>
      </c>
      <c r="B750" s="108" t="s">
        <v>6342</v>
      </c>
      <c r="C750" s="110" t="s">
        <v>5755</v>
      </c>
      <c r="D750" s="111">
        <v>1.54</v>
      </c>
    </row>
    <row r="751" spans="1:4" ht="25.5" x14ac:dyDescent="0.25">
      <c r="A751" s="106">
        <v>38992</v>
      </c>
      <c r="B751" s="108" t="s">
        <v>6343</v>
      </c>
      <c r="C751" s="110" t="s">
        <v>5755</v>
      </c>
      <c r="D751" s="111">
        <v>2.46</v>
      </c>
    </row>
    <row r="752" spans="1:4" ht="25.5" x14ac:dyDescent="0.25">
      <c r="A752" s="106">
        <v>38993</v>
      </c>
      <c r="B752" s="108" t="s">
        <v>6344</v>
      </c>
      <c r="C752" s="110" t="s">
        <v>5755</v>
      </c>
      <c r="D752" s="111">
        <v>7.02</v>
      </c>
    </row>
    <row r="753" spans="1:4" ht="25.5" x14ac:dyDescent="0.25">
      <c r="A753" s="106">
        <v>38418</v>
      </c>
      <c r="B753" s="108" t="s">
        <v>6345</v>
      </c>
      <c r="C753" s="110" t="s">
        <v>5755</v>
      </c>
      <c r="D753" s="111">
        <v>4.7</v>
      </c>
    </row>
    <row r="754" spans="1:4" x14ac:dyDescent="0.25">
      <c r="A754" s="106">
        <v>39178</v>
      </c>
      <c r="B754" s="108" t="s">
        <v>6346</v>
      </c>
      <c r="C754" s="110" t="s">
        <v>5755</v>
      </c>
      <c r="D754" s="111">
        <v>1.31</v>
      </c>
    </row>
    <row r="755" spans="1:4" x14ac:dyDescent="0.25">
      <c r="A755" s="106">
        <v>39177</v>
      </c>
      <c r="B755" s="108" t="s">
        <v>6347</v>
      </c>
      <c r="C755" s="110" t="s">
        <v>5755</v>
      </c>
      <c r="D755" s="111">
        <v>1.18</v>
      </c>
    </row>
    <row r="756" spans="1:4" x14ac:dyDescent="0.25">
      <c r="A756" s="106">
        <v>39174</v>
      </c>
      <c r="B756" s="108" t="s">
        <v>6348</v>
      </c>
      <c r="C756" s="110" t="s">
        <v>5755</v>
      </c>
      <c r="D756" s="111">
        <v>0.59</v>
      </c>
    </row>
    <row r="757" spans="1:4" x14ac:dyDescent="0.25">
      <c r="A757" s="106">
        <v>39176</v>
      </c>
      <c r="B757" s="108" t="s">
        <v>676</v>
      </c>
      <c r="C757" s="110" t="s">
        <v>5755</v>
      </c>
      <c r="D757" s="111">
        <v>0.77</v>
      </c>
    </row>
    <row r="758" spans="1:4" x14ac:dyDescent="0.25">
      <c r="A758" s="106">
        <v>39180</v>
      </c>
      <c r="B758" s="108" t="s">
        <v>6349</v>
      </c>
      <c r="C758" s="110" t="s">
        <v>5755</v>
      </c>
      <c r="D758" s="111">
        <v>3.55</v>
      </c>
    </row>
    <row r="759" spans="1:4" x14ac:dyDescent="0.25">
      <c r="A759" s="106">
        <v>39179</v>
      </c>
      <c r="B759" s="108" t="s">
        <v>6350</v>
      </c>
      <c r="C759" s="110" t="s">
        <v>5755</v>
      </c>
      <c r="D759" s="111">
        <v>3.14</v>
      </c>
    </row>
    <row r="760" spans="1:4" x14ac:dyDescent="0.25">
      <c r="A760" s="106">
        <v>39175</v>
      </c>
      <c r="B760" s="108" t="s">
        <v>6351</v>
      </c>
      <c r="C760" s="110" t="s">
        <v>5755</v>
      </c>
      <c r="D760" s="111">
        <v>0.72</v>
      </c>
    </row>
    <row r="761" spans="1:4" x14ac:dyDescent="0.25">
      <c r="A761" s="106">
        <v>39217</v>
      </c>
      <c r="B761" s="108" t="s">
        <v>6352</v>
      </c>
      <c r="C761" s="110" t="s">
        <v>5755</v>
      </c>
      <c r="D761" s="111">
        <v>0.55000000000000004</v>
      </c>
    </row>
    <row r="762" spans="1:4" x14ac:dyDescent="0.25">
      <c r="A762" s="106">
        <v>39181</v>
      </c>
      <c r="B762" s="108" t="s">
        <v>6353</v>
      </c>
      <c r="C762" s="110" t="s">
        <v>5755</v>
      </c>
      <c r="D762" s="111">
        <v>4.76</v>
      </c>
    </row>
    <row r="763" spans="1:4" x14ac:dyDescent="0.25">
      <c r="A763" s="106">
        <v>39182</v>
      </c>
      <c r="B763" s="108" t="s">
        <v>6354</v>
      </c>
      <c r="C763" s="110" t="s">
        <v>5755</v>
      </c>
      <c r="D763" s="111">
        <v>6.7</v>
      </c>
    </row>
    <row r="764" spans="1:4" ht="25.5" x14ac:dyDescent="0.25">
      <c r="A764" s="106">
        <v>12616</v>
      </c>
      <c r="B764" s="108" t="s">
        <v>6355</v>
      </c>
      <c r="C764" s="110" t="s">
        <v>5755</v>
      </c>
      <c r="D764" s="111">
        <v>4.57</v>
      </c>
    </row>
    <row r="765" spans="1:4" ht="38.25" x14ac:dyDescent="0.25">
      <c r="A765" s="106">
        <v>1049</v>
      </c>
      <c r="B765" s="108" t="s">
        <v>6356</v>
      </c>
      <c r="C765" s="110" t="s">
        <v>5755</v>
      </c>
      <c r="D765" s="111">
        <v>5.61</v>
      </c>
    </row>
    <row r="766" spans="1:4" ht="38.25" x14ac:dyDescent="0.25">
      <c r="A766" s="106">
        <v>1099</v>
      </c>
      <c r="B766" s="108" t="s">
        <v>6357</v>
      </c>
      <c r="C766" s="110" t="s">
        <v>5755</v>
      </c>
      <c r="D766" s="111">
        <v>4.29</v>
      </c>
    </row>
    <row r="767" spans="1:4" ht="38.25" x14ac:dyDescent="0.25">
      <c r="A767" s="106">
        <v>39678</v>
      </c>
      <c r="B767" s="108" t="s">
        <v>6358</v>
      </c>
      <c r="C767" s="110" t="s">
        <v>5755</v>
      </c>
      <c r="D767" s="111">
        <v>1.73</v>
      </c>
    </row>
    <row r="768" spans="1:4" ht="38.25" x14ac:dyDescent="0.25">
      <c r="A768" s="106">
        <v>1050</v>
      </c>
      <c r="B768" s="108" t="s">
        <v>6359</v>
      </c>
      <c r="C768" s="110" t="s">
        <v>5755</v>
      </c>
      <c r="D768" s="111">
        <v>2.93</v>
      </c>
    </row>
    <row r="769" spans="1:4" ht="38.25" x14ac:dyDescent="0.25">
      <c r="A769" s="106">
        <v>1101</v>
      </c>
      <c r="B769" s="108" t="s">
        <v>6360</v>
      </c>
      <c r="C769" s="110" t="s">
        <v>5755</v>
      </c>
      <c r="D769" s="111">
        <v>18.510000000000002</v>
      </c>
    </row>
    <row r="770" spans="1:4" ht="38.25" x14ac:dyDescent="0.25">
      <c r="A770" s="106">
        <v>1100</v>
      </c>
      <c r="B770" s="108" t="s">
        <v>6361</v>
      </c>
      <c r="C770" s="110" t="s">
        <v>5755</v>
      </c>
      <c r="D770" s="111">
        <v>9.5500000000000007</v>
      </c>
    </row>
    <row r="771" spans="1:4" ht="38.25" x14ac:dyDescent="0.25">
      <c r="A771" s="106">
        <v>39679</v>
      </c>
      <c r="B771" s="108" t="s">
        <v>6362</v>
      </c>
      <c r="C771" s="110" t="s">
        <v>5755</v>
      </c>
      <c r="D771" s="111">
        <v>36.89</v>
      </c>
    </row>
    <row r="772" spans="1:4" ht="38.25" x14ac:dyDescent="0.25">
      <c r="A772" s="106">
        <v>1098</v>
      </c>
      <c r="B772" s="108" t="s">
        <v>6363</v>
      </c>
      <c r="C772" s="110" t="s">
        <v>5755</v>
      </c>
      <c r="D772" s="111">
        <v>2.29</v>
      </c>
    </row>
    <row r="773" spans="1:4" ht="38.25" x14ac:dyDescent="0.25">
      <c r="A773" s="106">
        <v>1102</v>
      </c>
      <c r="B773" s="108" t="s">
        <v>6364</v>
      </c>
      <c r="C773" s="110" t="s">
        <v>5755</v>
      </c>
      <c r="D773" s="111">
        <v>27.6</v>
      </c>
    </row>
    <row r="774" spans="1:4" ht="38.25" x14ac:dyDescent="0.25">
      <c r="A774" s="106">
        <v>1051</v>
      </c>
      <c r="B774" s="108" t="s">
        <v>6365</v>
      </c>
      <c r="C774" s="110" t="s">
        <v>5755</v>
      </c>
      <c r="D774" s="111">
        <v>40.11</v>
      </c>
    </row>
    <row r="775" spans="1:4" x14ac:dyDescent="0.25">
      <c r="A775" s="106">
        <v>37399</v>
      </c>
      <c r="B775" s="108" t="s">
        <v>6366</v>
      </c>
      <c r="C775" s="110" t="s">
        <v>5755</v>
      </c>
      <c r="D775" s="111">
        <v>15.96</v>
      </c>
    </row>
    <row r="776" spans="1:4" ht="25.5" x14ac:dyDescent="0.25">
      <c r="A776" s="106">
        <v>41955</v>
      </c>
      <c r="B776" s="108" t="s">
        <v>10626</v>
      </c>
      <c r="C776" s="110" t="s">
        <v>5816</v>
      </c>
      <c r="D776" s="111">
        <v>44.18</v>
      </c>
    </row>
    <row r="777" spans="1:4" ht="25.5" x14ac:dyDescent="0.25">
      <c r="A777" s="106">
        <v>41953</v>
      </c>
      <c r="B777" s="108" t="s">
        <v>10627</v>
      </c>
      <c r="C777" s="110" t="s">
        <v>5816</v>
      </c>
      <c r="D777" s="111">
        <v>42.16</v>
      </c>
    </row>
    <row r="778" spans="1:4" ht="25.5" x14ac:dyDescent="0.25">
      <c r="A778" s="106">
        <v>41954</v>
      </c>
      <c r="B778" s="108" t="s">
        <v>10628</v>
      </c>
      <c r="C778" s="110" t="s">
        <v>5816</v>
      </c>
      <c r="D778" s="111">
        <v>41.76</v>
      </c>
    </row>
    <row r="779" spans="1:4" x14ac:dyDescent="0.25">
      <c r="A779" s="106">
        <v>25004</v>
      </c>
      <c r="B779" s="108" t="s">
        <v>6367</v>
      </c>
      <c r="C779" s="110" t="s">
        <v>5816</v>
      </c>
      <c r="D779" s="111">
        <v>26.06</v>
      </c>
    </row>
    <row r="780" spans="1:4" x14ac:dyDescent="0.25">
      <c r="A780" s="106">
        <v>25002</v>
      </c>
      <c r="B780" s="108" t="s">
        <v>6368</v>
      </c>
      <c r="C780" s="110" t="s">
        <v>5816</v>
      </c>
      <c r="D780" s="111">
        <v>26.28</v>
      </c>
    </row>
    <row r="781" spans="1:4" x14ac:dyDescent="0.25">
      <c r="A781" s="106">
        <v>37409</v>
      </c>
      <c r="B781" s="108" t="s">
        <v>6369</v>
      </c>
      <c r="C781" s="110" t="s">
        <v>5816</v>
      </c>
      <c r="D781" s="111">
        <v>25.85</v>
      </c>
    </row>
    <row r="782" spans="1:4" x14ac:dyDescent="0.25">
      <c r="A782" s="106">
        <v>841</v>
      </c>
      <c r="B782" s="108" t="s">
        <v>6370</v>
      </c>
      <c r="C782" s="110" t="s">
        <v>5816</v>
      </c>
      <c r="D782" s="111">
        <v>26.7</v>
      </c>
    </row>
    <row r="783" spans="1:4" x14ac:dyDescent="0.25">
      <c r="A783" s="106">
        <v>25005</v>
      </c>
      <c r="B783" s="108" t="s">
        <v>6371</v>
      </c>
      <c r="C783" s="110" t="s">
        <v>5816</v>
      </c>
      <c r="D783" s="111">
        <v>29.27</v>
      </c>
    </row>
    <row r="784" spans="1:4" x14ac:dyDescent="0.25">
      <c r="A784" s="106">
        <v>25003</v>
      </c>
      <c r="B784" s="108" t="s">
        <v>6372</v>
      </c>
      <c r="C784" s="110" t="s">
        <v>5816</v>
      </c>
      <c r="D784" s="111">
        <v>31.27</v>
      </c>
    </row>
    <row r="785" spans="1:4" x14ac:dyDescent="0.25">
      <c r="A785" s="106">
        <v>37410</v>
      </c>
      <c r="B785" s="108" t="s">
        <v>6373</v>
      </c>
      <c r="C785" s="110" t="s">
        <v>5816</v>
      </c>
      <c r="D785" s="111">
        <v>29.27</v>
      </c>
    </row>
    <row r="786" spans="1:4" x14ac:dyDescent="0.25">
      <c r="A786" s="106">
        <v>842</v>
      </c>
      <c r="B786" s="108" t="s">
        <v>6374</v>
      </c>
      <c r="C786" s="110" t="s">
        <v>5816</v>
      </c>
      <c r="D786" s="111">
        <v>32.93</v>
      </c>
    </row>
    <row r="787" spans="1:4" x14ac:dyDescent="0.25">
      <c r="A787" s="106">
        <v>862</v>
      </c>
      <c r="B787" s="108" t="s">
        <v>6375</v>
      </c>
      <c r="C787" s="110" t="s">
        <v>5767</v>
      </c>
      <c r="D787" s="111">
        <v>5.77</v>
      </c>
    </row>
    <row r="788" spans="1:4" x14ac:dyDescent="0.25">
      <c r="A788" s="106">
        <v>866</v>
      </c>
      <c r="B788" s="108" t="s">
        <v>6376</v>
      </c>
      <c r="C788" s="110" t="s">
        <v>5767</v>
      </c>
      <c r="D788" s="111">
        <v>70.989999999999995</v>
      </c>
    </row>
    <row r="789" spans="1:4" x14ac:dyDescent="0.25">
      <c r="A789" s="106">
        <v>892</v>
      </c>
      <c r="B789" s="108" t="s">
        <v>6377</v>
      </c>
      <c r="C789" s="110" t="s">
        <v>5767</v>
      </c>
      <c r="D789" s="111">
        <v>90.27</v>
      </c>
    </row>
    <row r="790" spans="1:4" x14ac:dyDescent="0.25">
      <c r="A790" s="106">
        <v>857</v>
      </c>
      <c r="B790" s="108" t="s">
        <v>6378</v>
      </c>
      <c r="C790" s="110" t="s">
        <v>5767</v>
      </c>
      <c r="D790" s="111">
        <v>9.19</v>
      </c>
    </row>
    <row r="791" spans="1:4" x14ac:dyDescent="0.25">
      <c r="A791" s="106">
        <v>37404</v>
      </c>
      <c r="B791" s="108" t="s">
        <v>6379</v>
      </c>
      <c r="C791" s="110" t="s">
        <v>5767</v>
      </c>
      <c r="D791" s="111">
        <v>108.55</v>
      </c>
    </row>
    <row r="792" spans="1:4" x14ac:dyDescent="0.25">
      <c r="A792" s="106">
        <v>868</v>
      </c>
      <c r="B792" s="108" t="s">
        <v>6380</v>
      </c>
      <c r="C792" s="110" t="s">
        <v>5767</v>
      </c>
      <c r="D792" s="111">
        <v>14.19</v>
      </c>
    </row>
    <row r="793" spans="1:4" x14ac:dyDescent="0.25">
      <c r="A793" s="106">
        <v>870</v>
      </c>
      <c r="B793" s="108" t="s">
        <v>6381</v>
      </c>
      <c r="C793" s="110" t="s">
        <v>5767</v>
      </c>
      <c r="D793" s="111">
        <v>187.05</v>
      </c>
    </row>
    <row r="794" spans="1:4" x14ac:dyDescent="0.25">
      <c r="A794" s="106">
        <v>863</v>
      </c>
      <c r="B794" s="108" t="s">
        <v>665</v>
      </c>
      <c r="C794" s="110" t="s">
        <v>5767</v>
      </c>
      <c r="D794" s="111">
        <v>19.61</v>
      </c>
    </row>
    <row r="795" spans="1:4" x14ac:dyDescent="0.25">
      <c r="A795" s="106">
        <v>867</v>
      </c>
      <c r="B795" s="108" t="s">
        <v>6382</v>
      </c>
      <c r="C795" s="110" t="s">
        <v>5767</v>
      </c>
      <c r="D795" s="111">
        <v>27.31</v>
      </c>
    </row>
    <row r="796" spans="1:4" x14ac:dyDescent="0.25">
      <c r="A796" s="106">
        <v>891</v>
      </c>
      <c r="B796" s="108" t="s">
        <v>6383</v>
      </c>
      <c r="C796" s="110" t="s">
        <v>5767</v>
      </c>
      <c r="D796" s="111">
        <v>314.14</v>
      </c>
    </row>
    <row r="797" spans="1:4" x14ac:dyDescent="0.25">
      <c r="A797" s="106">
        <v>864</v>
      </c>
      <c r="B797" s="108" t="s">
        <v>6384</v>
      </c>
      <c r="C797" s="110" t="s">
        <v>5767</v>
      </c>
      <c r="D797" s="111">
        <v>38.47</v>
      </c>
    </row>
    <row r="798" spans="1:4" x14ac:dyDescent="0.25">
      <c r="A798" s="106">
        <v>865</v>
      </c>
      <c r="B798" s="108" t="s">
        <v>6385</v>
      </c>
      <c r="C798" s="110" t="s">
        <v>5767</v>
      </c>
      <c r="D798" s="111">
        <v>54.19</v>
      </c>
    </row>
    <row r="799" spans="1:4" ht="25.5" x14ac:dyDescent="0.25">
      <c r="A799" s="106">
        <v>1006</v>
      </c>
      <c r="B799" s="108" t="s">
        <v>6386</v>
      </c>
      <c r="C799" s="110" t="s">
        <v>5767</v>
      </c>
      <c r="D799" s="111">
        <v>70.64</v>
      </c>
    </row>
    <row r="800" spans="1:4" ht="25.5" x14ac:dyDescent="0.25">
      <c r="A800" s="106">
        <v>948</v>
      </c>
      <c r="B800" s="108" t="s">
        <v>6387</v>
      </c>
      <c r="C800" s="110" t="s">
        <v>5767</v>
      </c>
      <c r="D800" s="111">
        <v>12.97</v>
      </c>
    </row>
    <row r="801" spans="1:4" ht="25.5" x14ac:dyDescent="0.25">
      <c r="A801" s="106">
        <v>947</v>
      </c>
      <c r="B801" s="108" t="s">
        <v>6388</v>
      </c>
      <c r="C801" s="110" t="s">
        <v>5767</v>
      </c>
      <c r="D801" s="111">
        <v>13.2</v>
      </c>
    </row>
    <row r="802" spans="1:4" ht="25.5" x14ac:dyDescent="0.25">
      <c r="A802" s="106">
        <v>911</v>
      </c>
      <c r="B802" s="108" t="s">
        <v>6389</v>
      </c>
      <c r="C802" s="110" t="s">
        <v>5767</v>
      </c>
      <c r="D802" s="111">
        <v>19.190000000000001</v>
      </c>
    </row>
    <row r="803" spans="1:4" ht="25.5" x14ac:dyDescent="0.25">
      <c r="A803" s="106">
        <v>925</v>
      </c>
      <c r="B803" s="108" t="s">
        <v>6390</v>
      </c>
      <c r="C803" s="110" t="s">
        <v>5767</v>
      </c>
      <c r="D803" s="111">
        <v>17.739999999999998</v>
      </c>
    </row>
    <row r="804" spans="1:4" ht="25.5" x14ac:dyDescent="0.25">
      <c r="A804" s="106">
        <v>954</v>
      </c>
      <c r="B804" s="108" t="s">
        <v>6391</v>
      </c>
      <c r="C804" s="110" t="s">
        <v>5767</v>
      </c>
      <c r="D804" s="111">
        <v>19.600000000000001</v>
      </c>
    </row>
    <row r="805" spans="1:4" ht="25.5" x14ac:dyDescent="0.25">
      <c r="A805" s="106">
        <v>901</v>
      </c>
      <c r="B805" s="108" t="s">
        <v>6392</v>
      </c>
      <c r="C805" s="110" t="s">
        <v>5767</v>
      </c>
      <c r="D805" s="111">
        <v>20.98</v>
      </c>
    </row>
    <row r="806" spans="1:4" ht="25.5" x14ac:dyDescent="0.25">
      <c r="A806" s="106">
        <v>926</v>
      </c>
      <c r="B806" s="108" t="s">
        <v>6393</v>
      </c>
      <c r="C806" s="110" t="s">
        <v>5767</v>
      </c>
      <c r="D806" s="111">
        <v>22.17</v>
      </c>
    </row>
    <row r="807" spans="1:4" ht="25.5" x14ac:dyDescent="0.25">
      <c r="A807" s="106">
        <v>912</v>
      </c>
      <c r="B807" s="108" t="s">
        <v>6394</v>
      </c>
      <c r="C807" s="110" t="s">
        <v>5767</v>
      </c>
      <c r="D807" s="111">
        <v>22.3</v>
      </c>
    </row>
    <row r="808" spans="1:4" ht="25.5" x14ac:dyDescent="0.25">
      <c r="A808" s="106">
        <v>955</v>
      </c>
      <c r="B808" s="108" t="s">
        <v>6395</v>
      </c>
      <c r="C808" s="110" t="s">
        <v>5767</v>
      </c>
      <c r="D808" s="111">
        <v>26.62</v>
      </c>
    </row>
    <row r="809" spans="1:4" ht="25.5" x14ac:dyDescent="0.25">
      <c r="A809" s="106">
        <v>946</v>
      </c>
      <c r="B809" s="108" t="s">
        <v>6396</v>
      </c>
      <c r="C809" s="110" t="s">
        <v>5767</v>
      </c>
      <c r="D809" s="111">
        <v>29.93</v>
      </c>
    </row>
    <row r="810" spans="1:4" ht="25.5" x14ac:dyDescent="0.25">
      <c r="A810" s="106">
        <v>953</v>
      </c>
      <c r="B810" s="108" t="s">
        <v>6397</v>
      </c>
      <c r="C810" s="110" t="s">
        <v>5767</v>
      </c>
      <c r="D810" s="111">
        <v>27.24</v>
      </c>
    </row>
    <row r="811" spans="1:4" ht="25.5" x14ac:dyDescent="0.25">
      <c r="A811" s="106">
        <v>902</v>
      </c>
      <c r="B811" s="108" t="s">
        <v>6398</v>
      </c>
      <c r="C811" s="110" t="s">
        <v>5767</v>
      </c>
      <c r="D811" s="111">
        <v>33.11</v>
      </c>
    </row>
    <row r="812" spans="1:4" ht="25.5" x14ac:dyDescent="0.25">
      <c r="A812" s="106">
        <v>927</v>
      </c>
      <c r="B812" s="108" t="s">
        <v>6399</v>
      </c>
      <c r="C812" s="110" t="s">
        <v>5767</v>
      </c>
      <c r="D812" s="111">
        <v>32.1</v>
      </c>
    </row>
    <row r="813" spans="1:4" ht="25.5" x14ac:dyDescent="0.25">
      <c r="A813" s="106">
        <v>913</v>
      </c>
      <c r="B813" s="108" t="s">
        <v>6400</v>
      </c>
      <c r="C813" s="110" t="s">
        <v>5767</v>
      </c>
      <c r="D813" s="111">
        <v>35.82</v>
      </c>
    </row>
    <row r="814" spans="1:4" ht="25.5" x14ac:dyDescent="0.25">
      <c r="A814" s="106">
        <v>903</v>
      </c>
      <c r="B814" s="108" t="s">
        <v>6401</v>
      </c>
      <c r="C814" s="110" t="s">
        <v>5767</v>
      </c>
      <c r="D814" s="111">
        <v>40.54</v>
      </c>
    </row>
    <row r="815" spans="1:4" ht="25.5" x14ac:dyDescent="0.25">
      <c r="A815" s="106">
        <v>945</v>
      </c>
      <c r="B815" s="108" t="s">
        <v>6402</v>
      </c>
      <c r="C815" s="110" t="s">
        <v>5767</v>
      </c>
      <c r="D815" s="111">
        <v>42.89</v>
      </c>
    </row>
    <row r="816" spans="1:4" ht="25.5" x14ac:dyDescent="0.25">
      <c r="A816" s="106">
        <v>914</v>
      </c>
      <c r="B816" s="108" t="s">
        <v>6403</v>
      </c>
      <c r="C816" s="110" t="s">
        <v>5767</v>
      </c>
      <c r="D816" s="111">
        <v>43.94</v>
      </c>
    </row>
    <row r="817" spans="1:4" ht="38.25" x14ac:dyDescent="0.25">
      <c r="A817" s="106">
        <v>993</v>
      </c>
      <c r="B817" s="108" t="s">
        <v>6404</v>
      </c>
      <c r="C817" s="110" t="s">
        <v>5767</v>
      </c>
      <c r="D817" s="111">
        <v>1.52</v>
      </c>
    </row>
    <row r="818" spans="1:4" ht="38.25" x14ac:dyDescent="0.25">
      <c r="A818" s="106">
        <v>1020</v>
      </c>
      <c r="B818" s="108" t="s">
        <v>6405</v>
      </c>
      <c r="C818" s="110" t="s">
        <v>5767</v>
      </c>
      <c r="D818" s="111">
        <v>6.62</v>
      </c>
    </row>
    <row r="819" spans="1:4" ht="38.25" x14ac:dyDescent="0.25">
      <c r="A819" s="106">
        <v>1017</v>
      </c>
      <c r="B819" s="108" t="s">
        <v>6406</v>
      </c>
      <c r="C819" s="110" t="s">
        <v>5767</v>
      </c>
      <c r="D819" s="111">
        <v>72.77</v>
      </c>
    </row>
    <row r="820" spans="1:4" ht="38.25" x14ac:dyDescent="0.25">
      <c r="A820" s="106">
        <v>999</v>
      </c>
      <c r="B820" s="108" t="s">
        <v>6407</v>
      </c>
      <c r="C820" s="110" t="s">
        <v>5767</v>
      </c>
      <c r="D820" s="111">
        <v>90.17</v>
      </c>
    </row>
    <row r="821" spans="1:4" ht="38.25" x14ac:dyDescent="0.25">
      <c r="A821" s="106">
        <v>995</v>
      </c>
      <c r="B821" s="108" t="s">
        <v>6408</v>
      </c>
      <c r="C821" s="110" t="s">
        <v>5767</v>
      </c>
      <c r="D821" s="111">
        <v>10.16</v>
      </c>
    </row>
    <row r="822" spans="1:4" ht="38.25" x14ac:dyDescent="0.25">
      <c r="A822" s="106">
        <v>1000</v>
      </c>
      <c r="B822" s="108" t="s">
        <v>6409</v>
      </c>
      <c r="C822" s="110" t="s">
        <v>5767</v>
      </c>
      <c r="D822" s="111">
        <v>110.53</v>
      </c>
    </row>
    <row r="823" spans="1:4" ht="38.25" x14ac:dyDescent="0.25">
      <c r="A823" s="106">
        <v>1022</v>
      </c>
      <c r="B823" s="108" t="s">
        <v>6410</v>
      </c>
      <c r="C823" s="110" t="s">
        <v>5767</v>
      </c>
      <c r="D823" s="111">
        <v>2.11</v>
      </c>
    </row>
    <row r="824" spans="1:4" ht="38.25" x14ac:dyDescent="0.25">
      <c r="A824" s="106">
        <v>1015</v>
      </c>
      <c r="B824" s="108" t="s">
        <v>6411</v>
      </c>
      <c r="C824" s="110" t="s">
        <v>5767</v>
      </c>
      <c r="D824" s="111">
        <v>145.55000000000001</v>
      </c>
    </row>
    <row r="825" spans="1:4" ht="38.25" x14ac:dyDescent="0.25">
      <c r="A825" s="106">
        <v>996</v>
      </c>
      <c r="B825" s="108" t="s">
        <v>6412</v>
      </c>
      <c r="C825" s="110" t="s">
        <v>5767</v>
      </c>
      <c r="D825" s="111">
        <v>15.46</v>
      </c>
    </row>
    <row r="826" spans="1:4" ht="38.25" x14ac:dyDescent="0.25">
      <c r="A826" s="106">
        <v>1001</v>
      </c>
      <c r="B826" s="108" t="s">
        <v>6413</v>
      </c>
      <c r="C826" s="110" t="s">
        <v>5767</v>
      </c>
      <c r="D826" s="111">
        <v>182.15</v>
      </c>
    </row>
    <row r="827" spans="1:4" ht="38.25" x14ac:dyDescent="0.25">
      <c r="A827" s="106">
        <v>1019</v>
      </c>
      <c r="B827" s="108" t="s">
        <v>6414</v>
      </c>
      <c r="C827" s="110" t="s">
        <v>5767</v>
      </c>
      <c r="D827" s="111">
        <v>21.31</v>
      </c>
    </row>
    <row r="828" spans="1:4" ht="38.25" x14ac:dyDescent="0.25">
      <c r="A828" s="106">
        <v>1021</v>
      </c>
      <c r="B828" s="108" t="s">
        <v>6415</v>
      </c>
      <c r="C828" s="110" t="s">
        <v>5767</v>
      </c>
      <c r="D828" s="111">
        <v>3.02</v>
      </c>
    </row>
    <row r="829" spans="1:4" ht="38.25" x14ac:dyDescent="0.25">
      <c r="A829" s="106">
        <v>39249</v>
      </c>
      <c r="B829" s="108" t="s">
        <v>6416</v>
      </c>
      <c r="C829" s="110" t="s">
        <v>5767</v>
      </c>
      <c r="D829" s="111">
        <v>237.61</v>
      </c>
    </row>
    <row r="830" spans="1:4" ht="38.25" x14ac:dyDescent="0.25">
      <c r="A830" s="106">
        <v>1018</v>
      </c>
      <c r="B830" s="108" t="s">
        <v>6417</v>
      </c>
      <c r="C830" s="110" t="s">
        <v>5767</v>
      </c>
      <c r="D830" s="111">
        <v>30.38</v>
      </c>
    </row>
    <row r="831" spans="1:4" ht="38.25" x14ac:dyDescent="0.25">
      <c r="A831" s="106">
        <v>39250</v>
      </c>
      <c r="B831" s="108" t="s">
        <v>6418</v>
      </c>
      <c r="C831" s="110" t="s">
        <v>5767</v>
      </c>
      <c r="D831" s="111">
        <v>305.23</v>
      </c>
    </row>
    <row r="832" spans="1:4" ht="38.25" x14ac:dyDescent="0.25">
      <c r="A832" s="106">
        <v>994</v>
      </c>
      <c r="B832" s="108" t="s">
        <v>6419</v>
      </c>
      <c r="C832" s="110" t="s">
        <v>5767</v>
      </c>
      <c r="D832" s="111">
        <v>4.13</v>
      </c>
    </row>
    <row r="833" spans="1:4" ht="38.25" x14ac:dyDescent="0.25">
      <c r="A833" s="106">
        <v>977</v>
      </c>
      <c r="B833" s="108" t="s">
        <v>6420</v>
      </c>
      <c r="C833" s="110" t="s">
        <v>5767</v>
      </c>
      <c r="D833" s="111">
        <v>42.08</v>
      </c>
    </row>
    <row r="834" spans="1:4" ht="38.25" x14ac:dyDescent="0.25">
      <c r="A834" s="106">
        <v>998</v>
      </c>
      <c r="B834" s="108" t="s">
        <v>6421</v>
      </c>
      <c r="C834" s="110" t="s">
        <v>5767</v>
      </c>
      <c r="D834" s="111">
        <v>55.9</v>
      </c>
    </row>
    <row r="835" spans="1:4" ht="25.5" x14ac:dyDescent="0.25">
      <c r="A835" s="106">
        <v>39251</v>
      </c>
      <c r="B835" s="108" t="s">
        <v>6422</v>
      </c>
      <c r="C835" s="110" t="s">
        <v>5767</v>
      </c>
      <c r="D835" s="111">
        <v>0.4</v>
      </c>
    </row>
    <row r="836" spans="1:4" ht="38.25" x14ac:dyDescent="0.25">
      <c r="A836" s="106">
        <v>1011</v>
      </c>
      <c r="B836" s="108" t="s">
        <v>6423</v>
      </c>
      <c r="C836" s="110" t="s">
        <v>5767</v>
      </c>
      <c r="D836" s="111">
        <v>0.56000000000000005</v>
      </c>
    </row>
    <row r="837" spans="1:4" ht="25.5" x14ac:dyDescent="0.25">
      <c r="A837" s="106">
        <v>39252</v>
      </c>
      <c r="B837" s="108" t="s">
        <v>6424</v>
      </c>
      <c r="C837" s="110" t="s">
        <v>5767</v>
      </c>
      <c r="D837" s="111">
        <v>0.67</v>
      </c>
    </row>
    <row r="838" spans="1:4" ht="25.5" x14ac:dyDescent="0.25">
      <c r="A838" s="106">
        <v>1013</v>
      </c>
      <c r="B838" s="108" t="s">
        <v>6425</v>
      </c>
      <c r="C838" s="110" t="s">
        <v>5767</v>
      </c>
      <c r="D838" s="111">
        <v>0.89</v>
      </c>
    </row>
    <row r="839" spans="1:4" ht="25.5" x14ac:dyDescent="0.25">
      <c r="A839" s="106">
        <v>980</v>
      </c>
      <c r="B839" s="108" t="s">
        <v>6426</v>
      </c>
      <c r="C839" s="110" t="s">
        <v>5767</v>
      </c>
      <c r="D839" s="111">
        <v>6.07</v>
      </c>
    </row>
    <row r="840" spans="1:4" ht="38.25" x14ac:dyDescent="0.25">
      <c r="A840" s="106">
        <v>39237</v>
      </c>
      <c r="B840" s="108" t="s">
        <v>6427</v>
      </c>
      <c r="C840" s="110" t="s">
        <v>5767</v>
      </c>
      <c r="D840" s="111">
        <v>72.010000000000005</v>
      </c>
    </row>
    <row r="841" spans="1:4" ht="38.25" x14ac:dyDescent="0.25">
      <c r="A841" s="106">
        <v>39238</v>
      </c>
      <c r="B841" s="108" t="s">
        <v>6428</v>
      </c>
      <c r="C841" s="110" t="s">
        <v>5767</v>
      </c>
      <c r="D841" s="111">
        <v>89.9</v>
      </c>
    </row>
    <row r="842" spans="1:4" ht="25.5" x14ac:dyDescent="0.25">
      <c r="A842" s="106">
        <v>979</v>
      </c>
      <c r="B842" s="108" t="s">
        <v>6429</v>
      </c>
      <c r="C842" s="110" t="s">
        <v>5767</v>
      </c>
      <c r="D842" s="111">
        <v>9.36</v>
      </c>
    </row>
    <row r="843" spans="1:4" ht="38.25" x14ac:dyDescent="0.25">
      <c r="A843" s="106">
        <v>39239</v>
      </c>
      <c r="B843" s="108" t="s">
        <v>6430</v>
      </c>
      <c r="C843" s="110" t="s">
        <v>5767</v>
      </c>
      <c r="D843" s="111">
        <v>109.41</v>
      </c>
    </row>
    <row r="844" spans="1:4" ht="25.5" x14ac:dyDescent="0.25">
      <c r="A844" s="106">
        <v>1014</v>
      </c>
      <c r="B844" s="108" t="s">
        <v>6431</v>
      </c>
      <c r="C844" s="110" t="s">
        <v>5767</v>
      </c>
      <c r="D844" s="111">
        <v>1.42</v>
      </c>
    </row>
    <row r="845" spans="1:4" ht="38.25" x14ac:dyDescent="0.25">
      <c r="A845" s="106">
        <v>39240</v>
      </c>
      <c r="B845" s="108" t="s">
        <v>6432</v>
      </c>
      <c r="C845" s="110" t="s">
        <v>5767</v>
      </c>
      <c r="D845" s="111">
        <v>144.61000000000001</v>
      </c>
    </row>
    <row r="846" spans="1:4" ht="25.5" x14ac:dyDescent="0.25">
      <c r="A846" s="106">
        <v>39232</v>
      </c>
      <c r="B846" s="108" t="s">
        <v>6433</v>
      </c>
      <c r="C846" s="110" t="s">
        <v>5767</v>
      </c>
      <c r="D846" s="111">
        <v>15.01</v>
      </c>
    </row>
    <row r="847" spans="1:4" ht="25.5" x14ac:dyDescent="0.25">
      <c r="A847" s="106">
        <v>39233</v>
      </c>
      <c r="B847" s="108" t="s">
        <v>6434</v>
      </c>
      <c r="C847" s="110" t="s">
        <v>5767</v>
      </c>
      <c r="D847" s="111">
        <v>20.64</v>
      </c>
    </row>
    <row r="848" spans="1:4" ht="25.5" x14ac:dyDescent="0.25">
      <c r="A848" s="106">
        <v>981</v>
      </c>
      <c r="B848" s="108" t="s">
        <v>6435</v>
      </c>
      <c r="C848" s="110" t="s">
        <v>5767</v>
      </c>
      <c r="D848" s="111">
        <v>2.54</v>
      </c>
    </row>
    <row r="849" spans="1:4" ht="25.5" x14ac:dyDescent="0.25">
      <c r="A849" s="106">
        <v>39234</v>
      </c>
      <c r="B849" s="108" t="s">
        <v>6436</v>
      </c>
      <c r="C849" s="110" t="s">
        <v>5767</v>
      </c>
      <c r="D849" s="111">
        <v>30.3</v>
      </c>
    </row>
    <row r="850" spans="1:4" ht="25.5" x14ac:dyDescent="0.25">
      <c r="A850" s="106">
        <v>982</v>
      </c>
      <c r="B850" s="108" t="s">
        <v>6437</v>
      </c>
      <c r="C850" s="110" t="s">
        <v>5767</v>
      </c>
      <c r="D850" s="111">
        <v>3.55</v>
      </c>
    </row>
    <row r="851" spans="1:4" ht="25.5" x14ac:dyDescent="0.25">
      <c r="A851" s="106">
        <v>39235</v>
      </c>
      <c r="B851" s="108" t="s">
        <v>6438</v>
      </c>
      <c r="C851" s="110" t="s">
        <v>5767</v>
      </c>
      <c r="D851" s="111">
        <v>42.61</v>
      </c>
    </row>
    <row r="852" spans="1:4" ht="25.5" x14ac:dyDescent="0.25">
      <c r="A852" s="106">
        <v>39236</v>
      </c>
      <c r="B852" s="108" t="s">
        <v>6439</v>
      </c>
      <c r="C852" s="110" t="s">
        <v>5767</v>
      </c>
      <c r="D852" s="111">
        <v>55.86</v>
      </c>
    </row>
    <row r="853" spans="1:4" ht="38.25" x14ac:dyDescent="0.25">
      <c r="A853" s="106">
        <v>876</v>
      </c>
      <c r="B853" s="108" t="s">
        <v>6440</v>
      </c>
      <c r="C853" s="110" t="s">
        <v>5767</v>
      </c>
      <c r="D853" s="111">
        <v>144.21</v>
      </c>
    </row>
    <row r="854" spans="1:4" ht="38.25" x14ac:dyDescent="0.25">
      <c r="A854" s="106">
        <v>877</v>
      </c>
      <c r="B854" s="108" t="s">
        <v>6441</v>
      </c>
      <c r="C854" s="110" t="s">
        <v>5767</v>
      </c>
      <c r="D854" s="111">
        <v>169.53</v>
      </c>
    </row>
    <row r="855" spans="1:4" ht="38.25" x14ac:dyDescent="0.25">
      <c r="A855" s="106">
        <v>882</v>
      </c>
      <c r="B855" s="108" t="s">
        <v>6442</v>
      </c>
      <c r="C855" s="110" t="s">
        <v>5767</v>
      </c>
      <c r="D855" s="111">
        <v>184.73</v>
      </c>
    </row>
    <row r="856" spans="1:4" ht="38.25" x14ac:dyDescent="0.25">
      <c r="A856" s="106">
        <v>878</v>
      </c>
      <c r="B856" s="108" t="s">
        <v>6443</v>
      </c>
      <c r="C856" s="110" t="s">
        <v>5767</v>
      </c>
      <c r="D856" s="111">
        <v>229.66</v>
      </c>
    </row>
    <row r="857" spans="1:4" ht="38.25" x14ac:dyDescent="0.25">
      <c r="A857" s="106">
        <v>879</v>
      </c>
      <c r="B857" s="108" t="s">
        <v>6444</v>
      </c>
      <c r="C857" s="110" t="s">
        <v>5767</v>
      </c>
      <c r="D857" s="111">
        <v>270.7</v>
      </c>
    </row>
    <row r="858" spans="1:4" ht="38.25" x14ac:dyDescent="0.25">
      <c r="A858" s="106">
        <v>880</v>
      </c>
      <c r="B858" s="108" t="s">
        <v>6445</v>
      </c>
      <c r="C858" s="110" t="s">
        <v>5767</v>
      </c>
      <c r="D858" s="111">
        <v>318.51</v>
      </c>
    </row>
    <row r="859" spans="1:4" ht="38.25" x14ac:dyDescent="0.25">
      <c r="A859" s="106">
        <v>873</v>
      </c>
      <c r="B859" s="108" t="s">
        <v>6446</v>
      </c>
      <c r="C859" s="110" t="s">
        <v>5767</v>
      </c>
      <c r="D859" s="111">
        <v>96.84</v>
      </c>
    </row>
    <row r="860" spans="1:4" ht="38.25" x14ac:dyDescent="0.25">
      <c r="A860" s="106">
        <v>881</v>
      </c>
      <c r="B860" s="108" t="s">
        <v>6447</v>
      </c>
      <c r="C860" s="110" t="s">
        <v>5767</v>
      </c>
      <c r="D860" s="111">
        <v>435.34</v>
      </c>
    </row>
    <row r="861" spans="1:4" ht="38.25" x14ac:dyDescent="0.25">
      <c r="A861" s="106">
        <v>874</v>
      </c>
      <c r="B861" s="108" t="s">
        <v>6448</v>
      </c>
      <c r="C861" s="110" t="s">
        <v>5767</v>
      </c>
      <c r="D861" s="111">
        <v>114.93</v>
      </c>
    </row>
    <row r="862" spans="1:4" ht="38.25" x14ac:dyDescent="0.25">
      <c r="A862" s="106">
        <v>875</v>
      </c>
      <c r="B862" s="108" t="s">
        <v>6449</v>
      </c>
      <c r="C862" s="110" t="s">
        <v>5767</v>
      </c>
      <c r="D862" s="111">
        <v>137.12</v>
      </c>
    </row>
    <row r="863" spans="1:4" ht="25.5" x14ac:dyDescent="0.25">
      <c r="A863" s="106">
        <v>983</v>
      </c>
      <c r="B863" s="108" t="s">
        <v>6450</v>
      </c>
      <c r="C863" s="110" t="s">
        <v>5767</v>
      </c>
      <c r="D863" s="111">
        <v>0.86</v>
      </c>
    </row>
    <row r="864" spans="1:4" ht="25.5" x14ac:dyDescent="0.25">
      <c r="A864" s="106">
        <v>985</v>
      </c>
      <c r="B864" s="108" t="s">
        <v>6451</v>
      </c>
      <c r="C864" s="110" t="s">
        <v>5767</v>
      </c>
      <c r="D864" s="111">
        <v>6.44</v>
      </c>
    </row>
    <row r="865" spans="1:4" ht="25.5" x14ac:dyDescent="0.25">
      <c r="A865" s="106">
        <v>990</v>
      </c>
      <c r="B865" s="108" t="s">
        <v>6452</v>
      </c>
      <c r="C865" s="110" t="s">
        <v>5767</v>
      </c>
      <c r="D865" s="111">
        <v>88.15</v>
      </c>
    </row>
    <row r="866" spans="1:4" ht="25.5" x14ac:dyDescent="0.25">
      <c r="A866" s="106">
        <v>39241</v>
      </c>
      <c r="B866" s="108" t="s">
        <v>6453</v>
      </c>
      <c r="C866" s="110" t="s">
        <v>5767</v>
      </c>
      <c r="D866" s="111">
        <v>10.08</v>
      </c>
    </row>
    <row r="867" spans="1:4" ht="25.5" x14ac:dyDescent="0.25">
      <c r="A867" s="106">
        <v>1005</v>
      </c>
      <c r="B867" s="108" t="s">
        <v>6454</v>
      </c>
      <c r="C867" s="110" t="s">
        <v>5767</v>
      </c>
      <c r="D867" s="111">
        <v>108.19</v>
      </c>
    </row>
    <row r="868" spans="1:4" ht="25.5" x14ac:dyDescent="0.25">
      <c r="A868" s="106">
        <v>984</v>
      </c>
      <c r="B868" s="108" t="s">
        <v>6455</v>
      </c>
      <c r="C868" s="110" t="s">
        <v>5767</v>
      </c>
      <c r="D868" s="111">
        <v>2.2200000000000002</v>
      </c>
    </row>
    <row r="869" spans="1:4" ht="25.5" x14ac:dyDescent="0.25">
      <c r="A869" s="106">
        <v>991</v>
      </c>
      <c r="B869" s="108" t="s">
        <v>6456</v>
      </c>
      <c r="C869" s="110" t="s">
        <v>5767</v>
      </c>
      <c r="D869" s="111">
        <v>142.96</v>
      </c>
    </row>
    <row r="870" spans="1:4" ht="25.5" x14ac:dyDescent="0.25">
      <c r="A870" s="106">
        <v>986</v>
      </c>
      <c r="B870" s="108" t="s">
        <v>6457</v>
      </c>
      <c r="C870" s="110" t="s">
        <v>5767</v>
      </c>
      <c r="D870" s="111">
        <v>15.4</v>
      </c>
    </row>
    <row r="871" spans="1:4" ht="25.5" x14ac:dyDescent="0.25">
      <c r="A871" s="106">
        <v>1024</v>
      </c>
      <c r="B871" s="108" t="s">
        <v>6458</v>
      </c>
      <c r="C871" s="110" t="s">
        <v>5767</v>
      </c>
      <c r="D871" s="111">
        <v>176.95</v>
      </c>
    </row>
    <row r="872" spans="1:4" ht="25.5" x14ac:dyDescent="0.25">
      <c r="A872" s="106">
        <v>987</v>
      </c>
      <c r="B872" s="108" t="s">
        <v>6459</v>
      </c>
      <c r="C872" s="110" t="s">
        <v>5767</v>
      </c>
      <c r="D872" s="111">
        <v>20.93</v>
      </c>
    </row>
    <row r="873" spans="1:4" ht="25.5" x14ac:dyDescent="0.25">
      <c r="A873" s="106">
        <v>1003</v>
      </c>
      <c r="B873" s="108" t="s">
        <v>6460</v>
      </c>
      <c r="C873" s="110" t="s">
        <v>5767</v>
      </c>
      <c r="D873" s="111">
        <v>3.26</v>
      </c>
    </row>
    <row r="874" spans="1:4" ht="25.5" x14ac:dyDescent="0.25">
      <c r="A874" s="106">
        <v>992</v>
      </c>
      <c r="B874" s="108" t="s">
        <v>6461</v>
      </c>
      <c r="C874" s="110" t="s">
        <v>5767</v>
      </c>
      <c r="D874" s="111">
        <v>228.93</v>
      </c>
    </row>
    <row r="875" spans="1:4" ht="25.5" x14ac:dyDescent="0.25">
      <c r="A875" s="106">
        <v>1007</v>
      </c>
      <c r="B875" s="108" t="s">
        <v>6462</v>
      </c>
      <c r="C875" s="110" t="s">
        <v>5767</v>
      </c>
      <c r="D875" s="111">
        <v>29.69</v>
      </c>
    </row>
    <row r="876" spans="1:4" ht="25.5" x14ac:dyDescent="0.25">
      <c r="A876" s="106">
        <v>39242</v>
      </c>
      <c r="B876" s="108" t="s">
        <v>6463</v>
      </c>
      <c r="C876" s="110" t="s">
        <v>5767</v>
      </c>
      <c r="D876" s="111">
        <v>283.64999999999998</v>
      </c>
    </row>
    <row r="877" spans="1:4" ht="25.5" x14ac:dyDescent="0.25">
      <c r="A877" s="106">
        <v>1008</v>
      </c>
      <c r="B877" s="108" t="s">
        <v>6464</v>
      </c>
      <c r="C877" s="110" t="s">
        <v>5767</v>
      </c>
      <c r="D877" s="111">
        <v>3.69</v>
      </c>
    </row>
    <row r="878" spans="1:4" ht="25.5" x14ac:dyDescent="0.25">
      <c r="A878" s="106">
        <v>988</v>
      </c>
      <c r="B878" s="108" t="s">
        <v>6465</v>
      </c>
      <c r="C878" s="110" t="s">
        <v>5767</v>
      </c>
      <c r="D878" s="111">
        <v>41.01</v>
      </c>
    </row>
    <row r="879" spans="1:4" ht="25.5" x14ac:dyDescent="0.25">
      <c r="A879" s="106">
        <v>989</v>
      </c>
      <c r="B879" s="108" t="s">
        <v>6466</v>
      </c>
      <c r="C879" s="110" t="s">
        <v>5767</v>
      </c>
      <c r="D879" s="111">
        <v>55.55</v>
      </c>
    </row>
    <row r="880" spans="1:4" x14ac:dyDescent="0.25">
      <c r="A880" s="106">
        <v>39598</v>
      </c>
      <c r="B880" s="108" t="s">
        <v>6467</v>
      </c>
      <c r="C880" s="110" t="s">
        <v>5767</v>
      </c>
      <c r="D880" s="111">
        <v>0.96</v>
      </c>
    </row>
    <row r="881" spans="1:4" x14ac:dyDescent="0.25">
      <c r="A881" s="106">
        <v>39599</v>
      </c>
      <c r="B881" s="108" t="s">
        <v>6468</v>
      </c>
      <c r="C881" s="110" t="s">
        <v>5767</v>
      </c>
      <c r="D881" s="111">
        <v>1.45</v>
      </c>
    </row>
    <row r="882" spans="1:4" x14ac:dyDescent="0.25">
      <c r="A882" s="106">
        <v>34602</v>
      </c>
      <c r="B882" s="108" t="s">
        <v>6469</v>
      </c>
      <c r="C882" s="110" t="s">
        <v>5767</v>
      </c>
      <c r="D882" s="111">
        <v>1.22</v>
      </c>
    </row>
    <row r="883" spans="1:4" x14ac:dyDescent="0.25">
      <c r="A883" s="106">
        <v>34603</v>
      </c>
      <c r="B883" s="108" t="s">
        <v>6470</v>
      </c>
      <c r="C883" s="110" t="s">
        <v>5767</v>
      </c>
      <c r="D883" s="111">
        <v>5.88</v>
      </c>
    </row>
    <row r="884" spans="1:4" x14ac:dyDescent="0.25">
      <c r="A884" s="106">
        <v>34607</v>
      </c>
      <c r="B884" s="108" t="s">
        <v>6471</v>
      </c>
      <c r="C884" s="110" t="s">
        <v>5767</v>
      </c>
      <c r="D884" s="111">
        <v>2.62</v>
      </c>
    </row>
    <row r="885" spans="1:4" x14ac:dyDescent="0.25">
      <c r="A885" s="106">
        <v>34609</v>
      </c>
      <c r="B885" s="108" t="s">
        <v>6472</v>
      </c>
      <c r="C885" s="110" t="s">
        <v>5767</v>
      </c>
      <c r="D885" s="111">
        <v>3.93</v>
      </c>
    </row>
    <row r="886" spans="1:4" x14ac:dyDescent="0.25">
      <c r="A886" s="106">
        <v>34618</v>
      </c>
      <c r="B886" s="108" t="s">
        <v>6473</v>
      </c>
      <c r="C886" s="110" t="s">
        <v>5767</v>
      </c>
      <c r="D886" s="111">
        <v>1.62</v>
      </c>
    </row>
    <row r="887" spans="1:4" x14ac:dyDescent="0.25">
      <c r="A887" s="106">
        <v>34620</v>
      </c>
      <c r="B887" s="108" t="s">
        <v>6474</v>
      </c>
      <c r="C887" s="110" t="s">
        <v>5767</v>
      </c>
      <c r="D887" s="111">
        <v>8.11</v>
      </c>
    </row>
    <row r="888" spans="1:4" x14ac:dyDescent="0.25">
      <c r="A888" s="106">
        <v>34621</v>
      </c>
      <c r="B888" s="108" t="s">
        <v>6475</v>
      </c>
      <c r="C888" s="110" t="s">
        <v>5767</v>
      </c>
      <c r="D888" s="111">
        <v>3.76</v>
      </c>
    </row>
    <row r="889" spans="1:4" x14ac:dyDescent="0.25">
      <c r="A889" s="106">
        <v>34622</v>
      </c>
      <c r="B889" s="108" t="s">
        <v>6476</v>
      </c>
      <c r="C889" s="110" t="s">
        <v>5767</v>
      </c>
      <c r="D889" s="111">
        <v>5.33</v>
      </c>
    </row>
    <row r="890" spans="1:4" x14ac:dyDescent="0.25">
      <c r="A890" s="106">
        <v>34624</v>
      </c>
      <c r="B890" s="108" t="s">
        <v>6477</v>
      </c>
      <c r="C890" s="110" t="s">
        <v>5767</v>
      </c>
      <c r="D890" s="111">
        <v>2.0699999999999998</v>
      </c>
    </row>
    <row r="891" spans="1:4" x14ac:dyDescent="0.25">
      <c r="A891" s="106">
        <v>34626</v>
      </c>
      <c r="B891" s="108" t="s">
        <v>6478</v>
      </c>
      <c r="C891" s="110" t="s">
        <v>5767</v>
      </c>
      <c r="D891" s="111">
        <v>11.15</v>
      </c>
    </row>
    <row r="892" spans="1:4" x14ac:dyDescent="0.25">
      <c r="A892" s="106">
        <v>34627</v>
      </c>
      <c r="B892" s="108" t="s">
        <v>6479</v>
      </c>
      <c r="C892" s="110" t="s">
        <v>5767</v>
      </c>
      <c r="D892" s="111">
        <v>4.8</v>
      </c>
    </row>
    <row r="893" spans="1:4" x14ac:dyDescent="0.25">
      <c r="A893" s="106">
        <v>34629</v>
      </c>
      <c r="B893" s="108" t="s">
        <v>6480</v>
      </c>
      <c r="C893" s="110" t="s">
        <v>5767</v>
      </c>
      <c r="D893" s="111">
        <v>7.03</v>
      </c>
    </row>
    <row r="894" spans="1:4" ht="38.25" x14ac:dyDescent="0.25">
      <c r="A894" s="106">
        <v>39257</v>
      </c>
      <c r="B894" s="108" t="s">
        <v>6481</v>
      </c>
      <c r="C894" s="110" t="s">
        <v>5767</v>
      </c>
      <c r="D894" s="111">
        <v>3.88</v>
      </c>
    </row>
    <row r="895" spans="1:4" ht="38.25" x14ac:dyDescent="0.25">
      <c r="A895" s="106">
        <v>39261</v>
      </c>
      <c r="B895" s="108" t="s">
        <v>6482</v>
      </c>
      <c r="C895" s="110" t="s">
        <v>5767</v>
      </c>
      <c r="D895" s="111">
        <v>20.66</v>
      </c>
    </row>
    <row r="896" spans="1:4" ht="38.25" x14ac:dyDescent="0.25">
      <c r="A896" s="106">
        <v>39268</v>
      </c>
      <c r="B896" s="108" t="s">
        <v>6483</v>
      </c>
      <c r="C896" s="110" t="s">
        <v>5767</v>
      </c>
      <c r="D896" s="111">
        <v>238.42</v>
      </c>
    </row>
    <row r="897" spans="1:4" ht="38.25" x14ac:dyDescent="0.25">
      <c r="A897" s="106">
        <v>39262</v>
      </c>
      <c r="B897" s="108" t="s">
        <v>6484</v>
      </c>
      <c r="C897" s="110" t="s">
        <v>5767</v>
      </c>
      <c r="D897" s="111">
        <v>32.31</v>
      </c>
    </row>
    <row r="898" spans="1:4" ht="38.25" x14ac:dyDescent="0.25">
      <c r="A898" s="106">
        <v>39258</v>
      </c>
      <c r="B898" s="108" t="s">
        <v>6485</v>
      </c>
      <c r="C898" s="110" t="s">
        <v>5767</v>
      </c>
      <c r="D898" s="111">
        <v>5.75</v>
      </c>
    </row>
    <row r="899" spans="1:4" ht="38.25" x14ac:dyDescent="0.25">
      <c r="A899" s="106">
        <v>39263</v>
      </c>
      <c r="B899" s="108" t="s">
        <v>6486</v>
      </c>
      <c r="C899" s="110" t="s">
        <v>5767</v>
      </c>
      <c r="D899" s="111">
        <v>49.99</v>
      </c>
    </row>
    <row r="900" spans="1:4" ht="38.25" x14ac:dyDescent="0.25">
      <c r="A900" s="106">
        <v>39264</v>
      </c>
      <c r="B900" s="108" t="s">
        <v>6487</v>
      </c>
      <c r="C900" s="110" t="s">
        <v>5767</v>
      </c>
      <c r="D900" s="111">
        <v>67.69</v>
      </c>
    </row>
    <row r="901" spans="1:4" ht="38.25" x14ac:dyDescent="0.25">
      <c r="A901" s="106">
        <v>39259</v>
      </c>
      <c r="B901" s="108" t="s">
        <v>6488</v>
      </c>
      <c r="C901" s="110" t="s">
        <v>5767</v>
      </c>
      <c r="D901" s="111">
        <v>8.75</v>
      </c>
    </row>
    <row r="902" spans="1:4" ht="38.25" x14ac:dyDescent="0.25">
      <c r="A902" s="106">
        <v>39265</v>
      </c>
      <c r="B902" s="108" t="s">
        <v>6489</v>
      </c>
      <c r="C902" s="110" t="s">
        <v>5767</v>
      </c>
      <c r="D902" s="111">
        <v>99.72</v>
      </c>
    </row>
    <row r="903" spans="1:4" ht="38.25" x14ac:dyDescent="0.25">
      <c r="A903" s="106">
        <v>39260</v>
      </c>
      <c r="B903" s="108" t="s">
        <v>6490</v>
      </c>
      <c r="C903" s="110" t="s">
        <v>5767</v>
      </c>
      <c r="D903" s="111">
        <v>12.46</v>
      </c>
    </row>
    <row r="904" spans="1:4" ht="38.25" x14ac:dyDescent="0.25">
      <c r="A904" s="106">
        <v>39266</v>
      </c>
      <c r="B904" s="108" t="s">
        <v>6491</v>
      </c>
      <c r="C904" s="110" t="s">
        <v>5767</v>
      </c>
      <c r="D904" s="111">
        <v>139.91999999999999</v>
      </c>
    </row>
    <row r="905" spans="1:4" ht="38.25" x14ac:dyDescent="0.25">
      <c r="A905" s="106">
        <v>39267</v>
      </c>
      <c r="B905" s="108" t="s">
        <v>6492</v>
      </c>
      <c r="C905" s="110" t="s">
        <v>5767</v>
      </c>
      <c r="D905" s="111">
        <v>183.41</v>
      </c>
    </row>
    <row r="906" spans="1:4" x14ac:dyDescent="0.25">
      <c r="A906" s="106">
        <v>11901</v>
      </c>
      <c r="B906" s="108" t="s">
        <v>6493</v>
      </c>
      <c r="C906" s="110" t="s">
        <v>5767</v>
      </c>
      <c r="D906" s="111">
        <v>0.64</v>
      </c>
    </row>
    <row r="907" spans="1:4" x14ac:dyDescent="0.25">
      <c r="A907" s="106">
        <v>11902</v>
      </c>
      <c r="B907" s="108" t="s">
        <v>6494</v>
      </c>
      <c r="C907" s="110" t="s">
        <v>5767</v>
      </c>
      <c r="D907" s="111">
        <v>1.1100000000000001</v>
      </c>
    </row>
    <row r="908" spans="1:4" x14ac:dyDescent="0.25">
      <c r="A908" s="106">
        <v>11903</v>
      </c>
      <c r="B908" s="108" t="s">
        <v>6495</v>
      </c>
      <c r="C908" s="110" t="s">
        <v>5767</v>
      </c>
      <c r="D908" s="111">
        <v>1.72</v>
      </c>
    </row>
    <row r="909" spans="1:4" x14ac:dyDescent="0.25">
      <c r="A909" s="106">
        <v>11904</v>
      </c>
      <c r="B909" s="108" t="s">
        <v>6496</v>
      </c>
      <c r="C909" s="110" t="s">
        <v>5767</v>
      </c>
      <c r="D909" s="111">
        <v>2.19</v>
      </c>
    </row>
    <row r="910" spans="1:4" x14ac:dyDescent="0.25">
      <c r="A910" s="106">
        <v>11905</v>
      </c>
      <c r="B910" s="108" t="s">
        <v>6497</v>
      </c>
      <c r="C910" s="110" t="s">
        <v>5767</v>
      </c>
      <c r="D910" s="111">
        <v>2.95</v>
      </c>
    </row>
    <row r="911" spans="1:4" x14ac:dyDescent="0.25">
      <c r="A911" s="106">
        <v>11906</v>
      </c>
      <c r="B911" s="108" t="s">
        <v>6498</v>
      </c>
      <c r="C911" s="110" t="s">
        <v>5767</v>
      </c>
      <c r="D911" s="111">
        <v>3.39</v>
      </c>
    </row>
    <row r="912" spans="1:4" x14ac:dyDescent="0.25">
      <c r="A912" s="106">
        <v>11919</v>
      </c>
      <c r="B912" s="108" t="s">
        <v>6499</v>
      </c>
      <c r="C912" s="110" t="s">
        <v>5767</v>
      </c>
      <c r="D912" s="111">
        <v>6.66</v>
      </c>
    </row>
    <row r="913" spans="1:4" x14ac:dyDescent="0.25">
      <c r="A913" s="106">
        <v>11920</v>
      </c>
      <c r="B913" s="108" t="s">
        <v>6500</v>
      </c>
      <c r="C913" s="110" t="s">
        <v>5767</v>
      </c>
      <c r="D913" s="111">
        <v>12.91</v>
      </c>
    </row>
    <row r="914" spans="1:4" x14ac:dyDescent="0.25">
      <c r="A914" s="106">
        <v>11924</v>
      </c>
      <c r="B914" s="108" t="s">
        <v>6501</v>
      </c>
      <c r="C914" s="110" t="s">
        <v>5767</v>
      </c>
      <c r="D914" s="111">
        <v>125.59</v>
      </c>
    </row>
    <row r="915" spans="1:4" x14ac:dyDescent="0.25">
      <c r="A915" s="106">
        <v>11921</v>
      </c>
      <c r="B915" s="108" t="s">
        <v>6502</v>
      </c>
      <c r="C915" s="110" t="s">
        <v>5767</v>
      </c>
      <c r="D915" s="111">
        <v>17.579999999999998</v>
      </c>
    </row>
    <row r="916" spans="1:4" x14ac:dyDescent="0.25">
      <c r="A916" s="106">
        <v>11922</v>
      </c>
      <c r="B916" s="108" t="s">
        <v>6503</v>
      </c>
      <c r="C916" s="110" t="s">
        <v>5767</v>
      </c>
      <c r="D916" s="111">
        <v>31.21</v>
      </c>
    </row>
    <row r="917" spans="1:4" x14ac:dyDescent="0.25">
      <c r="A917" s="106">
        <v>11923</v>
      </c>
      <c r="B917" s="108" t="s">
        <v>6504</v>
      </c>
      <c r="C917" s="110" t="s">
        <v>5767</v>
      </c>
      <c r="D917" s="111">
        <v>50.98</v>
      </c>
    </row>
    <row r="918" spans="1:4" x14ac:dyDescent="0.25">
      <c r="A918" s="106">
        <v>11916</v>
      </c>
      <c r="B918" s="108" t="s">
        <v>6505</v>
      </c>
      <c r="C918" s="110" t="s">
        <v>5767</v>
      </c>
      <c r="D918" s="111">
        <v>8.65</v>
      </c>
    </row>
    <row r="919" spans="1:4" x14ac:dyDescent="0.25">
      <c r="A919" s="106">
        <v>11914</v>
      </c>
      <c r="B919" s="108" t="s">
        <v>6506</v>
      </c>
      <c r="C919" s="110" t="s">
        <v>5767</v>
      </c>
      <c r="D919" s="111">
        <v>62.82</v>
      </c>
    </row>
    <row r="920" spans="1:4" x14ac:dyDescent="0.25">
      <c r="A920" s="106">
        <v>11917</v>
      </c>
      <c r="B920" s="108" t="s">
        <v>6507</v>
      </c>
      <c r="C920" s="110" t="s">
        <v>5767</v>
      </c>
      <c r="D920" s="111">
        <v>15.06</v>
      </c>
    </row>
    <row r="921" spans="1:4" x14ac:dyDescent="0.25">
      <c r="A921" s="106">
        <v>11918</v>
      </c>
      <c r="B921" s="108" t="s">
        <v>6508</v>
      </c>
      <c r="C921" s="110" t="s">
        <v>5767</v>
      </c>
      <c r="D921" s="111">
        <v>20.43</v>
      </c>
    </row>
    <row r="922" spans="1:4" ht="25.5" x14ac:dyDescent="0.25">
      <c r="A922" s="106">
        <v>37734</v>
      </c>
      <c r="B922" s="108" t="s">
        <v>6509</v>
      </c>
      <c r="C922" s="110" t="s">
        <v>5755</v>
      </c>
      <c r="D922" s="111">
        <v>45253.13</v>
      </c>
    </row>
    <row r="923" spans="1:4" ht="25.5" x14ac:dyDescent="0.25">
      <c r="A923" s="106">
        <v>42251</v>
      </c>
      <c r="B923" s="108" t="s">
        <v>6510</v>
      </c>
      <c r="C923" s="110" t="s">
        <v>5755</v>
      </c>
      <c r="D923" s="111">
        <v>51387.69</v>
      </c>
    </row>
    <row r="924" spans="1:4" ht="25.5" x14ac:dyDescent="0.25">
      <c r="A924" s="106">
        <v>37733</v>
      </c>
      <c r="B924" s="108" t="s">
        <v>6511</v>
      </c>
      <c r="C924" s="110" t="s">
        <v>5755</v>
      </c>
      <c r="D924" s="111">
        <v>33930.620000000003</v>
      </c>
    </row>
    <row r="925" spans="1:4" ht="25.5" x14ac:dyDescent="0.25">
      <c r="A925" s="106">
        <v>37735</v>
      </c>
      <c r="B925" s="108" t="s">
        <v>6512</v>
      </c>
      <c r="C925" s="110" t="s">
        <v>5755</v>
      </c>
      <c r="D925" s="111">
        <v>40886.400000000001</v>
      </c>
    </row>
    <row r="926" spans="1:4" ht="38.25" x14ac:dyDescent="0.25">
      <c r="A926" s="106">
        <v>5090</v>
      </c>
      <c r="B926" s="108" t="s">
        <v>6513</v>
      </c>
      <c r="C926" s="110" t="s">
        <v>5755</v>
      </c>
      <c r="D926" s="111">
        <v>16.579999999999998</v>
      </c>
    </row>
    <row r="927" spans="1:4" ht="25.5" x14ac:dyDescent="0.25">
      <c r="A927" s="106">
        <v>5085</v>
      </c>
      <c r="B927" s="108" t="s">
        <v>6514</v>
      </c>
      <c r="C927" s="110" t="s">
        <v>5755</v>
      </c>
      <c r="D927" s="111">
        <v>18.48</v>
      </c>
    </row>
    <row r="928" spans="1:4" x14ac:dyDescent="0.25">
      <c r="A928" s="106">
        <v>38374</v>
      </c>
      <c r="B928" s="108" t="s">
        <v>6515</v>
      </c>
      <c r="C928" s="110" t="s">
        <v>5755</v>
      </c>
      <c r="D928" s="111">
        <v>862.73</v>
      </c>
    </row>
    <row r="929" spans="1:4" ht="25.5" x14ac:dyDescent="0.25">
      <c r="A929" s="106">
        <v>20212</v>
      </c>
      <c r="B929" s="108" t="s">
        <v>6516</v>
      </c>
      <c r="C929" s="110" t="s">
        <v>5767</v>
      </c>
      <c r="D929" s="111">
        <v>9.0399999999999991</v>
      </c>
    </row>
    <row r="930" spans="1:4" ht="25.5" x14ac:dyDescent="0.25">
      <c r="A930" s="106">
        <v>4430</v>
      </c>
      <c r="B930" s="108" t="s">
        <v>6517</v>
      </c>
      <c r="C930" s="110" t="s">
        <v>5767</v>
      </c>
      <c r="D930" s="111">
        <v>5.74</v>
      </c>
    </row>
    <row r="931" spans="1:4" ht="25.5" x14ac:dyDescent="0.25">
      <c r="A931" s="106">
        <v>4400</v>
      </c>
      <c r="B931" s="108" t="s">
        <v>6518</v>
      </c>
      <c r="C931" s="110" t="s">
        <v>5767</v>
      </c>
      <c r="D931" s="111">
        <v>7.25</v>
      </c>
    </row>
    <row r="932" spans="1:4" ht="25.5" x14ac:dyDescent="0.25">
      <c r="A932" s="106">
        <v>4500</v>
      </c>
      <c r="B932" s="108" t="s">
        <v>6519</v>
      </c>
      <c r="C932" s="110" t="s">
        <v>5767</v>
      </c>
      <c r="D932" s="111">
        <v>18.170000000000002</v>
      </c>
    </row>
    <row r="933" spans="1:4" ht="25.5" x14ac:dyDescent="0.25">
      <c r="A933" s="106">
        <v>4513</v>
      </c>
      <c r="B933" s="108" t="s">
        <v>6520</v>
      </c>
      <c r="C933" s="110" t="s">
        <v>5767</v>
      </c>
      <c r="D933" s="111">
        <v>4.87</v>
      </c>
    </row>
    <row r="934" spans="1:4" ht="25.5" x14ac:dyDescent="0.25">
      <c r="A934" s="106">
        <v>4496</v>
      </c>
      <c r="B934" s="108" t="s">
        <v>6521</v>
      </c>
      <c r="C934" s="110" t="s">
        <v>5767</v>
      </c>
      <c r="D934" s="111">
        <v>3.89</v>
      </c>
    </row>
    <row r="935" spans="1:4" x14ac:dyDescent="0.25">
      <c r="A935" s="106">
        <v>11871</v>
      </c>
      <c r="B935" s="108" t="s">
        <v>6522</v>
      </c>
      <c r="C935" s="110" t="s">
        <v>5755</v>
      </c>
      <c r="D935" s="111">
        <v>264</v>
      </c>
    </row>
    <row r="936" spans="1:4" x14ac:dyDescent="0.25">
      <c r="A936" s="106">
        <v>34636</v>
      </c>
      <c r="B936" s="108" t="s">
        <v>6523</v>
      </c>
      <c r="C936" s="110" t="s">
        <v>5755</v>
      </c>
      <c r="D936" s="111">
        <v>295</v>
      </c>
    </row>
    <row r="937" spans="1:4" x14ac:dyDescent="0.25">
      <c r="A937" s="106">
        <v>34639</v>
      </c>
      <c r="B937" s="108" t="s">
        <v>6524</v>
      </c>
      <c r="C937" s="110" t="s">
        <v>5755</v>
      </c>
      <c r="D937" s="111">
        <v>599.14</v>
      </c>
    </row>
    <row r="938" spans="1:4" x14ac:dyDescent="0.25">
      <c r="A938" s="106">
        <v>34640</v>
      </c>
      <c r="B938" s="108" t="s">
        <v>6525</v>
      </c>
      <c r="C938" s="110" t="s">
        <v>5755</v>
      </c>
      <c r="D938" s="111">
        <v>672.99</v>
      </c>
    </row>
    <row r="939" spans="1:4" x14ac:dyDescent="0.25">
      <c r="A939" s="106">
        <v>34637</v>
      </c>
      <c r="B939" s="108" t="s">
        <v>6526</v>
      </c>
      <c r="C939" s="110" t="s">
        <v>5755</v>
      </c>
      <c r="D939" s="111">
        <v>169.37</v>
      </c>
    </row>
    <row r="940" spans="1:4" x14ac:dyDescent="0.25">
      <c r="A940" s="106">
        <v>34638</v>
      </c>
      <c r="B940" s="108" t="s">
        <v>6527</v>
      </c>
      <c r="C940" s="110" t="s">
        <v>5755</v>
      </c>
      <c r="D940" s="111">
        <v>290.45</v>
      </c>
    </row>
    <row r="941" spans="1:4" x14ac:dyDescent="0.25">
      <c r="A941" s="106">
        <v>11868</v>
      </c>
      <c r="B941" s="108" t="s">
        <v>6528</v>
      </c>
      <c r="C941" s="110" t="s">
        <v>5755</v>
      </c>
      <c r="D941" s="111">
        <v>362.83</v>
      </c>
    </row>
    <row r="942" spans="1:4" x14ac:dyDescent="0.25">
      <c r="A942" s="106">
        <v>37106</v>
      </c>
      <c r="B942" s="108" t="s">
        <v>6529</v>
      </c>
      <c r="C942" s="110" t="s">
        <v>5755</v>
      </c>
      <c r="D942" s="111">
        <v>3504.54</v>
      </c>
    </row>
    <row r="943" spans="1:4" x14ac:dyDescent="0.25">
      <c r="A943" s="106">
        <v>11869</v>
      </c>
      <c r="B943" s="108" t="s">
        <v>6530</v>
      </c>
      <c r="C943" s="110" t="s">
        <v>5755</v>
      </c>
      <c r="D943" s="111">
        <v>588.69000000000005</v>
      </c>
    </row>
    <row r="944" spans="1:4" x14ac:dyDescent="0.25">
      <c r="A944" s="106">
        <v>37104</v>
      </c>
      <c r="B944" s="108" t="s">
        <v>6531</v>
      </c>
      <c r="C944" s="110" t="s">
        <v>5755</v>
      </c>
      <c r="D944" s="111">
        <v>758.85</v>
      </c>
    </row>
    <row r="945" spans="1:4" x14ac:dyDescent="0.25">
      <c r="A945" s="106">
        <v>37105</v>
      </c>
      <c r="B945" s="108" t="s">
        <v>6532</v>
      </c>
      <c r="C945" s="110" t="s">
        <v>5755</v>
      </c>
      <c r="D945" s="111">
        <v>1690.09</v>
      </c>
    </row>
    <row r="946" spans="1:4" ht="38.25" x14ac:dyDescent="0.25">
      <c r="A946" s="106">
        <v>43094</v>
      </c>
      <c r="B946" s="108" t="s">
        <v>10629</v>
      </c>
      <c r="C946" s="110" t="s">
        <v>5755</v>
      </c>
      <c r="D946" s="111">
        <v>189.65</v>
      </c>
    </row>
    <row r="947" spans="1:4" ht="38.25" x14ac:dyDescent="0.25">
      <c r="A947" s="106">
        <v>43093</v>
      </c>
      <c r="B947" s="108" t="s">
        <v>10630</v>
      </c>
      <c r="C947" s="110" t="s">
        <v>5755</v>
      </c>
      <c r="D947" s="111">
        <v>201.54</v>
      </c>
    </row>
    <row r="948" spans="1:4" ht="25.5" x14ac:dyDescent="0.25">
      <c r="A948" s="106">
        <v>1030</v>
      </c>
      <c r="B948" s="108" t="s">
        <v>6533</v>
      </c>
      <c r="C948" s="110" t="s">
        <v>5755</v>
      </c>
      <c r="D948" s="111">
        <v>33.450000000000003</v>
      </c>
    </row>
    <row r="949" spans="1:4" ht="25.5" x14ac:dyDescent="0.25">
      <c r="A949" s="106">
        <v>11694</v>
      </c>
      <c r="B949" s="108" t="s">
        <v>6534</v>
      </c>
      <c r="C949" s="110" t="s">
        <v>5755</v>
      </c>
      <c r="D949" s="111">
        <v>739.42</v>
      </c>
    </row>
    <row r="950" spans="1:4" ht="25.5" x14ac:dyDescent="0.25">
      <c r="A950" s="106">
        <v>35277</v>
      </c>
      <c r="B950" s="108" t="s">
        <v>6535</v>
      </c>
      <c r="C950" s="110" t="s">
        <v>5755</v>
      </c>
      <c r="D950" s="111">
        <v>381.03</v>
      </c>
    </row>
    <row r="951" spans="1:4" ht="51" x14ac:dyDescent="0.25">
      <c r="A951" s="106">
        <v>10521</v>
      </c>
      <c r="B951" s="108" t="s">
        <v>628</v>
      </c>
      <c r="C951" s="110" t="s">
        <v>5755</v>
      </c>
      <c r="D951" s="111">
        <v>228.97</v>
      </c>
    </row>
    <row r="952" spans="1:4" ht="51" x14ac:dyDescent="0.25">
      <c r="A952" s="106">
        <v>10885</v>
      </c>
      <c r="B952" s="108" t="s">
        <v>6536</v>
      </c>
      <c r="C952" s="110" t="s">
        <v>5755</v>
      </c>
      <c r="D952" s="111">
        <v>289.62</v>
      </c>
    </row>
    <row r="953" spans="1:4" ht="51" x14ac:dyDescent="0.25">
      <c r="A953" s="106">
        <v>20962</v>
      </c>
      <c r="B953" s="108" t="s">
        <v>6537</v>
      </c>
      <c r="C953" s="110" t="s">
        <v>5755</v>
      </c>
      <c r="D953" s="111">
        <v>239.88</v>
      </c>
    </row>
    <row r="954" spans="1:4" ht="51" x14ac:dyDescent="0.25">
      <c r="A954" s="106">
        <v>20963</v>
      </c>
      <c r="B954" s="108" t="s">
        <v>6538</v>
      </c>
      <c r="C954" s="110" t="s">
        <v>5755</v>
      </c>
      <c r="D954" s="111">
        <v>293.02999999999997</v>
      </c>
    </row>
    <row r="955" spans="1:4" x14ac:dyDescent="0.25">
      <c r="A955" s="106">
        <v>2555</v>
      </c>
      <c r="B955" s="108" t="s">
        <v>6539</v>
      </c>
      <c r="C955" s="110" t="s">
        <v>5755</v>
      </c>
      <c r="D955" s="111">
        <v>1.22</v>
      </c>
    </row>
    <row r="956" spans="1:4" x14ac:dyDescent="0.25">
      <c r="A956" s="106">
        <v>2556</v>
      </c>
      <c r="B956" s="108" t="s">
        <v>6540</v>
      </c>
      <c r="C956" s="110" t="s">
        <v>5755</v>
      </c>
      <c r="D956" s="111">
        <v>1.27</v>
      </c>
    </row>
    <row r="957" spans="1:4" x14ac:dyDescent="0.25">
      <c r="A957" s="106">
        <v>2557</v>
      </c>
      <c r="B957" s="108" t="s">
        <v>6541</v>
      </c>
      <c r="C957" s="110" t="s">
        <v>5755</v>
      </c>
      <c r="D957" s="111">
        <v>2.68</v>
      </c>
    </row>
    <row r="958" spans="1:4" ht="25.5" x14ac:dyDescent="0.25">
      <c r="A958" s="106">
        <v>10569</v>
      </c>
      <c r="B958" s="108" t="s">
        <v>10631</v>
      </c>
      <c r="C958" s="110" t="s">
        <v>5755</v>
      </c>
      <c r="D958" s="111">
        <v>2.68</v>
      </c>
    </row>
    <row r="959" spans="1:4" ht="25.5" x14ac:dyDescent="0.25">
      <c r="A959" s="106">
        <v>39810</v>
      </c>
      <c r="B959" s="108" t="s">
        <v>10632</v>
      </c>
      <c r="C959" s="110" t="s">
        <v>5755</v>
      </c>
      <c r="D959" s="111">
        <v>25.59</v>
      </c>
    </row>
    <row r="960" spans="1:4" ht="25.5" x14ac:dyDescent="0.25">
      <c r="A960" s="106">
        <v>39811</v>
      </c>
      <c r="B960" s="108" t="s">
        <v>10633</v>
      </c>
      <c r="C960" s="110" t="s">
        <v>5755</v>
      </c>
      <c r="D960" s="111">
        <v>31.3</v>
      </c>
    </row>
    <row r="961" spans="1:4" ht="25.5" x14ac:dyDescent="0.25">
      <c r="A961" s="106">
        <v>39812</v>
      </c>
      <c r="B961" s="108" t="s">
        <v>10634</v>
      </c>
      <c r="C961" s="110" t="s">
        <v>5755</v>
      </c>
      <c r="D961" s="111">
        <v>51.47</v>
      </c>
    </row>
    <row r="962" spans="1:4" ht="38.25" x14ac:dyDescent="0.25">
      <c r="A962" s="106">
        <v>43096</v>
      </c>
      <c r="B962" s="108" t="s">
        <v>10635</v>
      </c>
      <c r="C962" s="110" t="s">
        <v>5755</v>
      </c>
      <c r="D962" s="111">
        <v>170.62</v>
      </c>
    </row>
    <row r="963" spans="1:4" ht="25.5" x14ac:dyDescent="0.25">
      <c r="A963" s="106">
        <v>43102</v>
      </c>
      <c r="B963" s="108" t="s">
        <v>10636</v>
      </c>
      <c r="C963" s="110" t="s">
        <v>5755</v>
      </c>
      <c r="D963" s="111">
        <v>103.75</v>
      </c>
    </row>
    <row r="964" spans="1:4" ht="25.5" x14ac:dyDescent="0.25">
      <c r="A964" s="106">
        <v>43103</v>
      </c>
      <c r="B964" s="108" t="s">
        <v>10637</v>
      </c>
      <c r="C964" s="110" t="s">
        <v>5755</v>
      </c>
      <c r="D964" s="111">
        <v>152.77000000000001</v>
      </c>
    </row>
    <row r="965" spans="1:4" ht="38.25" x14ac:dyDescent="0.25">
      <c r="A965" s="106">
        <v>43098</v>
      </c>
      <c r="B965" s="108" t="s">
        <v>10638</v>
      </c>
      <c r="C965" s="110" t="s">
        <v>5755</v>
      </c>
      <c r="D965" s="111">
        <v>57.79</v>
      </c>
    </row>
    <row r="966" spans="1:4" ht="38.25" x14ac:dyDescent="0.25">
      <c r="A966" s="106">
        <v>43097</v>
      </c>
      <c r="B966" s="108" t="s">
        <v>10639</v>
      </c>
      <c r="C966" s="110" t="s">
        <v>5755</v>
      </c>
      <c r="D966" s="111">
        <v>34.24</v>
      </c>
    </row>
    <row r="967" spans="1:4" ht="25.5" x14ac:dyDescent="0.25">
      <c r="A967" s="106">
        <v>43104</v>
      </c>
      <c r="B967" s="108" t="s">
        <v>10640</v>
      </c>
      <c r="C967" s="110" t="s">
        <v>5755</v>
      </c>
      <c r="D967" s="111">
        <v>405.04</v>
      </c>
    </row>
    <row r="968" spans="1:4" ht="25.5" x14ac:dyDescent="0.25">
      <c r="A968" s="106">
        <v>39771</v>
      </c>
      <c r="B968" s="108" t="s">
        <v>518</v>
      </c>
      <c r="C968" s="110" t="s">
        <v>5755</v>
      </c>
      <c r="D968" s="111">
        <v>25.77</v>
      </c>
    </row>
    <row r="969" spans="1:4" ht="25.5" x14ac:dyDescent="0.25">
      <c r="A969" s="106">
        <v>39772</v>
      </c>
      <c r="B969" s="108" t="s">
        <v>6542</v>
      </c>
      <c r="C969" s="110" t="s">
        <v>5755</v>
      </c>
      <c r="D969" s="111">
        <v>50.65</v>
      </c>
    </row>
    <row r="970" spans="1:4" ht="25.5" x14ac:dyDescent="0.25">
      <c r="A970" s="106">
        <v>39773</v>
      </c>
      <c r="B970" s="108" t="s">
        <v>6543</v>
      </c>
      <c r="C970" s="110" t="s">
        <v>5755</v>
      </c>
      <c r="D970" s="111">
        <v>81.400000000000006</v>
      </c>
    </row>
    <row r="971" spans="1:4" ht="25.5" x14ac:dyDescent="0.25">
      <c r="A971" s="106">
        <v>39774</v>
      </c>
      <c r="B971" s="108" t="s">
        <v>6544</v>
      </c>
      <c r="C971" s="110" t="s">
        <v>5755</v>
      </c>
      <c r="D971" s="111">
        <v>121.76</v>
      </c>
    </row>
    <row r="972" spans="1:4" ht="25.5" x14ac:dyDescent="0.25">
      <c r="A972" s="106">
        <v>39775</v>
      </c>
      <c r="B972" s="108" t="s">
        <v>6545</v>
      </c>
      <c r="C972" s="110" t="s">
        <v>5755</v>
      </c>
      <c r="D972" s="111">
        <v>162.51</v>
      </c>
    </row>
    <row r="973" spans="1:4" ht="25.5" x14ac:dyDescent="0.25">
      <c r="A973" s="106">
        <v>39776</v>
      </c>
      <c r="B973" s="108" t="s">
        <v>6546</v>
      </c>
      <c r="C973" s="110" t="s">
        <v>5755</v>
      </c>
      <c r="D973" s="111">
        <v>196.4</v>
      </c>
    </row>
    <row r="974" spans="1:4" ht="25.5" x14ac:dyDescent="0.25">
      <c r="A974" s="106">
        <v>39777</v>
      </c>
      <c r="B974" s="108" t="s">
        <v>6547</v>
      </c>
      <c r="C974" s="110" t="s">
        <v>5755</v>
      </c>
      <c r="D974" s="111">
        <v>248.93</v>
      </c>
    </row>
    <row r="975" spans="1:4" ht="25.5" x14ac:dyDescent="0.25">
      <c r="A975" s="106">
        <v>20254</v>
      </c>
      <c r="B975" s="108" t="s">
        <v>10641</v>
      </c>
      <c r="C975" s="110" t="s">
        <v>5755</v>
      </c>
      <c r="D975" s="111">
        <v>18.07</v>
      </c>
    </row>
    <row r="976" spans="1:4" ht="25.5" x14ac:dyDescent="0.25">
      <c r="A976" s="106">
        <v>20253</v>
      </c>
      <c r="B976" s="108" t="s">
        <v>10642</v>
      </c>
      <c r="C976" s="110" t="s">
        <v>5755</v>
      </c>
      <c r="D976" s="111">
        <v>59.33</v>
      </c>
    </row>
    <row r="977" spans="1:4" ht="38.25" x14ac:dyDescent="0.25">
      <c r="A977" s="106">
        <v>11247</v>
      </c>
      <c r="B977" s="108" t="s">
        <v>10643</v>
      </c>
      <c r="C977" s="110" t="s">
        <v>5755</v>
      </c>
      <c r="D977" s="111">
        <v>1140.83</v>
      </c>
    </row>
    <row r="978" spans="1:4" ht="38.25" x14ac:dyDescent="0.25">
      <c r="A978" s="106">
        <v>11250</v>
      </c>
      <c r="B978" s="108" t="s">
        <v>10644</v>
      </c>
      <c r="C978" s="110" t="s">
        <v>5755</v>
      </c>
      <c r="D978" s="111">
        <v>49.11</v>
      </c>
    </row>
    <row r="979" spans="1:4" ht="38.25" x14ac:dyDescent="0.25">
      <c r="A979" s="106">
        <v>11249</v>
      </c>
      <c r="B979" s="108" t="s">
        <v>10645</v>
      </c>
      <c r="C979" s="110" t="s">
        <v>5755</v>
      </c>
      <c r="D979" s="111">
        <v>2228.4499999999998</v>
      </c>
    </row>
    <row r="980" spans="1:4" ht="38.25" x14ac:dyDescent="0.25">
      <c r="A980" s="106">
        <v>11251</v>
      </c>
      <c r="B980" s="108" t="s">
        <v>10646</v>
      </c>
      <c r="C980" s="110" t="s">
        <v>5755</v>
      </c>
      <c r="D980" s="111">
        <v>108.79</v>
      </c>
    </row>
    <row r="981" spans="1:4" ht="38.25" x14ac:dyDescent="0.25">
      <c r="A981" s="106">
        <v>11253</v>
      </c>
      <c r="B981" s="108" t="s">
        <v>10647</v>
      </c>
      <c r="C981" s="110" t="s">
        <v>5755</v>
      </c>
      <c r="D981" s="111">
        <v>180.28</v>
      </c>
    </row>
    <row r="982" spans="1:4" ht="38.25" x14ac:dyDescent="0.25">
      <c r="A982" s="106">
        <v>11255</v>
      </c>
      <c r="B982" s="108" t="s">
        <v>10648</v>
      </c>
      <c r="C982" s="110" t="s">
        <v>5755</v>
      </c>
      <c r="D982" s="111">
        <v>269.51</v>
      </c>
    </row>
    <row r="983" spans="1:4" ht="38.25" x14ac:dyDescent="0.25">
      <c r="A983" s="106">
        <v>14055</v>
      </c>
      <c r="B983" s="108" t="s">
        <v>10649</v>
      </c>
      <c r="C983" s="110" t="s">
        <v>5755</v>
      </c>
      <c r="D983" s="111">
        <v>542.16</v>
      </c>
    </row>
    <row r="984" spans="1:4" ht="38.25" x14ac:dyDescent="0.25">
      <c r="A984" s="106">
        <v>11256</v>
      </c>
      <c r="B984" s="108" t="s">
        <v>10650</v>
      </c>
      <c r="C984" s="110" t="s">
        <v>5755</v>
      </c>
      <c r="D984" s="111">
        <v>337.59</v>
      </c>
    </row>
    <row r="985" spans="1:4" ht="25.5" x14ac:dyDescent="0.25">
      <c r="A985" s="106">
        <v>1872</v>
      </c>
      <c r="B985" s="108" t="s">
        <v>6548</v>
      </c>
      <c r="C985" s="110" t="s">
        <v>5755</v>
      </c>
      <c r="D985" s="111">
        <v>1.65</v>
      </c>
    </row>
    <row r="986" spans="1:4" ht="25.5" x14ac:dyDescent="0.25">
      <c r="A986" s="106">
        <v>1873</v>
      </c>
      <c r="B986" s="108" t="s">
        <v>6549</v>
      </c>
      <c r="C986" s="110" t="s">
        <v>5755</v>
      </c>
      <c r="D986" s="111">
        <v>3.28</v>
      </c>
    </row>
    <row r="987" spans="1:4" ht="38.25" x14ac:dyDescent="0.25">
      <c r="A987" s="106">
        <v>39693</v>
      </c>
      <c r="B987" s="108" t="s">
        <v>6550</v>
      </c>
      <c r="C987" s="110" t="s">
        <v>5755</v>
      </c>
      <c r="D987" s="111">
        <v>2120.2399999999998</v>
      </c>
    </row>
    <row r="988" spans="1:4" ht="25.5" x14ac:dyDescent="0.25">
      <c r="A988" s="106">
        <v>39692</v>
      </c>
      <c r="B988" s="108" t="s">
        <v>6551</v>
      </c>
      <c r="C988" s="110" t="s">
        <v>5755</v>
      </c>
      <c r="D988" s="111">
        <v>678.43</v>
      </c>
    </row>
    <row r="989" spans="1:4" ht="25.5" x14ac:dyDescent="0.25">
      <c r="A989" s="106">
        <v>3280</v>
      </c>
      <c r="B989" s="108" t="s">
        <v>6552</v>
      </c>
      <c r="C989" s="110" t="s">
        <v>5755</v>
      </c>
      <c r="D989" s="111">
        <v>150.03</v>
      </c>
    </row>
    <row r="990" spans="1:4" ht="25.5" x14ac:dyDescent="0.25">
      <c r="A990" s="106">
        <v>11881</v>
      </c>
      <c r="B990" s="108" t="s">
        <v>6553</v>
      </c>
      <c r="C990" s="110" t="s">
        <v>5755</v>
      </c>
      <c r="D990" s="111">
        <v>69.67</v>
      </c>
    </row>
    <row r="991" spans="1:4" ht="25.5" x14ac:dyDescent="0.25">
      <c r="A991" s="106">
        <v>34641</v>
      </c>
      <c r="B991" s="108" t="s">
        <v>6554</v>
      </c>
      <c r="C991" s="110" t="s">
        <v>5755</v>
      </c>
      <c r="D991" s="111">
        <v>56.19</v>
      </c>
    </row>
    <row r="992" spans="1:4" ht="25.5" x14ac:dyDescent="0.25">
      <c r="A992" s="106">
        <v>34643</v>
      </c>
      <c r="B992" s="108" t="s">
        <v>6555</v>
      </c>
      <c r="C992" s="110" t="s">
        <v>5755</v>
      </c>
      <c r="D992" s="111">
        <v>12.33</v>
      </c>
    </row>
    <row r="993" spans="1:4" ht="25.5" x14ac:dyDescent="0.25">
      <c r="A993" s="106">
        <v>3278</v>
      </c>
      <c r="B993" s="108" t="s">
        <v>6556</v>
      </c>
      <c r="C993" s="110" t="s">
        <v>5755</v>
      </c>
      <c r="D993" s="111">
        <v>78.66</v>
      </c>
    </row>
    <row r="994" spans="1:4" ht="25.5" x14ac:dyDescent="0.25">
      <c r="A994" s="106">
        <v>3279</v>
      </c>
      <c r="B994" s="108" t="s">
        <v>6557</v>
      </c>
      <c r="C994" s="110" t="s">
        <v>5755</v>
      </c>
      <c r="D994" s="111">
        <v>129.80000000000001</v>
      </c>
    </row>
    <row r="995" spans="1:4" ht="38.25" x14ac:dyDescent="0.25">
      <c r="A995" s="106">
        <v>1062</v>
      </c>
      <c r="B995" s="108" t="s">
        <v>10651</v>
      </c>
      <c r="C995" s="110" t="s">
        <v>5755</v>
      </c>
      <c r="D995" s="111">
        <v>215</v>
      </c>
    </row>
    <row r="996" spans="1:4" ht="38.25" x14ac:dyDescent="0.25">
      <c r="A996" s="106">
        <v>39686</v>
      </c>
      <c r="B996" s="108" t="s">
        <v>10652</v>
      </c>
      <c r="C996" s="110" t="s">
        <v>5755</v>
      </c>
      <c r="D996" s="111">
        <v>348.14</v>
      </c>
    </row>
    <row r="997" spans="1:4" ht="38.25" x14ac:dyDescent="0.25">
      <c r="A997" s="106">
        <v>43095</v>
      </c>
      <c r="B997" s="108" t="s">
        <v>10653</v>
      </c>
      <c r="C997" s="110" t="s">
        <v>5755</v>
      </c>
      <c r="D997" s="111">
        <v>112.43</v>
      </c>
    </row>
    <row r="998" spans="1:4" ht="25.5" x14ac:dyDescent="0.25">
      <c r="A998" s="106">
        <v>1871</v>
      </c>
      <c r="B998" s="108" t="s">
        <v>6558</v>
      </c>
      <c r="C998" s="110" t="s">
        <v>5755</v>
      </c>
      <c r="D998" s="111">
        <v>2.95</v>
      </c>
    </row>
    <row r="999" spans="1:4" ht="25.5" x14ac:dyDescent="0.25">
      <c r="A999" s="106">
        <v>12001</v>
      </c>
      <c r="B999" s="108" t="s">
        <v>6559</v>
      </c>
      <c r="C999" s="110" t="s">
        <v>5755</v>
      </c>
      <c r="D999" s="111">
        <v>4.2699999999999996</v>
      </c>
    </row>
    <row r="1000" spans="1:4" x14ac:dyDescent="0.25">
      <c r="A1000" s="106">
        <v>11882</v>
      </c>
      <c r="B1000" s="108" t="s">
        <v>6560</v>
      </c>
      <c r="C1000" s="110" t="s">
        <v>5755</v>
      </c>
      <c r="D1000" s="111">
        <v>78.66</v>
      </c>
    </row>
    <row r="1001" spans="1:4" ht="38.25" x14ac:dyDescent="0.25">
      <c r="A1001" s="106">
        <v>1068</v>
      </c>
      <c r="B1001" s="108" t="s">
        <v>10654</v>
      </c>
      <c r="C1001" s="110" t="s">
        <v>5755</v>
      </c>
      <c r="D1001" s="111">
        <v>1418.19</v>
      </c>
    </row>
    <row r="1002" spans="1:4" ht="38.25" x14ac:dyDescent="0.25">
      <c r="A1002" s="106">
        <v>39690</v>
      </c>
      <c r="B1002" s="108" t="s">
        <v>10655</v>
      </c>
      <c r="C1002" s="110" t="s">
        <v>5755</v>
      </c>
      <c r="D1002" s="111">
        <v>2379.25</v>
      </c>
    </row>
    <row r="1003" spans="1:4" ht="38.25" x14ac:dyDescent="0.25">
      <c r="A1003" s="106">
        <v>39691</v>
      </c>
      <c r="B1003" s="108" t="s">
        <v>10656</v>
      </c>
      <c r="C1003" s="110" t="s">
        <v>5755</v>
      </c>
      <c r="D1003" s="111">
        <v>2992.43</v>
      </c>
    </row>
    <row r="1004" spans="1:4" ht="38.25" x14ac:dyDescent="0.25">
      <c r="A1004" s="106">
        <v>39808</v>
      </c>
      <c r="B1004" s="108" t="s">
        <v>10657</v>
      </c>
      <c r="C1004" s="110" t="s">
        <v>5755</v>
      </c>
      <c r="D1004" s="111">
        <v>58.7</v>
      </c>
    </row>
    <row r="1005" spans="1:4" ht="25.5" x14ac:dyDescent="0.25">
      <c r="A1005" s="106">
        <v>39809</v>
      </c>
      <c r="B1005" s="108" t="s">
        <v>10658</v>
      </c>
      <c r="C1005" s="110" t="s">
        <v>5755</v>
      </c>
      <c r="D1005" s="111">
        <v>139.22999999999999</v>
      </c>
    </row>
    <row r="1006" spans="1:4" ht="25.5" x14ac:dyDescent="0.25">
      <c r="A1006" s="106">
        <v>11713</v>
      </c>
      <c r="B1006" s="108" t="s">
        <v>6561</v>
      </c>
      <c r="C1006" s="110" t="s">
        <v>5755</v>
      </c>
      <c r="D1006" s="111">
        <v>26.77</v>
      </c>
    </row>
    <row r="1007" spans="1:4" ht="25.5" x14ac:dyDescent="0.25">
      <c r="A1007" s="106">
        <v>11716</v>
      </c>
      <c r="B1007" s="108" t="s">
        <v>6562</v>
      </c>
      <c r="C1007" s="110" t="s">
        <v>5755</v>
      </c>
      <c r="D1007" s="111">
        <v>11.43</v>
      </c>
    </row>
    <row r="1008" spans="1:4" ht="25.5" x14ac:dyDescent="0.25">
      <c r="A1008" s="106">
        <v>5103</v>
      </c>
      <c r="B1008" s="108" t="s">
        <v>6563</v>
      </c>
      <c r="C1008" s="110" t="s">
        <v>5755</v>
      </c>
      <c r="D1008" s="111">
        <v>11.59</v>
      </c>
    </row>
    <row r="1009" spans="1:4" ht="25.5" x14ac:dyDescent="0.25">
      <c r="A1009" s="106">
        <v>11712</v>
      </c>
      <c r="B1009" s="108" t="s">
        <v>6564</v>
      </c>
      <c r="C1009" s="110" t="s">
        <v>5755</v>
      </c>
      <c r="D1009" s="111">
        <v>26.99</v>
      </c>
    </row>
    <row r="1010" spans="1:4" ht="25.5" x14ac:dyDescent="0.25">
      <c r="A1010" s="106">
        <v>11717</v>
      </c>
      <c r="B1010" s="108" t="s">
        <v>570</v>
      </c>
      <c r="C1010" s="110" t="s">
        <v>5755</v>
      </c>
      <c r="D1010" s="111">
        <v>29.33</v>
      </c>
    </row>
    <row r="1011" spans="1:4" ht="25.5" x14ac:dyDescent="0.25">
      <c r="A1011" s="106">
        <v>11714</v>
      </c>
      <c r="B1011" s="108" t="s">
        <v>6565</v>
      </c>
      <c r="C1011" s="110" t="s">
        <v>5755</v>
      </c>
      <c r="D1011" s="111">
        <v>36.49</v>
      </c>
    </row>
    <row r="1012" spans="1:4" ht="25.5" x14ac:dyDescent="0.25">
      <c r="A1012" s="106">
        <v>11715</v>
      </c>
      <c r="B1012" s="108" t="s">
        <v>6566</v>
      </c>
      <c r="C1012" s="110" t="s">
        <v>5755</v>
      </c>
      <c r="D1012" s="111">
        <v>41.98</v>
      </c>
    </row>
    <row r="1013" spans="1:4" ht="25.5" x14ac:dyDescent="0.25">
      <c r="A1013" s="106">
        <v>11880</v>
      </c>
      <c r="B1013" s="108" t="s">
        <v>6567</v>
      </c>
      <c r="C1013" s="110" t="s">
        <v>5755</v>
      </c>
      <c r="D1013" s="111">
        <v>75.47</v>
      </c>
    </row>
    <row r="1014" spans="1:4" x14ac:dyDescent="0.25">
      <c r="A1014" s="106">
        <v>1106</v>
      </c>
      <c r="B1014" s="108" t="s">
        <v>441</v>
      </c>
      <c r="C1014" s="110" t="s">
        <v>5816</v>
      </c>
      <c r="D1014" s="111">
        <v>0.65</v>
      </c>
    </row>
    <row r="1015" spans="1:4" x14ac:dyDescent="0.25">
      <c r="A1015" s="106">
        <v>11161</v>
      </c>
      <c r="B1015" s="108" t="s">
        <v>6568</v>
      </c>
      <c r="C1015" s="110" t="s">
        <v>5816</v>
      </c>
      <c r="D1015" s="111">
        <v>1.08</v>
      </c>
    </row>
    <row r="1016" spans="1:4" x14ac:dyDescent="0.25">
      <c r="A1016" s="106">
        <v>1107</v>
      </c>
      <c r="B1016" s="108" t="s">
        <v>6569</v>
      </c>
      <c r="C1016" s="110" t="s">
        <v>5816</v>
      </c>
      <c r="D1016" s="111">
        <v>0.55000000000000004</v>
      </c>
    </row>
    <row r="1017" spans="1:4" x14ac:dyDescent="0.25">
      <c r="A1017" s="106">
        <v>4758</v>
      </c>
      <c r="B1017" s="108" t="s">
        <v>6570</v>
      </c>
      <c r="C1017" s="110" t="s">
        <v>5759</v>
      </c>
      <c r="D1017" s="111">
        <v>15.57</v>
      </c>
    </row>
    <row r="1018" spans="1:4" x14ac:dyDescent="0.25">
      <c r="A1018" s="106">
        <v>41080</v>
      </c>
      <c r="B1018" s="108" t="s">
        <v>6571</v>
      </c>
      <c r="C1018" s="110" t="s">
        <v>5906</v>
      </c>
      <c r="D1018" s="111">
        <v>2761.09</v>
      </c>
    </row>
    <row r="1019" spans="1:4" x14ac:dyDescent="0.25">
      <c r="A1019" s="106">
        <v>25963</v>
      </c>
      <c r="B1019" s="108" t="s">
        <v>476</v>
      </c>
      <c r="C1019" s="110" t="s">
        <v>5816</v>
      </c>
      <c r="D1019" s="111">
        <v>0.11</v>
      </c>
    </row>
    <row r="1020" spans="1:4" x14ac:dyDescent="0.25">
      <c r="A1020" s="106">
        <v>4759</v>
      </c>
      <c r="B1020" s="108" t="s">
        <v>6572</v>
      </c>
      <c r="C1020" s="110" t="s">
        <v>5759</v>
      </c>
      <c r="D1020" s="111">
        <v>12.64</v>
      </c>
    </row>
    <row r="1021" spans="1:4" x14ac:dyDescent="0.25">
      <c r="A1021" s="106">
        <v>41068</v>
      </c>
      <c r="B1021" s="108" t="s">
        <v>6573</v>
      </c>
      <c r="C1021" s="110" t="s">
        <v>5906</v>
      </c>
      <c r="D1021" s="111">
        <v>2241.29</v>
      </c>
    </row>
    <row r="1022" spans="1:4" ht="25.5" x14ac:dyDescent="0.25">
      <c r="A1022" s="106">
        <v>1108</v>
      </c>
      <c r="B1022" s="108" t="s">
        <v>6574</v>
      </c>
      <c r="C1022" s="110" t="s">
        <v>5767</v>
      </c>
      <c r="D1022" s="111">
        <v>23.12</v>
      </c>
    </row>
    <row r="1023" spans="1:4" ht="25.5" x14ac:dyDescent="0.25">
      <c r="A1023" s="106">
        <v>1117</v>
      </c>
      <c r="B1023" s="108" t="s">
        <v>6575</v>
      </c>
      <c r="C1023" s="110" t="s">
        <v>5767</v>
      </c>
      <c r="D1023" s="111">
        <v>23.31</v>
      </c>
    </row>
    <row r="1024" spans="1:4" ht="25.5" x14ac:dyDescent="0.25">
      <c r="A1024" s="106">
        <v>1118</v>
      </c>
      <c r="B1024" s="108" t="s">
        <v>6576</v>
      </c>
      <c r="C1024" s="110" t="s">
        <v>5767</v>
      </c>
      <c r="D1024" s="111">
        <v>27.55</v>
      </c>
    </row>
    <row r="1025" spans="1:4" ht="25.5" x14ac:dyDescent="0.25">
      <c r="A1025" s="106">
        <v>1110</v>
      </c>
      <c r="B1025" s="108" t="s">
        <v>6577</v>
      </c>
      <c r="C1025" s="110" t="s">
        <v>5767</v>
      </c>
      <c r="D1025" s="111">
        <v>27.55</v>
      </c>
    </row>
    <row r="1026" spans="1:4" ht="25.5" x14ac:dyDescent="0.25">
      <c r="A1026" s="106">
        <v>12618</v>
      </c>
      <c r="B1026" s="108" t="s">
        <v>6578</v>
      </c>
      <c r="C1026" s="110" t="s">
        <v>5755</v>
      </c>
      <c r="D1026" s="111">
        <v>36.79</v>
      </c>
    </row>
    <row r="1027" spans="1:4" ht="25.5" x14ac:dyDescent="0.25">
      <c r="A1027" s="106">
        <v>40784</v>
      </c>
      <c r="B1027" s="108" t="s">
        <v>10659</v>
      </c>
      <c r="C1027" s="110" t="s">
        <v>5767</v>
      </c>
      <c r="D1027" s="111">
        <v>75.98</v>
      </c>
    </row>
    <row r="1028" spans="1:4" ht="25.5" x14ac:dyDescent="0.25">
      <c r="A1028" s="106">
        <v>40782</v>
      </c>
      <c r="B1028" s="108" t="s">
        <v>10660</v>
      </c>
      <c r="C1028" s="110" t="s">
        <v>5767</v>
      </c>
      <c r="D1028" s="111">
        <v>29.82</v>
      </c>
    </row>
    <row r="1029" spans="1:4" ht="25.5" x14ac:dyDescent="0.25">
      <c r="A1029" s="106">
        <v>40783</v>
      </c>
      <c r="B1029" s="108" t="s">
        <v>10661</v>
      </c>
      <c r="C1029" s="110" t="s">
        <v>5767</v>
      </c>
      <c r="D1029" s="111">
        <v>38.840000000000003</v>
      </c>
    </row>
    <row r="1030" spans="1:4" ht="25.5" x14ac:dyDescent="0.25">
      <c r="A1030" s="106">
        <v>1109</v>
      </c>
      <c r="B1030" s="108" t="s">
        <v>6579</v>
      </c>
      <c r="C1030" s="110" t="s">
        <v>5767</v>
      </c>
      <c r="D1030" s="111">
        <v>23.12</v>
      </c>
    </row>
    <row r="1031" spans="1:4" ht="25.5" x14ac:dyDescent="0.25">
      <c r="A1031" s="106">
        <v>1119</v>
      </c>
      <c r="B1031" s="108" t="s">
        <v>6580</v>
      </c>
      <c r="C1031" s="110" t="s">
        <v>5767</v>
      </c>
      <c r="D1031" s="111">
        <v>14.91</v>
      </c>
    </row>
    <row r="1032" spans="1:4" ht="25.5" x14ac:dyDescent="0.25">
      <c r="A1032" s="106">
        <v>13115</v>
      </c>
      <c r="B1032" s="108" t="s">
        <v>6581</v>
      </c>
      <c r="C1032" s="110" t="s">
        <v>5767</v>
      </c>
      <c r="D1032" s="111">
        <v>15.76</v>
      </c>
    </row>
    <row r="1033" spans="1:4" ht="25.5" x14ac:dyDescent="0.25">
      <c r="A1033" s="106">
        <v>10541</v>
      </c>
      <c r="B1033" s="108" t="s">
        <v>6582</v>
      </c>
      <c r="C1033" s="110" t="s">
        <v>5767</v>
      </c>
      <c r="D1033" s="111">
        <v>18.3</v>
      </c>
    </row>
    <row r="1034" spans="1:4" ht="25.5" x14ac:dyDescent="0.25">
      <c r="A1034" s="106">
        <v>10543</v>
      </c>
      <c r="B1034" s="108" t="s">
        <v>6583</v>
      </c>
      <c r="C1034" s="110" t="s">
        <v>5767</v>
      </c>
      <c r="D1034" s="111">
        <v>35.51</v>
      </c>
    </row>
    <row r="1035" spans="1:4" ht="25.5" x14ac:dyDescent="0.25">
      <c r="A1035" s="106">
        <v>10544</v>
      </c>
      <c r="B1035" s="108" t="s">
        <v>6584</v>
      </c>
      <c r="C1035" s="110" t="s">
        <v>5767</v>
      </c>
      <c r="D1035" s="111">
        <v>42.71</v>
      </c>
    </row>
    <row r="1036" spans="1:4" ht="25.5" x14ac:dyDescent="0.25">
      <c r="A1036" s="106">
        <v>10545</v>
      </c>
      <c r="B1036" s="108" t="s">
        <v>6585</v>
      </c>
      <c r="C1036" s="110" t="s">
        <v>5767</v>
      </c>
      <c r="D1036" s="111">
        <v>65.510000000000005</v>
      </c>
    </row>
    <row r="1037" spans="1:4" ht="25.5" x14ac:dyDescent="0.25">
      <c r="A1037" s="106">
        <v>10542</v>
      </c>
      <c r="B1037" s="108" t="s">
        <v>6586</v>
      </c>
      <c r="C1037" s="110" t="s">
        <v>5767</v>
      </c>
      <c r="D1037" s="111">
        <v>25.22</v>
      </c>
    </row>
    <row r="1038" spans="1:4" x14ac:dyDescent="0.25">
      <c r="A1038" s="106">
        <v>38365</v>
      </c>
      <c r="B1038" s="108" t="s">
        <v>6587</v>
      </c>
      <c r="C1038" s="110" t="s">
        <v>5757</v>
      </c>
      <c r="D1038" s="111">
        <v>1.44</v>
      </c>
    </row>
    <row r="1039" spans="1:4" ht="38.25" x14ac:dyDescent="0.25">
      <c r="A1039" s="106">
        <v>37745</v>
      </c>
      <c r="B1039" s="108" t="s">
        <v>6588</v>
      </c>
      <c r="C1039" s="110" t="s">
        <v>5755</v>
      </c>
      <c r="D1039" s="111">
        <v>226000</v>
      </c>
    </row>
    <row r="1040" spans="1:4" ht="38.25" x14ac:dyDescent="0.25">
      <c r="A1040" s="106">
        <v>37754</v>
      </c>
      <c r="B1040" s="108" t="s">
        <v>6589</v>
      </c>
      <c r="C1040" s="110" t="s">
        <v>5755</v>
      </c>
      <c r="D1040" s="111">
        <v>236012.65</v>
      </c>
    </row>
    <row r="1041" spans="1:4" ht="38.25" x14ac:dyDescent="0.25">
      <c r="A1041" s="106">
        <v>37748</v>
      </c>
      <c r="B1041" s="108" t="s">
        <v>6590</v>
      </c>
      <c r="C1041" s="110" t="s">
        <v>5755</v>
      </c>
      <c r="D1041" s="111">
        <v>240268.03</v>
      </c>
    </row>
    <row r="1042" spans="1:4" ht="38.25" x14ac:dyDescent="0.25">
      <c r="A1042" s="106">
        <v>37761</v>
      </c>
      <c r="B1042" s="108" t="s">
        <v>6591</v>
      </c>
      <c r="C1042" s="110" t="s">
        <v>5755</v>
      </c>
      <c r="D1042" s="111">
        <v>198822.77</v>
      </c>
    </row>
    <row r="1043" spans="1:4" ht="38.25" x14ac:dyDescent="0.25">
      <c r="A1043" s="106">
        <v>37757</v>
      </c>
      <c r="B1043" s="108" t="s">
        <v>6592</v>
      </c>
      <c r="C1043" s="110" t="s">
        <v>5755</v>
      </c>
      <c r="D1043" s="111">
        <v>276778.46999999997</v>
      </c>
    </row>
    <row r="1044" spans="1:4" ht="38.25" x14ac:dyDescent="0.25">
      <c r="A1044" s="106">
        <v>37759</v>
      </c>
      <c r="B1044" s="108" t="s">
        <v>6593</v>
      </c>
      <c r="C1044" s="110" t="s">
        <v>5755</v>
      </c>
      <c r="D1044" s="111">
        <v>277851.27</v>
      </c>
    </row>
    <row r="1045" spans="1:4" ht="38.25" x14ac:dyDescent="0.25">
      <c r="A1045" s="106">
        <v>37766</v>
      </c>
      <c r="B1045" s="108" t="s">
        <v>6594</v>
      </c>
      <c r="C1045" s="110" t="s">
        <v>5755</v>
      </c>
      <c r="D1045" s="111">
        <v>277851.24</v>
      </c>
    </row>
    <row r="1046" spans="1:4" ht="38.25" x14ac:dyDescent="0.25">
      <c r="A1046" s="106">
        <v>37752</v>
      </c>
      <c r="B1046" s="108" t="s">
        <v>6595</v>
      </c>
      <c r="C1046" s="110" t="s">
        <v>5755</v>
      </c>
      <c r="D1046" s="111">
        <v>251961.38</v>
      </c>
    </row>
    <row r="1047" spans="1:4" ht="38.25" x14ac:dyDescent="0.25">
      <c r="A1047" s="106">
        <v>37760</v>
      </c>
      <c r="B1047" s="108" t="s">
        <v>6596</v>
      </c>
      <c r="C1047" s="110" t="s">
        <v>5755</v>
      </c>
      <c r="D1047" s="111">
        <v>265335.43</v>
      </c>
    </row>
    <row r="1048" spans="1:4" ht="38.25" x14ac:dyDescent="0.25">
      <c r="A1048" s="106">
        <v>37765</v>
      </c>
      <c r="B1048" s="108" t="s">
        <v>6597</v>
      </c>
      <c r="C1048" s="110" t="s">
        <v>5755</v>
      </c>
      <c r="D1048" s="111">
        <v>185234.18</v>
      </c>
    </row>
    <row r="1049" spans="1:4" ht="38.25" x14ac:dyDescent="0.25">
      <c r="A1049" s="106">
        <v>37746</v>
      </c>
      <c r="B1049" s="108" t="s">
        <v>6598</v>
      </c>
      <c r="C1049" s="110" t="s">
        <v>5755</v>
      </c>
      <c r="D1049" s="111">
        <v>203078.15</v>
      </c>
    </row>
    <row r="1050" spans="1:4" ht="38.25" x14ac:dyDescent="0.25">
      <c r="A1050" s="106">
        <v>37750</v>
      </c>
      <c r="B1050" s="108" t="s">
        <v>6599</v>
      </c>
      <c r="C1050" s="110" t="s">
        <v>5755</v>
      </c>
      <c r="D1050" s="111">
        <v>202362.97</v>
      </c>
    </row>
    <row r="1051" spans="1:4" ht="38.25" x14ac:dyDescent="0.25">
      <c r="A1051" s="106">
        <v>37753</v>
      </c>
      <c r="B1051" s="108" t="s">
        <v>6600</v>
      </c>
      <c r="C1051" s="110" t="s">
        <v>5755</v>
      </c>
      <c r="D1051" s="111">
        <v>201647.77</v>
      </c>
    </row>
    <row r="1052" spans="1:4" ht="38.25" x14ac:dyDescent="0.25">
      <c r="A1052" s="106">
        <v>37756</v>
      </c>
      <c r="B1052" s="108" t="s">
        <v>6601</v>
      </c>
      <c r="C1052" s="110" t="s">
        <v>5755</v>
      </c>
      <c r="D1052" s="111">
        <v>198822.77</v>
      </c>
    </row>
    <row r="1053" spans="1:4" ht="38.25" x14ac:dyDescent="0.25">
      <c r="A1053" s="106">
        <v>37755</v>
      </c>
      <c r="B1053" s="108" t="s">
        <v>6602</v>
      </c>
      <c r="C1053" s="110" t="s">
        <v>5755</v>
      </c>
      <c r="D1053" s="111">
        <v>288936.7</v>
      </c>
    </row>
    <row r="1054" spans="1:4" ht="38.25" x14ac:dyDescent="0.25">
      <c r="A1054" s="106">
        <v>37758</v>
      </c>
      <c r="B1054" s="108" t="s">
        <v>6603</v>
      </c>
      <c r="C1054" s="110" t="s">
        <v>5755</v>
      </c>
      <c r="D1054" s="111">
        <v>326126.58</v>
      </c>
    </row>
    <row r="1055" spans="1:4" ht="38.25" x14ac:dyDescent="0.25">
      <c r="A1055" s="106">
        <v>37747</v>
      </c>
      <c r="B1055" s="108" t="s">
        <v>6604</v>
      </c>
      <c r="C1055" s="110" t="s">
        <v>5755</v>
      </c>
      <c r="D1055" s="111">
        <v>293442.40000000002</v>
      </c>
    </row>
    <row r="1056" spans="1:4" ht="38.25" x14ac:dyDescent="0.25">
      <c r="A1056" s="106">
        <v>37767</v>
      </c>
      <c r="B1056" s="108" t="s">
        <v>6605</v>
      </c>
      <c r="C1056" s="110" t="s">
        <v>5755</v>
      </c>
      <c r="D1056" s="111">
        <v>309677.21999999997</v>
      </c>
    </row>
    <row r="1057" spans="1:4" ht="38.25" x14ac:dyDescent="0.25">
      <c r="A1057" s="106">
        <v>37751</v>
      </c>
      <c r="B1057" s="108" t="s">
        <v>6606</v>
      </c>
      <c r="C1057" s="110" t="s">
        <v>5755</v>
      </c>
      <c r="D1057" s="111">
        <v>309677.21999999997</v>
      </c>
    </row>
    <row r="1058" spans="1:4" ht="38.25" x14ac:dyDescent="0.25">
      <c r="A1058" s="106">
        <v>37749</v>
      </c>
      <c r="B1058" s="108" t="s">
        <v>6607</v>
      </c>
      <c r="C1058" s="110" t="s">
        <v>5755</v>
      </c>
      <c r="D1058" s="111">
        <v>306101.27</v>
      </c>
    </row>
    <row r="1059" spans="1:4" ht="25.5" x14ac:dyDescent="0.25">
      <c r="A1059" s="106">
        <v>1159</v>
      </c>
      <c r="B1059" s="108" t="s">
        <v>6608</v>
      </c>
      <c r="C1059" s="110" t="s">
        <v>5755</v>
      </c>
      <c r="D1059" s="111">
        <v>158915</v>
      </c>
    </row>
    <row r="1060" spans="1:4" x14ac:dyDescent="0.25">
      <c r="A1060" s="106">
        <v>12114</v>
      </c>
      <c r="B1060" s="108" t="s">
        <v>6609</v>
      </c>
      <c r="C1060" s="110" t="s">
        <v>5755</v>
      </c>
      <c r="D1060" s="111">
        <v>81.099999999999994</v>
      </c>
    </row>
    <row r="1061" spans="1:4" x14ac:dyDescent="0.25">
      <c r="A1061" s="106">
        <v>38106</v>
      </c>
      <c r="B1061" s="108" t="s">
        <v>6610</v>
      </c>
      <c r="C1061" s="110" t="s">
        <v>5755</v>
      </c>
      <c r="D1061" s="111">
        <v>11.02</v>
      </c>
    </row>
    <row r="1062" spans="1:4" ht="25.5" x14ac:dyDescent="0.25">
      <c r="A1062" s="106">
        <v>38085</v>
      </c>
      <c r="B1062" s="108" t="s">
        <v>6611</v>
      </c>
      <c r="C1062" s="110" t="s">
        <v>5755</v>
      </c>
      <c r="D1062" s="111">
        <v>13.02</v>
      </c>
    </row>
    <row r="1063" spans="1:4" ht="25.5" x14ac:dyDescent="0.25">
      <c r="A1063" s="106">
        <v>38599</v>
      </c>
      <c r="B1063" s="108" t="s">
        <v>13067</v>
      </c>
      <c r="C1063" s="110" t="s">
        <v>5755</v>
      </c>
      <c r="D1063" s="111">
        <v>3.81</v>
      </c>
    </row>
    <row r="1064" spans="1:4" ht="25.5" x14ac:dyDescent="0.25">
      <c r="A1064" s="106">
        <v>38596</v>
      </c>
      <c r="B1064" s="108" t="s">
        <v>13068</v>
      </c>
      <c r="C1064" s="110" t="s">
        <v>5755</v>
      </c>
      <c r="D1064" s="111">
        <v>3.16</v>
      </c>
    </row>
    <row r="1065" spans="1:4" ht="25.5" x14ac:dyDescent="0.25">
      <c r="A1065" s="106">
        <v>38600</v>
      </c>
      <c r="B1065" s="108" t="s">
        <v>13069</v>
      </c>
      <c r="C1065" s="110" t="s">
        <v>5755</v>
      </c>
      <c r="D1065" s="111">
        <v>4.04</v>
      </c>
    </row>
    <row r="1066" spans="1:4" ht="25.5" x14ac:dyDescent="0.25">
      <c r="A1066" s="106">
        <v>38597</v>
      </c>
      <c r="B1066" s="108" t="s">
        <v>13070</v>
      </c>
      <c r="C1066" s="110" t="s">
        <v>5755</v>
      </c>
      <c r="D1066" s="111">
        <v>3.18</v>
      </c>
    </row>
    <row r="1067" spans="1:4" x14ac:dyDescent="0.25">
      <c r="A1067" s="106">
        <v>659</v>
      </c>
      <c r="B1067" s="108" t="s">
        <v>13071</v>
      </c>
      <c r="C1067" s="110" t="s">
        <v>5755</v>
      </c>
      <c r="D1067" s="111">
        <v>1.83</v>
      </c>
    </row>
    <row r="1068" spans="1:4" x14ac:dyDescent="0.25">
      <c r="A1068" s="106">
        <v>660</v>
      </c>
      <c r="B1068" s="108" t="s">
        <v>13072</v>
      </c>
      <c r="C1068" s="110" t="s">
        <v>5755</v>
      </c>
      <c r="D1068" s="111">
        <v>2.19</v>
      </c>
    </row>
    <row r="1069" spans="1:4" x14ac:dyDescent="0.25">
      <c r="A1069" s="106">
        <v>658</v>
      </c>
      <c r="B1069" s="108" t="s">
        <v>13073</v>
      </c>
      <c r="C1069" s="110" t="s">
        <v>5755</v>
      </c>
      <c r="D1069" s="111">
        <v>1.23</v>
      </c>
    </row>
    <row r="1070" spans="1:4" ht="25.5" x14ac:dyDescent="0.25">
      <c r="A1070" s="106">
        <v>38548</v>
      </c>
      <c r="B1070" s="108" t="s">
        <v>6612</v>
      </c>
      <c r="C1070" s="110" t="s">
        <v>5755</v>
      </c>
      <c r="D1070" s="111">
        <v>1.22</v>
      </c>
    </row>
    <row r="1071" spans="1:4" ht="25.5" x14ac:dyDescent="0.25">
      <c r="A1071" s="106">
        <v>34647</v>
      </c>
      <c r="B1071" s="108" t="s">
        <v>6613</v>
      </c>
      <c r="C1071" s="110" t="s">
        <v>5755</v>
      </c>
      <c r="D1071" s="111">
        <v>2.11</v>
      </c>
    </row>
    <row r="1072" spans="1:4" ht="25.5" x14ac:dyDescent="0.25">
      <c r="A1072" s="106">
        <v>34649</v>
      </c>
      <c r="B1072" s="108" t="s">
        <v>6614</v>
      </c>
      <c r="C1072" s="110" t="s">
        <v>5755</v>
      </c>
      <c r="D1072" s="111">
        <v>2.17</v>
      </c>
    </row>
    <row r="1073" spans="1:4" ht="25.5" x14ac:dyDescent="0.25">
      <c r="A1073" s="106">
        <v>34652</v>
      </c>
      <c r="B1073" s="108" t="s">
        <v>6615</v>
      </c>
      <c r="C1073" s="110" t="s">
        <v>5755</v>
      </c>
      <c r="D1073" s="111">
        <v>2.97</v>
      </c>
    </row>
    <row r="1074" spans="1:4" ht="25.5" x14ac:dyDescent="0.25">
      <c r="A1074" s="106">
        <v>34655</v>
      </c>
      <c r="B1074" s="108" t="s">
        <v>6616</v>
      </c>
      <c r="C1074" s="110" t="s">
        <v>5755</v>
      </c>
      <c r="D1074" s="111">
        <v>2.87</v>
      </c>
    </row>
    <row r="1075" spans="1:4" ht="25.5" x14ac:dyDescent="0.25">
      <c r="A1075" s="106">
        <v>40607</v>
      </c>
      <c r="B1075" s="108" t="s">
        <v>6617</v>
      </c>
      <c r="C1075" s="110" t="s">
        <v>5755</v>
      </c>
      <c r="D1075" s="111">
        <v>4.42</v>
      </c>
    </row>
    <row r="1076" spans="1:4" x14ac:dyDescent="0.25">
      <c r="A1076" s="106">
        <v>585</v>
      </c>
      <c r="B1076" s="108" t="s">
        <v>6618</v>
      </c>
      <c r="C1076" s="110" t="s">
        <v>5816</v>
      </c>
      <c r="D1076" s="111">
        <v>23.26</v>
      </c>
    </row>
    <row r="1077" spans="1:4" ht="25.5" x14ac:dyDescent="0.25">
      <c r="A1077" s="106">
        <v>4777</v>
      </c>
      <c r="B1077" s="108" t="s">
        <v>504</v>
      </c>
      <c r="C1077" s="110" t="s">
        <v>5816</v>
      </c>
      <c r="D1077" s="111">
        <v>4.83</v>
      </c>
    </row>
    <row r="1078" spans="1:4" x14ac:dyDescent="0.25">
      <c r="A1078" s="106">
        <v>587</v>
      </c>
      <c r="B1078" s="108" t="s">
        <v>6619</v>
      </c>
      <c r="C1078" s="110" t="s">
        <v>5816</v>
      </c>
      <c r="D1078" s="111">
        <v>24.93</v>
      </c>
    </row>
    <row r="1079" spans="1:4" x14ac:dyDescent="0.25">
      <c r="A1079" s="106">
        <v>590</v>
      </c>
      <c r="B1079" s="108" t="s">
        <v>6620</v>
      </c>
      <c r="C1079" s="110" t="s">
        <v>5816</v>
      </c>
      <c r="D1079" s="111">
        <v>24.09</v>
      </c>
    </row>
    <row r="1080" spans="1:4" ht="25.5" x14ac:dyDescent="0.25">
      <c r="A1080" s="106">
        <v>592</v>
      </c>
      <c r="B1080" s="108" t="s">
        <v>6621</v>
      </c>
      <c r="C1080" s="110" t="s">
        <v>5816</v>
      </c>
      <c r="D1080" s="111">
        <v>24.93</v>
      </c>
    </row>
    <row r="1081" spans="1:4" x14ac:dyDescent="0.25">
      <c r="A1081" s="106">
        <v>586</v>
      </c>
      <c r="B1081" s="108" t="s">
        <v>6622</v>
      </c>
      <c r="C1081" s="110" t="s">
        <v>5767</v>
      </c>
      <c r="D1081" s="111">
        <v>14.65</v>
      </c>
    </row>
    <row r="1082" spans="1:4" x14ac:dyDescent="0.25">
      <c r="A1082" s="106">
        <v>591</v>
      </c>
      <c r="B1082" s="108" t="s">
        <v>6623</v>
      </c>
      <c r="C1082" s="110" t="s">
        <v>5816</v>
      </c>
      <c r="D1082" s="111">
        <v>23.26</v>
      </c>
    </row>
    <row r="1083" spans="1:4" x14ac:dyDescent="0.25">
      <c r="A1083" s="106">
        <v>588</v>
      </c>
      <c r="B1083" s="108" t="s">
        <v>6624</v>
      </c>
      <c r="C1083" s="110" t="s">
        <v>5767</v>
      </c>
      <c r="D1083" s="111">
        <v>23.18</v>
      </c>
    </row>
    <row r="1084" spans="1:4" x14ac:dyDescent="0.25">
      <c r="A1084" s="106">
        <v>589</v>
      </c>
      <c r="B1084" s="108" t="s">
        <v>6625</v>
      </c>
      <c r="C1084" s="110" t="s">
        <v>5767</v>
      </c>
      <c r="D1084" s="111">
        <v>39.18</v>
      </c>
    </row>
    <row r="1085" spans="1:4" x14ac:dyDescent="0.25">
      <c r="A1085" s="106">
        <v>584</v>
      </c>
      <c r="B1085" s="108" t="s">
        <v>6626</v>
      </c>
      <c r="C1085" s="110" t="s">
        <v>5767</v>
      </c>
      <c r="D1085" s="111">
        <v>24.76</v>
      </c>
    </row>
    <row r="1086" spans="1:4" ht="25.5" x14ac:dyDescent="0.25">
      <c r="A1086" s="106">
        <v>574</v>
      </c>
      <c r="B1086" s="108" t="s">
        <v>6627</v>
      </c>
      <c r="C1086" s="110" t="s">
        <v>5767</v>
      </c>
      <c r="D1086" s="111">
        <v>22.15</v>
      </c>
    </row>
    <row r="1087" spans="1:4" ht="25.5" x14ac:dyDescent="0.25">
      <c r="A1087" s="106">
        <v>567</v>
      </c>
      <c r="B1087" s="108" t="s">
        <v>6628</v>
      </c>
      <c r="C1087" s="110" t="s">
        <v>5767</v>
      </c>
      <c r="D1087" s="111">
        <v>8.2100000000000009</v>
      </c>
    </row>
    <row r="1088" spans="1:4" ht="25.5" x14ac:dyDescent="0.25">
      <c r="A1088" s="106">
        <v>568</v>
      </c>
      <c r="B1088" s="108" t="s">
        <v>6629</v>
      </c>
      <c r="C1088" s="110" t="s">
        <v>5767</v>
      </c>
      <c r="D1088" s="111">
        <v>49.71</v>
      </c>
    </row>
    <row r="1089" spans="1:4" x14ac:dyDescent="0.25">
      <c r="A1089" s="106">
        <v>569</v>
      </c>
      <c r="B1089" s="108" t="s">
        <v>6630</v>
      </c>
      <c r="C1089" s="110" t="s">
        <v>5816</v>
      </c>
      <c r="D1089" s="111">
        <v>6.91</v>
      </c>
    </row>
    <row r="1090" spans="1:4" x14ac:dyDescent="0.25">
      <c r="A1090" s="106">
        <v>1165</v>
      </c>
      <c r="B1090" s="108" t="s">
        <v>6631</v>
      </c>
      <c r="C1090" s="110" t="s">
        <v>5755</v>
      </c>
      <c r="D1090" s="111">
        <v>10.039999999999999</v>
      </c>
    </row>
    <row r="1091" spans="1:4" x14ac:dyDescent="0.25">
      <c r="A1091" s="106">
        <v>1164</v>
      </c>
      <c r="B1091" s="108" t="s">
        <v>6632</v>
      </c>
      <c r="C1091" s="110" t="s">
        <v>5755</v>
      </c>
      <c r="D1091" s="111">
        <v>8.1300000000000008</v>
      </c>
    </row>
    <row r="1092" spans="1:4" x14ac:dyDescent="0.25">
      <c r="A1092" s="106">
        <v>1162</v>
      </c>
      <c r="B1092" s="108" t="s">
        <v>6633</v>
      </c>
      <c r="C1092" s="110" t="s">
        <v>5755</v>
      </c>
      <c r="D1092" s="111">
        <v>2.83</v>
      </c>
    </row>
    <row r="1093" spans="1:4" x14ac:dyDescent="0.25">
      <c r="A1093" s="106">
        <v>12395</v>
      </c>
      <c r="B1093" s="108" t="s">
        <v>6634</v>
      </c>
      <c r="C1093" s="110" t="s">
        <v>5755</v>
      </c>
      <c r="D1093" s="111">
        <v>2.75</v>
      </c>
    </row>
    <row r="1094" spans="1:4" x14ac:dyDescent="0.25">
      <c r="A1094" s="106">
        <v>1170</v>
      </c>
      <c r="B1094" s="108" t="s">
        <v>6635</v>
      </c>
      <c r="C1094" s="110" t="s">
        <v>5755</v>
      </c>
      <c r="D1094" s="111">
        <v>5.33</v>
      </c>
    </row>
    <row r="1095" spans="1:4" x14ac:dyDescent="0.25">
      <c r="A1095" s="106">
        <v>1169</v>
      </c>
      <c r="B1095" s="108" t="s">
        <v>6636</v>
      </c>
      <c r="C1095" s="110" t="s">
        <v>5755</v>
      </c>
      <c r="D1095" s="111">
        <v>26.17</v>
      </c>
    </row>
    <row r="1096" spans="1:4" x14ac:dyDescent="0.25">
      <c r="A1096" s="106">
        <v>1166</v>
      </c>
      <c r="B1096" s="108" t="s">
        <v>6637</v>
      </c>
      <c r="C1096" s="110" t="s">
        <v>5755</v>
      </c>
      <c r="D1096" s="111">
        <v>14.51</v>
      </c>
    </row>
    <row r="1097" spans="1:4" x14ac:dyDescent="0.25">
      <c r="A1097" s="106">
        <v>1163</v>
      </c>
      <c r="B1097" s="108" t="s">
        <v>6638</v>
      </c>
      <c r="C1097" s="110" t="s">
        <v>5755</v>
      </c>
      <c r="D1097" s="111">
        <v>3.65</v>
      </c>
    </row>
    <row r="1098" spans="1:4" x14ac:dyDescent="0.25">
      <c r="A1098" s="106">
        <v>12396</v>
      </c>
      <c r="B1098" s="108" t="s">
        <v>6639</v>
      </c>
      <c r="C1098" s="110" t="s">
        <v>5755</v>
      </c>
      <c r="D1098" s="111">
        <v>2.75</v>
      </c>
    </row>
    <row r="1099" spans="1:4" x14ac:dyDescent="0.25">
      <c r="A1099" s="106">
        <v>1168</v>
      </c>
      <c r="B1099" s="108" t="s">
        <v>6640</v>
      </c>
      <c r="C1099" s="110" t="s">
        <v>5755</v>
      </c>
      <c r="D1099" s="111">
        <v>37.31</v>
      </c>
    </row>
    <row r="1100" spans="1:4" x14ac:dyDescent="0.25">
      <c r="A1100" s="106">
        <v>1167</v>
      </c>
      <c r="B1100" s="108" t="s">
        <v>6641</v>
      </c>
      <c r="C1100" s="110" t="s">
        <v>5755</v>
      </c>
      <c r="D1100" s="111">
        <v>62.42</v>
      </c>
    </row>
    <row r="1101" spans="1:4" x14ac:dyDescent="0.25">
      <c r="A1101" s="106">
        <v>36331</v>
      </c>
      <c r="B1101" s="108" t="s">
        <v>6642</v>
      </c>
      <c r="C1101" s="110" t="s">
        <v>5755</v>
      </c>
      <c r="D1101" s="111">
        <v>1.19</v>
      </c>
    </row>
    <row r="1102" spans="1:4" x14ac:dyDescent="0.25">
      <c r="A1102" s="106">
        <v>36346</v>
      </c>
      <c r="B1102" s="108" t="s">
        <v>6643</v>
      </c>
      <c r="C1102" s="110" t="s">
        <v>5755</v>
      </c>
      <c r="D1102" s="111">
        <v>2.04</v>
      </c>
    </row>
    <row r="1103" spans="1:4" x14ac:dyDescent="0.25">
      <c r="A1103" s="106">
        <v>1210</v>
      </c>
      <c r="B1103" s="108" t="s">
        <v>6644</v>
      </c>
      <c r="C1103" s="110" t="s">
        <v>5755</v>
      </c>
      <c r="D1103" s="111">
        <v>9.15</v>
      </c>
    </row>
    <row r="1104" spans="1:4" x14ac:dyDescent="0.25">
      <c r="A1104" s="106">
        <v>1203</v>
      </c>
      <c r="B1104" s="108" t="s">
        <v>6645</v>
      </c>
      <c r="C1104" s="110" t="s">
        <v>5755</v>
      </c>
      <c r="D1104" s="111">
        <v>8.8699999999999992</v>
      </c>
    </row>
    <row r="1105" spans="1:4" x14ac:dyDescent="0.25">
      <c r="A1105" s="106">
        <v>1197</v>
      </c>
      <c r="B1105" s="108" t="s">
        <v>6646</v>
      </c>
      <c r="C1105" s="110" t="s">
        <v>5755</v>
      </c>
      <c r="D1105" s="111">
        <v>1.1299999999999999</v>
      </c>
    </row>
    <row r="1106" spans="1:4" x14ac:dyDescent="0.25">
      <c r="A1106" s="106">
        <v>1202</v>
      </c>
      <c r="B1106" s="108" t="s">
        <v>6647</v>
      </c>
      <c r="C1106" s="110" t="s">
        <v>5755</v>
      </c>
      <c r="D1106" s="111">
        <v>3.05</v>
      </c>
    </row>
    <row r="1107" spans="1:4" x14ac:dyDescent="0.25">
      <c r="A1107" s="106">
        <v>1188</v>
      </c>
      <c r="B1107" s="108" t="s">
        <v>6648</v>
      </c>
      <c r="C1107" s="110" t="s">
        <v>5755</v>
      </c>
      <c r="D1107" s="111">
        <v>18.03</v>
      </c>
    </row>
    <row r="1108" spans="1:4" x14ac:dyDescent="0.25">
      <c r="A1108" s="106">
        <v>1211</v>
      </c>
      <c r="B1108" s="108" t="s">
        <v>6649</v>
      </c>
      <c r="C1108" s="110" t="s">
        <v>5755</v>
      </c>
      <c r="D1108" s="111">
        <v>9.31</v>
      </c>
    </row>
    <row r="1109" spans="1:4" x14ac:dyDescent="0.25">
      <c r="A1109" s="106">
        <v>1198</v>
      </c>
      <c r="B1109" s="108" t="s">
        <v>6650</v>
      </c>
      <c r="C1109" s="110" t="s">
        <v>5755</v>
      </c>
      <c r="D1109" s="111">
        <v>1.68</v>
      </c>
    </row>
    <row r="1110" spans="1:4" x14ac:dyDescent="0.25">
      <c r="A1110" s="106">
        <v>1199</v>
      </c>
      <c r="B1110" s="108" t="s">
        <v>6651</v>
      </c>
      <c r="C1110" s="110" t="s">
        <v>5755</v>
      </c>
      <c r="D1110" s="111">
        <v>23.56</v>
      </c>
    </row>
    <row r="1111" spans="1:4" x14ac:dyDescent="0.25">
      <c r="A1111" s="106">
        <v>20088</v>
      </c>
      <c r="B1111" s="108" t="s">
        <v>6652</v>
      </c>
      <c r="C1111" s="110" t="s">
        <v>5755</v>
      </c>
      <c r="D1111" s="111">
        <v>10.82</v>
      </c>
    </row>
    <row r="1112" spans="1:4" x14ac:dyDescent="0.25">
      <c r="A1112" s="106">
        <v>20089</v>
      </c>
      <c r="B1112" s="108" t="s">
        <v>6653</v>
      </c>
      <c r="C1112" s="110" t="s">
        <v>5755</v>
      </c>
      <c r="D1112" s="111">
        <v>51.58</v>
      </c>
    </row>
    <row r="1113" spans="1:4" x14ac:dyDescent="0.25">
      <c r="A1113" s="106">
        <v>20087</v>
      </c>
      <c r="B1113" s="108" t="s">
        <v>6654</v>
      </c>
      <c r="C1113" s="110" t="s">
        <v>5755</v>
      </c>
      <c r="D1113" s="111">
        <v>7.79</v>
      </c>
    </row>
    <row r="1114" spans="1:4" x14ac:dyDescent="0.25">
      <c r="A1114" s="106">
        <v>1200</v>
      </c>
      <c r="B1114" s="108" t="s">
        <v>6655</v>
      </c>
      <c r="C1114" s="110" t="s">
        <v>5755</v>
      </c>
      <c r="D1114" s="111">
        <v>6.33</v>
      </c>
    </row>
    <row r="1115" spans="1:4" x14ac:dyDescent="0.25">
      <c r="A1115" s="106">
        <v>12909</v>
      </c>
      <c r="B1115" s="108" t="s">
        <v>6656</v>
      </c>
      <c r="C1115" s="110" t="s">
        <v>5755</v>
      </c>
      <c r="D1115" s="111">
        <v>2.87</v>
      </c>
    </row>
    <row r="1116" spans="1:4" x14ac:dyDescent="0.25">
      <c r="A1116" s="106">
        <v>12910</v>
      </c>
      <c r="B1116" s="108" t="s">
        <v>6657</v>
      </c>
      <c r="C1116" s="110" t="s">
        <v>5755</v>
      </c>
      <c r="D1116" s="111">
        <v>4.79</v>
      </c>
    </row>
    <row r="1117" spans="1:4" x14ac:dyDescent="0.25">
      <c r="A1117" s="106">
        <v>1184</v>
      </c>
      <c r="B1117" s="108" t="s">
        <v>6658</v>
      </c>
      <c r="C1117" s="110" t="s">
        <v>5755</v>
      </c>
      <c r="D1117" s="111">
        <v>57.92</v>
      </c>
    </row>
    <row r="1118" spans="1:4" x14ac:dyDescent="0.25">
      <c r="A1118" s="106">
        <v>1191</v>
      </c>
      <c r="B1118" s="108" t="s">
        <v>6659</v>
      </c>
      <c r="C1118" s="110" t="s">
        <v>5755</v>
      </c>
      <c r="D1118" s="111">
        <v>0.82</v>
      </c>
    </row>
    <row r="1119" spans="1:4" x14ac:dyDescent="0.25">
      <c r="A1119" s="106">
        <v>1185</v>
      </c>
      <c r="B1119" s="108" t="s">
        <v>6660</v>
      </c>
      <c r="C1119" s="110" t="s">
        <v>5755</v>
      </c>
      <c r="D1119" s="111">
        <v>0.94</v>
      </c>
    </row>
    <row r="1120" spans="1:4" x14ac:dyDescent="0.25">
      <c r="A1120" s="106">
        <v>1189</v>
      </c>
      <c r="B1120" s="108" t="s">
        <v>6661</v>
      </c>
      <c r="C1120" s="110" t="s">
        <v>5755</v>
      </c>
      <c r="D1120" s="111">
        <v>1.63</v>
      </c>
    </row>
    <row r="1121" spans="1:4" x14ac:dyDescent="0.25">
      <c r="A1121" s="106">
        <v>1193</v>
      </c>
      <c r="B1121" s="108" t="s">
        <v>6662</v>
      </c>
      <c r="C1121" s="110" t="s">
        <v>5755</v>
      </c>
      <c r="D1121" s="111">
        <v>3.14</v>
      </c>
    </row>
    <row r="1122" spans="1:4" x14ac:dyDescent="0.25">
      <c r="A1122" s="106">
        <v>1194</v>
      </c>
      <c r="B1122" s="108" t="s">
        <v>6663</v>
      </c>
      <c r="C1122" s="110" t="s">
        <v>5755</v>
      </c>
      <c r="D1122" s="111">
        <v>5.94</v>
      </c>
    </row>
    <row r="1123" spans="1:4" x14ac:dyDescent="0.25">
      <c r="A1123" s="106">
        <v>1195</v>
      </c>
      <c r="B1123" s="108" t="s">
        <v>6664</v>
      </c>
      <c r="C1123" s="110" t="s">
        <v>5755</v>
      </c>
      <c r="D1123" s="111">
        <v>8.93</v>
      </c>
    </row>
    <row r="1124" spans="1:4" x14ac:dyDescent="0.25">
      <c r="A1124" s="106">
        <v>1204</v>
      </c>
      <c r="B1124" s="108" t="s">
        <v>6665</v>
      </c>
      <c r="C1124" s="110" t="s">
        <v>5755</v>
      </c>
      <c r="D1124" s="111">
        <v>16.239999999999998</v>
      </c>
    </row>
    <row r="1125" spans="1:4" x14ac:dyDescent="0.25">
      <c r="A1125" s="106">
        <v>1205</v>
      </c>
      <c r="B1125" s="108" t="s">
        <v>6666</v>
      </c>
      <c r="C1125" s="110" t="s">
        <v>5755</v>
      </c>
      <c r="D1125" s="111">
        <v>38.53</v>
      </c>
    </row>
    <row r="1126" spans="1:4" ht="25.5" x14ac:dyDescent="0.25">
      <c r="A1126" s="106">
        <v>1207</v>
      </c>
      <c r="B1126" s="108" t="s">
        <v>6667</v>
      </c>
      <c r="C1126" s="110" t="s">
        <v>5755</v>
      </c>
      <c r="D1126" s="111">
        <v>24.49</v>
      </c>
    </row>
    <row r="1127" spans="1:4" x14ac:dyDescent="0.25">
      <c r="A1127" s="106">
        <v>1206</v>
      </c>
      <c r="B1127" s="108" t="s">
        <v>6668</v>
      </c>
      <c r="C1127" s="110" t="s">
        <v>5755</v>
      </c>
      <c r="D1127" s="111">
        <v>6.14</v>
      </c>
    </row>
    <row r="1128" spans="1:4" x14ac:dyDescent="0.25">
      <c r="A1128" s="106">
        <v>1183</v>
      </c>
      <c r="B1128" s="108" t="s">
        <v>6669</v>
      </c>
      <c r="C1128" s="110" t="s">
        <v>5755</v>
      </c>
      <c r="D1128" s="111">
        <v>15.99</v>
      </c>
    </row>
    <row r="1129" spans="1:4" ht="25.5" x14ac:dyDescent="0.25">
      <c r="A1129" s="106">
        <v>42685</v>
      </c>
      <c r="B1129" s="108" t="s">
        <v>6670</v>
      </c>
      <c r="C1129" s="110" t="s">
        <v>5755</v>
      </c>
      <c r="D1129" s="111">
        <v>44.11</v>
      </c>
    </row>
    <row r="1130" spans="1:4" ht="25.5" x14ac:dyDescent="0.25">
      <c r="A1130" s="106">
        <v>42686</v>
      </c>
      <c r="B1130" s="108" t="s">
        <v>6671</v>
      </c>
      <c r="C1130" s="110" t="s">
        <v>5755</v>
      </c>
      <c r="D1130" s="111">
        <v>68.680000000000007</v>
      </c>
    </row>
    <row r="1131" spans="1:4" ht="25.5" x14ac:dyDescent="0.25">
      <c r="A1131" s="106">
        <v>12894</v>
      </c>
      <c r="B1131" s="108" t="s">
        <v>6672</v>
      </c>
      <c r="C1131" s="110" t="s">
        <v>5755</v>
      </c>
      <c r="D1131" s="111">
        <v>15.53</v>
      </c>
    </row>
    <row r="1132" spans="1:4" ht="25.5" x14ac:dyDescent="0.25">
      <c r="A1132" s="106">
        <v>12895</v>
      </c>
      <c r="B1132" s="108" t="s">
        <v>6673</v>
      </c>
      <c r="C1132" s="110" t="s">
        <v>5755</v>
      </c>
      <c r="D1132" s="111">
        <v>11.95</v>
      </c>
    </row>
    <row r="1133" spans="1:4" ht="25.5" x14ac:dyDescent="0.25">
      <c r="A1133" s="106">
        <v>1631</v>
      </c>
      <c r="B1133" s="108" t="s">
        <v>6674</v>
      </c>
      <c r="C1133" s="110" t="s">
        <v>5755</v>
      </c>
      <c r="D1133" s="111">
        <v>120.36</v>
      </c>
    </row>
    <row r="1134" spans="1:4" ht="25.5" x14ac:dyDescent="0.25">
      <c r="A1134" s="106">
        <v>1633</v>
      </c>
      <c r="B1134" s="108" t="s">
        <v>6675</v>
      </c>
      <c r="C1134" s="110" t="s">
        <v>5755</v>
      </c>
      <c r="D1134" s="111">
        <v>204.5</v>
      </c>
    </row>
    <row r="1135" spans="1:4" x14ac:dyDescent="0.25">
      <c r="A1135" s="106">
        <v>10818</v>
      </c>
      <c r="B1135" s="108" t="s">
        <v>6676</v>
      </c>
      <c r="C1135" s="110" t="s">
        <v>5816</v>
      </c>
      <c r="D1135" s="111">
        <v>26.28</v>
      </c>
    </row>
    <row r="1136" spans="1:4" ht="51" x14ac:dyDescent="0.25">
      <c r="A1136" s="106">
        <v>39359</v>
      </c>
      <c r="B1136" s="108" t="s">
        <v>6677</v>
      </c>
      <c r="C1136" s="110" t="s">
        <v>5755</v>
      </c>
      <c r="D1136" s="111">
        <v>23.68</v>
      </c>
    </row>
    <row r="1137" spans="1:4" ht="51" x14ac:dyDescent="0.25">
      <c r="A1137" s="106">
        <v>39360</v>
      </c>
      <c r="B1137" s="108" t="s">
        <v>6678</v>
      </c>
      <c r="C1137" s="110" t="s">
        <v>5755</v>
      </c>
      <c r="D1137" s="111">
        <v>21.52</v>
      </c>
    </row>
    <row r="1138" spans="1:4" ht="25.5" x14ac:dyDescent="0.25">
      <c r="A1138" s="106">
        <v>10710</v>
      </c>
      <c r="B1138" s="108" t="s">
        <v>6679</v>
      </c>
      <c r="C1138" s="110" t="s">
        <v>5757</v>
      </c>
      <c r="D1138" s="111">
        <v>99.83</v>
      </c>
    </row>
    <row r="1139" spans="1:4" ht="25.5" x14ac:dyDescent="0.25">
      <c r="A1139" s="106">
        <v>10709</v>
      </c>
      <c r="B1139" s="108" t="s">
        <v>6680</v>
      </c>
      <c r="C1139" s="110" t="s">
        <v>5757</v>
      </c>
      <c r="D1139" s="111">
        <v>122.64</v>
      </c>
    </row>
    <row r="1140" spans="1:4" ht="25.5" x14ac:dyDescent="0.25">
      <c r="A1140" s="106">
        <v>39636</v>
      </c>
      <c r="B1140" s="108" t="s">
        <v>6681</v>
      </c>
      <c r="C1140" s="110" t="s">
        <v>5757</v>
      </c>
      <c r="D1140" s="111">
        <v>125.24</v>
      </c>
    </row>
    <row r="1141" spans="1:4" ht="25.5" x14ac:dyDescent="0.25">
      <c r="A1141" s="106">
        <v>10708</v>
      </c>
      <c r="B1141" s="108" t="s">
        <v>6682</v>
      </c>
      <c r="C1141" s="110" t="s">
        <v>5757</v>
      </c>
      <c r="D1141" s="111">
        <v>38.64</v>
      </c>
    </row>
    <row r="1142" spans="1:4" ht="25.5" x14ac:dyDescent="0.25">
      <c r="A1142" s="106">
        <v>39635</v>
      </c>
      <c r="B1142" s="108" t="s">
        <v>6683</v>
      </c>
      <c r="C1142" s="110" t="s">
        <v>5757</v>
      </c>
      <c r="D1142" s="111">
        <v>65.790000000000006</v>
      </c>
    </row>
    <row r="1143" spans="1:4" x14ac:dyDescent="0.25">
      <c r="A1143" s="106">
        <v>6117</v>
      </c>
      <c r="B1143" s="108" t="s">
        <v>6684</v>
      </c>
      <c r="C1143" s="110" t="s">
        <v>5759</v>
      </c>
      <c r="D1143" s="111">
        <v>10.06</v>
      </c>
    </row>
    <row r="1144" spans="1:4" x14ac:dyDescent="0.25">
      <c r="A1144" s="106">
        <v>40913</v>
      </c>
      <c r="B1144" s="108" t="s">
        <v>6685</v>
      </c>
      <c r="C1144" s="110" t="s">
        <v>5906</v>
      </c>
      <c r="D1144" s="111">
        <v>1785.62</v>
      </c>
    </row>
    <row r="1145" spans="1:4" x14ac:dyDescent="0.25">
      <c r="A1145" s="106">
        <v>1214</v>
      </c>
      <c r="B1145" s="108" t="s">
        <v>6686</v>
      </c>
      <c r="C1145" s="110" t="s">
        <v>5759</v>
      </c>
      <c r="D1145" s="111">
        <v>13.95</v>
      </c>
    </row>
    <row r="1146" spans="1:4" x14ac:dyDescent="0.25">
      <c r="A1146" s="106">
        <v>40915</v>
      </c>
      <c r="B1146" s="108" t="s">
        <v>6687</v>
      </c>
      <c r="C1146" s="110" t="s">
        <v>5906</v>
      </c>
      <c r="D1146" s="111">
        <v>2474.75</v>
      </c>
    </row>
    <row r="1147" spans="1:4" x14ac:dyDescent="0.25">
      <c r="A1147" s="106">
        <v>1213</v>
      </c>
      <c r="B1147" s="108" t="s">
        <v>6688</v>
      </c>
      <c r="C1147" s="110" t="s">
        <v>5759</v>
      </c>
      <c r="D1147" s="111">
        <v>12.79</v>
      </c>
    </row>
    <row r="1148" spans="1:4" x14ac:dyDescent="0.25">
      <c r="A1148" s="106">
        <v>40914</v>
      </c>
      <c r="B1148" s="108" t="s">
        <v>6689</v>
      </c>
      <c r="C1148" s="110" t="s">
        <v>5906</v>
      </c>
      <c r="D1148" s="111">
        <v>2266.4299999999998</v>
      </c>
    </row>
    <row r="1149" spans="1:4" ht="25.5" x14ac:dyDescent="0.25">
      <c r="A1149" s="106">
        <v>5091</v>
      </c>
      <c r="B1149" s="108" t="s">
        <v>6690</v>
      </c>
      <c r="C1149" s="110" t="s">
        <v>5755</v>
      </c>
      <c r="D1149" s="111">
        <v>16.190000000000001</v>
      </c>
    </row>
    <row r="1150" spans="1:4" ht="38.25" x14ac:dyDescent="0.25">
      <c r="A1150" s="106">
        <v>14615</v>
      </c>
      <c r="B1150" s="108" t="s">
        <v>6691</v>
      </c>
      <c r="C1150" s="110" t="s">
        <v>5755</v>
      </c>
      <c r="D1150" s="111">
        <v>3241.24</v>
      </c>
    </row>
    <row r="1151" spans="1:4" x14ac:dyDescent="0.25">
      <c r="A1151" s="106">
        <v>2711</v>
      </c>
      <c r="B1151" s="108" t="s">
        <v>6692</v>
      </c>
      <c r="C1151" s="110" t="s">
        <v>5755</v>
      </c>
      <c r="D1151" s="111">
        <v>115.9</v>
      </c>
    </row>
    <row r="1152" spans="1:4" ht="38.25" x14ac:dyDescent="0.25">
      <c r="A1152" s="106">
        <v>37727</v>
      </c>
      <c r="B1152" s="108" t="s">
        <v>6693</v>
      </c>
      <c r="C1152" s="110" t="s">
        <v>5755</v>
      </c>
      <c r="D1152" s="111">
        <v>10548</v>
      </c>
    </row>
    <row r="1153" spans="1:4" ht="38.25" x14ac:dyDescent="0.25">
      <c r="A1153" s="106">
        <v>37728</v>
      </c>
      <c r="B1153" s="108" t="s">
        <v>6694</v>
      </c>
      <c r="C1153" s="110" t="s">
        <v>5755</v>
      </c>
      <c r="D1153" s="111">
        <v>14309.87</v>
      </c>
    </row>
    <row r="1154" spans="1:4" ht="38.25" x14ac:dyDescent="0.25">
      <c r="A1154" s="106">
        <v>37729</v>
      </c>
      <c r="B1154" s="108" t="s">
        <v>6695</v>
      </c>
      <c r="C1154" s="110" t="s">
        <v>5755</v>
      </c>
      <c r="D1154" s="111">
        <v>15490.07</v>
      </c>
    </row>
    <row r="1155" spans="1:4" ht="38.25" x14ac:dyDescent="0.25">
      <c r="A1155" s="106">
        <v>37730</v>
      </c>
      <c r="B1155" s="108" t="s">
        <v>6696</v>
      </c>
      <c r="C1155" s="110" t="s">
        <v>5755</v>
      </c>
      <c r="D1155" s="111">
        <v>16670.259999999998</v>
      </c>
    </row>
    <row r="1156" spans="1:4" ht="38.25" x14ac:dyDescent="0.25">
      <c r="A1156" s="106">
        <v>37731</v>
      </c>
      <c r="B1156" s="108" t="s">
        <v>6697</v>
      </c>
      <c r="C1156" s="110" t="s">
        <v>5755</v>
      </c>
      <c r="D1156" s="111">
        <v>17850.46</v>
      </c>
    </row>
    <row r="1157" spans="1:4" ht="38.25" x14ac:dyDescent="0.25">
      <c r="A1157" s="106">
        <v>37732</v>
      </c>
      <c r="B1157" s="108" t="s">
        <v>6698</v>
      </c>
      <c r="C1157" s="110" t="s">
        <v>5755</v>
      </c>
      <c r="D1157" s="111">
        <v>20358.37</v>
      </c>
    </row>
    <row r="1158" spans="1:4" ht="25.5" x14ac:dyDescent="0.25">
      <c r="A1158" s="106">
        <v>42250</v>
      </c>
      <c r="B1158" s="108" t="s">
        <v>6699</v>
      </c>
      <c r="C1158" s="110" t="s">
        <v>6700</v>
      </c>
      <c r="D1158" s="111">
        <v>2138.77</v>
      </c>
    </row>
    <row r="1159" spans="1:4" ht="25.5" x14ac:dyDescent="0.25">
      <c r="A1159" s="106">
        <v>42256</v>
      </c>
      <c r="B1159" s="108" t="s">
        <v>6701</v>
      </c>
      <c r="C1159" s="110" t="s">
        <v>5816</v>
      </c>
      <c r="D1159" s="111">
        <v>4.4800000000000004</v>
      </c>
    </row>
    <row r="1160" spans="1:4" x14ac:dyDescent="0.25">
      <c r="A1160" s="106">
        <v>4743</v>
      </c>
      <c r="B1160" s="108" t="s">
        <v>6702</v>
      </c>
      <c r="C1160" s="110" t="s">
        <v>5902</v>
      </c>
      <c r="D1160" s="111">
        <v>37.090000000000003</v>
      </c>
    </row>
    <row r="1161" spans="1:4" x14ac:dyDescent="0.25">
      <c r="A1161" s="106">
        <v>4744</v>
      </c>
      <c r="B1161" s="108" t="s">
        <v>6703</v>
      </c>
      <c r="C1161" s="110" t="s">
        <v>5902</v>
      </c>
      <c r="D1161" s="111">
        <v>48.48</v>
      </c>
    </row>
    <row r="1162" spans="1:4" x14ac:dyDescent="0.25">
      <c r="A1162" s="106">
        <v>4745</v>
      </c>
      <c r="B1162" s="108" t="s">
        <v>6704</v>
      </c>
      <c r="C1162" s="110" t="s">
        <v>5902</v>
      </c>
      <c r="D1162" s="111">
        <v>64.959999999999994</v>
      </c>
    </row>
    <row r="1163" spans="1:4" ht="51" x14ac:dyDescent="0.25">
      <c r="A1163" s="106">
        <v>36496</v>
      </c>
      <c r="B1163" s="108" t="s">
        <v>6705</v>
      </c>
      <c r="C1163" s="110" t="s">
        <v>5755</v>
      </c>
      <c r="D1163" s="111">
        <v>8229.4500000000007</v>
      </c>
    </row>
    <row r="1164" spans="1:4" ht="38.25" x14ac:dyDescent="0.25">
      <c r="A1164" s="106">
        <v>10630</v>
      </c>
      <c r="B1164" s="108" t="s">
        <v>6706</v>
      </c>
      <c r="C1164" s="110" t="s">
        <v>5755</v>
      </c>
      <c r="D1164" s="111">
        <v>436679.5</v>
      </c>
    </row>
    <row r="1165" spans="1:4" ht="51" x14ac:dyDescent="0.25">
      <c r="A1165" s="106">
        <v>37762</v>
      </c>
      <c r="B1165" s="108" t="s">
        <v>6707</v>
      </c>
      <c r="C1165" s="110" t="s">
        <v>5755</v>
      </c>
      <c r="D1165" s="111">
        <v>374513.36</v>
      </c>
    </row>
    <row r="1166" spans="1:4" ht="51" x14ac:dyDescent="0.25">
      <c r="A1166" s="106">
        <v>37763</v>
      </c>
      <c r="B1166" s="108" t="s">
        <v>6708</v>
      </c>
      <c r="C1166" s="110" t="s">
        <v>5755</v>
      </c>
      <c r="D1166" s="111">
        <v>379062.09</v>
      </c>
    </row>
    <row r="1167" spans="1:4" ht="38.25" x14ac:dyDescent="0.25">
      <c r="A1167" s="106">
        <v>41992</v>
      </c>
      <c r="B1167" s="108" t="s">
        <v>6709</v>
      </c>
      <c r="C1167" s="110" t="s">
        <v>5755</v>
      </c>
      <c r="D1167" s="111">
        <v>430917.79</v>
      </c>
    </row>
    <row r="1168" spans="1:4" ht="38.25" x14ac:dyDescent="0.25">
      <c r="A1168" s="106">
        <v>13215</v>
      </c>
      <c r="B1168" s="108" t="s">
        <v>6710</v>
      </c>
      <c r="C1168" s="110" t="s">
        <v>5755</v>
      </c>
      <c r="D1168" s="111">
        <v>528412.55000000005</v>
      </c>
    </row>
    <row r="1169" spans="1:4" x14ac:dyDescent="0.25">
      <c r="A1169" s="106">
        <v>4235</v>
      </c>
      <c r="B1169" s="108" t="s">
        <v>6711</v>
      </c>
      <c r="C1169" s="110" t="s">
        <v>5759</v>
      </c>
      <c r="D1169" s="111">
        <v>7.6</v>
      </c>
    </row>
    <row r="1170" spans="1:4" ht="25.5" x14ac:dyDescent="0.25">
      <c r="A1170" s="106">
        <v>40976</v>
      </c>
      <c r="B1170" s="108" t="s">
        <v>6712</v>
      </c>
      <c r="C1170" s="110" t="s">
        <v>5906</v>
      </c>
      <c r="D1170" s="111">
        <v>1348.7</v>
      </c>
    </row>
    <row r="1171" spans="1:4" ht="25.5" x14ac:dyDescent="0.25">
      <c r="A1171" s="106">
        <v>39013</v>
      </c>
      <c r="B1171" s="108" t="s">
        <v>6713</v>
      </c>
      <c r="C1171" s="110" t="s">
        <v>5755</v>
      </c>
      <c r="D1171" s="111">
        <v>0.91</v>
      </c>
    </row>
    <row r="1172" spans="1:4" ht="38.25" x14ac:dyDescent="0.25">
      <c r="A1172" s="106">
        <v>43091</v>
      </c>
      <c r="B1172" s="108" t="s">
        <v>10662</v>
      </c>
      <c r="C1172" s="110" t="s">
        <v>5755</v>
      </c>
      <c r="D1172" s="111">
        <v>4696.22</v>
      </c>
    </row>
    <row r="1173" spans="1:4" ht="38.25" x14ac:dyDescent="0.25">
      <c r="A1173" s="106">
        <v>43092</v>
      </c>
      <c r="B1173" s="108" t="s">
        <v>10663</v>
      </c>
      <c r="C1173" s="110" t="s">
        <v>5755</v>
      </c>
      <c r="D1173" s="111">
        <v>6261.63</v>
      </c>
    </row>
    <row r="1174" spans="1:4" ht="38.25" x14ac:dyDescent="0.25">
      <c r="A1174" s="106">
        <v>43089</v>
      </c>
      <c r="B1174" s="108" t="s">
        <v>10664</v>
      </c>
      <c r="C1174" s="110" t="s">
        <v>5755</v>
      </c>
      <c r="D1174" s="111">
        <v>1091.27</v>
      </c>
    </row>
    <row r="1175" spans="1:4" ht="38.25" x14ac:dyDescent="0.25">
      <c r="A1175" s="106">
        <v>43090</v>
      </c>
      <c r="B1175" s="108" t="s">
        <v>10665</v>
      </c>
      <c r="C1175" s="110" t="s">
        <v>5755</v>
      </c>
      <c r="D1175" s="111">
        <v>2408.3200000000002</v>
      </c>
    </row>
    <row r="1176" spans="1:4" x14ac:dyDescent="0.25">
      <c r="A1176" s="106">
        <v>41967</v>
      </c>
      <c r="B1176" s="108" t="s">
        <v>6714</v>
      </c>
      <c r="C1176" s="110" t="s">
        <v>5818</v>
      </c>
      <c r="D1176" s="111">
        <v>7.27</v>
      </c>
    </row>
    <row r="1177" spans="1:4" ht="25.5" x14ac:dyDescent="0.25">
      <c r="A1177" s="106">
        <v>12760</v>
      </c>
      <c r="B1177" s="108" t="s">
        <v>6715</v>
      </c>
      <c r="C1177" s="110" t="s">
        <v>5757</v>
      </c>
      <c r="D1177" s="111">
        <v>1064.1400000000001</v>
      </c>
    </row>
    <row r="1178" spans="1:4" ht="25.5" x14ac:dyDescent="0.25">
      <c r="A1178" s="106">
        <v>12759</v>
      </c>
      <c r="B1178" s="108" t="s">
        <v>6716</v>
      </c>
      <c r="C1178" s="110" t="s">
        <v>5757</v>
      </c>
      <c r="D1178" s="111">
        <v>709.42</v>
      </c>
    </row>
    <row r="1179" spans="1:4" ht="25.5" x14ac:dyDescent="0.25">
      <c r="A1179" s="106">
        <v>43105</v>
      </c>
      <c r="B1179" s="108" t="s">
        <v>10666</v>
      </c>
      <c r="C1179" s="110" t="s">
        <v>5816</v>
      </c>
      <c r="D1179" s="111">
        <v>30.07</v>
      </c>
    </row>
    <row r="1180" spans="1:4" ht="25.5" x14ac:dyDescent="0.25">
      <c r="A1180" s="106">
        <v>40424</v>
      </c>
      <c r="B1180" s="108" t="s">
        <v>6717</v>
      </c>
      <c r="C1180" s="110" t="s">
        <v>5816</v>
      </c>
      <c r="D1180" s="111">
        <v>7.64</v>
      </c>
    </row>
    <row r="1181" spans="1:4" x14ac:dyDescent="0.25">
      <c r="A1181" s="106">
        <v>1325</v>
      </c>
      <c r="B1181" s="108" t="s">
        <v>6718</v>
      </c>
      <c r="C1181" s="110" t="s">
        <v>5816</v>
      </c>
      <c r="D1181" s="111">
        <v>8.3699999999999992</v>
      </c>
    </row>
    <row r="1182" spans="1:4" x14ac:dyDescent="0.25">
      <c r="A1182" s="106">
        <v>1327</v>
      </c>
      <c r="B1182" s="108" t="s">
        <v>6719</v>
      </c>
      <c r="C1182" s="110" t="s">
        <v>5816</v>
      </c>
      <c r="D1182" s="111">
        <v>8.91</v>
      </c>
    </row>
    <row r="1183" spans="1:4" x14ac:dyDescent="0.25">
      <c r="A1183" s="106">
        <v>1328</v>
      </c>
      <c r="B1183" s="108" t="s">
        <v>6720</v>
      </c>
      <c r="C1183" s="110" t="s">
        <v>5816</v>
      </c>
      <c r="D1183" s="111">
        <v>8.39</v>
      </c>
    </row>
    <row r="1184" spans="1:4" ht="25.5" x14ac:dyDescent="0.25">
      <c r="A1184" s="106">
        <v>1321</v>
      </c>
      <c r="B1184" s="108" t="s">
        <v>6721</v>
      </c>
      <c r="C1184" s="110" t="s">
        <v>5816</v>
      </c>
      <c r="D1184" s="111">
        <v>7.77</v>
      </c>
    </row>
    <row r="1185" spans="1:4" ht="25.5" x14ac:dyDescent="0.25">
      <c r="A1185" s="106">
        <v>1318</v>
      </c>
      <c r="B1185" s="108" t="s">
        <v>6722</v>
      </c>
      <c r="C1185" s="110" t="s">
        <v>5816</v>
      </c>
      <c r="D1185" s="111">
        <v>7.77</v>
      </c>
    </row>
    <row r="1186" spans="1:4" ht="25.5" x14ac:dyDescent="0.25">
      <c r="A1186" s="106">
        <v>1322</v>
      </c>
      <c r="B1186" s="108" t="s">
        <v>6723</v>
      </c>
      <c r="C1186" s="110" t="s">
        <v>5816</v>
      </c>
      <c r="D1186" s="111">
        <v>8.2100000000000009</v>
      </c>
    </row>
    <row r="1187" spans="1:4" ht="25.5" x14ac:dyDescent="0.25">
      <c r="A1187" s="106">
        <v>1323</v>
      </c>
      <c r="B1187" s="108" t="s">
        <v>6724</v>
      </c>
      <c r="C1187" s="110" t="s">
        <v>5816</v>
      </c>
      <c r="D1187" s="111">
        <v>8.2100000000000009</v>
      </c>
    </row>
    <row r="1188" spans="1:4" ht="25.5" x14ac:dyDescent="0.25">
      <c r="A1188" s="106">
        <v>1319</v>
      </c>
      <c r="B1188" s="108" t="s">
        <v>6725</v>
      </c>
      <c r="C1188" s="110" t="s">
        <v>5816</v>
      </c>
      <c r="D1188" s="111">
        <v>6.92</v>
      </c>
    </row>
    <row r="1189" spans="1:4" ht="25.5" x14ac:dyDescent="0.25">
      <c r="A1189" s="106">
        <v>11026</v>
      </c>
      <c r="B1189" s="108" t="s">
        <v>6726</v>
      </c>
      <c r="C1189" s="110" t="s">
        <v>5816</v>
      </c>
      <c r="D1189" s="111">
        <v>9.52</v>
      </c>
    </row>
    <row r="1190" spans="1:4" ht="25.5" x14ac:dyDescent="0.25">
      <c r="A1190" s="106">
        <v>11027</v>
      </c>
      <c r="B1190" s="108" t="s">
        <v>6727</v>
      </c>
      <c r="C1190" s="110" t="s">
        <v>5816</v>
      </c>
      <c r="D1190" s="111">
        <v>9.91</v>
      </c>
    </row>
    <row r="1191" spans="1:4" ht="25.5" x14ac:dyDescent="0.25">
      <c r="A1191" s="106">
        <v>11046</v>
      </c>
      <c r="B1191" s="108" t="s">
        <v>494</v>
      </c>
      <c r="C1191" s="110" t="s">
        <v>5816</v>
      </c>
      <c r="D1191" s="111">
        <v>9.49</v>
      </c>
    </row>
    <row r="1192" spans="1:4" x14ac:dyDescent="0.25">
      <c r="A1192" s="106">
        <v>11047</v>
      </c>
      <c r="B1192" s="108" t="s">
        <v>6728</v>
      </c>
      <c r="C1192" s="110" t="s">
        <v>5816</v>
      </c>
      <c r="D1192" s="111">
        <v>10.34</v>
      </c>
    </row>
    <row r="1193" spans="1:4" x14ac:dyDescent="0.25">
      <c r="A1193" s="106">
        <v>43668</v>
      </c>
      <c r="B1193" s="108" t="s">
        <v>6729</v>
      </c>
      <c r="C1193" s="110" t="s">
        <v>5816</v>
      </c>
      <c r="D1193" s="111">
        <v>9.1300000000000008</v>
      </c>
    </row>
    <row r="1194" spans="1:4" x14ac:dyDescent="0.25">
      <c r="A1194" s="106">
        <v>11049</v>
      </c>
      <c r="B1194" s="108" t="s">
        <v>6730</v>
      </c>
      <c r="C1194" s="110" t="s">
        <v>5816</v>
      </c>
      <c r="D1194" s="111">
        <v>9.89</v>
      </c>
    </row>
    <row r="1195" spans="1:4" x14ac:dyDescent="0.25">
      <c r="A1195" s="106">
        <v>43106</v>
      </c>
      <c r="B1195" s="108" t="s">
        <v>10667</v>
      </c>
      <c r="C1195" s="110" t="s">
        <v>5816</v>
      </c>
      <c r="D1195" s="111">
        <v>9.9499999999999993</v>
      </c>
    </row>
    <row r="1196" spans="1:4" x14ac:dyDescent="0.25">
      <c r="A1196" s="106">
        <v>11051</v>
      </c>
      <c r="B1196" s="108" t="s">
        <v>6731</v>
      </c>
      <c r="C1196" s="110" t="s">
        <v>5816</v>
      </c>
      <c r="D1196" s="111">
        <v>10.38</v>
      </c>
    </row>
    <row r="1197" spans="1:4" x14ac:dyDescent="0.25">
      <c r="A1197" s="106">
        <v>11061</v>
      </c>
      <c r="B1197" s="108" t="s">
        <v>6732</v>
      </c>
      <c r="C1197" s="110" t="s">
        <v>5816</v>
      </c>
      <c r="D1197" s="111">
        <v>12.46</v>
      </c>
    </row>
    <row r="1198" spans="1:4" x14ac:dyDescent="0.25">
      <c r="A1198" s="106">
        <v>43667</v>
      </c>
      <c r="B1198" s="108" t="s">
        <v>6733</v>
      </c>
      <c r="C1198" s="110" t="s">
        <v>5816</v>
      </c>
      <c r="D1198" s="111">
        <v>9.0500000000000007</v>
      </c>
    </row>
    <row r="1199" spans="1:4" x14ac:dyDescent="0.25">
      <c r="A1199" s="106">
        <v>1333</v>
      </c>
      <c r="B1199" s="108" t="s">
        <v>6734</v>
      </c>
      <c r="C1199" s="110" t="s">
        <v>5816</v>
      </c>
      <c r="D1199" s="111">
        <v>7.54</v>
      </c>
    </row>
    <row r="1200" spans="1:4" x14ac:dyDescent="0.25">
      <c r="A1200" s="106">
        <v>1330</v>
      </c>
      <c r="B1200" s="108" t="s">
        <v>6735</v>
      </c>
      <c r="C1200" s="110" t="s">
        <v>5816</v>
      </c>
      <c r="D1200" s="111">
        <v>7.47</v>
      </c>
    </row>
    <row r="1201" spans="1:4" x14ac:dyDescent="0.25">
      <c r="A1201" s="106">
        <v>10957</v>
      </c>
      <c r="B1201" s="108" t="s">
        <v>6736</v>
      </c>
      <c r="C1201" s="110" t="s">
        <v>5816</v>
      </c>
      <c r="D1201" s="111">
        <v>8.61</v>
      </c>
    </row>
    <row r="1202" spans="1:4" x14ac:dyDescent="0.25">
      <c r="A1202" s="106">
        <v>1332</v>
      </c>
      <c r="B1202" s="108" t="s">
        <v>6737</v>
      </c>
      <c r="C1202" s="110" t="s">
        <v>5816</v>
      </c>
      <c r="D1202" s="111">
        <v>7.66</v>
      </c>
    </row>
    <row r="1203" spans="1:4" x14ac:dyDescent="0.25">
      <c r="A1203" s="106">
        <v>1334</v>
      </c>
      <c r="B1203" s="108" t="s">
        <v>6738</v>
      </c>
      <c r="C1203" s="110" t="s">
        <v>5816</v>
      </c>
      <c r="D1203" s="111">
        <v>8.49</v>
      </c>
    </row>
    <row r="1204" spans="1:4" x14ac:dyDescent="0.25">
      <c r="A1204" s="106">
        <v>1335</v>
      </c>
      <c r="B1204" s="108" t="s">
        <v>6739</v>
      </c>
      <c r="C1204" s="110" t="s">
        <v>5816</v>
      </c>
      <c r="D1204" s="111">
        <v>8.7799999999999994</v>
      </c>
    </row>
    <row r="1205" spans="1:4" ht="25.5" x14ac:dyDescent="0.25">
      <c r="A1205" s="106">
        <v>40425</v>
      </c>
      <c r="B1205" s="108" t="s">
        <v>6740</v>
      </c>
      <c r="C1205" s="110" t="s">
        <v>5816</v>
      </c>
      <c r="D1205" s="111">
        <v>7.51</v>
      </c>
    </row>
    <row r="1206" spans="1:4" x14ac:dyDescent="0.25">
      <c r="A1206" s="106">
        <v>1337</v>
      </c>
      <c r="B1206" s="108" t="s">
        <v>6741</v>
      </c>
      <c r="C1206" s="110" t="s">
        <v>5816</v>
      </c>
      <c r="D1206" s="111">
        <v>8.61</v>
      </c>
    </row>
    <row r="1207" spans="1:4" ht="25.5" x14ac:dyDescent="0.25">
      <c r="A1207" s="106">
        <v>39416</v>
      </c>
      <c r="B1207" s="108" t="s">
        <v>6742</v>
      </c>
      <c r="C1207" s="110" t="s">
        <v>5757</v>
      </c>
      <c r="D1207" s="111">
        <v>28.52</v>
      </c>
    </row>
    <row r="1208" spans="1:4" ht="25.5" x14ac:dyDescent="0.25">
      <c r="A1208" s="106">
        <v>39417</v>
      </c>
      <c r="B1208" s="108" t="s">
        <v>450</v>
      </c>
      <c r="C1208" s="110" t="s">
        <v>5757</v>
      </c>
      <c r="D1208" s="111">
        <v>29.9</v>
      </c>
    </row>
    <row r="1209" spans="1:4" ht="25.5" x14ac:dyDescent="0.25">
      <c r="A1209" s="106">
        <v>39414</v>
      </c>
      <c r="B1209" s="108" t="s">
        <v>6743</v>
      </c>
      <c r="C1209" s="110" t="s">
        <v>5757</v>
      </c>
      <c r="D1209" s="111">
        <v>26.78</v>
      </c>
    </row>
    <row r="1210" spans="1:4" ht="25.5" x14ac:dyDescent="0.25">
      <c r="A1210" s="106">
        <v>39415</v>
      </c>
      <c r="B1210" s="108" t="s">
        <v>6744</v>
      </c>
      <c r="C1210" s="110" t="s">
        <v>5757</v>
      </c>
      <c r="D1210" s="111">
        <v>28.38</v>
      </c>
    </row>
    <row r="1211" spans="1:4" ht="25.5" x14ac:dyDescent="0.25">
      <c r="A1211" s="106">
        <v>39412</v>
      </c>
      <c r="B1211" s="108" t="s">
        <v>6745</v>
      </c>
      <c r="C1211" s="110" t="s">
        <v>5757</v>
      </c>
      <c r="D1211" s="111">
        <v>20.16</v>
      </c>
    </row>
    <row r="1212" spans="1:4" ht="25.5" x14ac:dyDescent="0.25">
      <c r="A1212" s="106">
        <v>39413</v>
      </c>
      <c r="B1212" s="108" t="s">
        <v>423</v>
      </c>
      <c r="C1212" s="110" t="s">
        <v>5757</v>
      </c>
      <c r="D1212" s="111">
        <v>19.97</v>
      </c>
    </row>
    <row r="1213" spans="1:4" ht="25.5" x14ac:dyDescent="0.25">
      <c r="A1213" s="106">
        <v>1338</v>
      </c>
      <c r="B1213" s="108" t="s">
        <v>6746</v>
      </c>
      <c r="C1213" s="110" t="s">
        <v>5757</v>
      </c>
      <c r="D1213" s="111">
        <v>29.16</v>
      </c>
    </row>
    <row r="1214" spans="1:4" ht="25.5" x14ac:dyDescent="0.25">
      <c r="A1214" s="106">
        <v>1340</v>
      </c>
      <c r="B1214" s="108" t="s">
        <v>6747</v>
      </c>
      <c r="C1214" s="110" t="s">
        <v>5757</v>
      </c>
      <c r="D1214" s="111">
        <v>33.71</v>
      </c>
    </row>
    <row r="1215" spans="1:4" ht="25.5" x14ac:dyDescent="0.25">
      <c r="A1215" s="106">
        <v>1341</v>
      </c>
      <c r="B1215" s="108" t="s">
        <v>6748</v>
      </c>
      <c r="C1215" s="110" t="s">
        <v>5757</v>
      </c>
      <c r="D1215" s="111">
        <v>32.47</v>
      </c>
    </row>
    <row r="1216" spans="1:4" ht="25.5" x14ac:dyDescent="0.25">
      <c r="A1216" s="106">
        <v>11134</v>
      </c>
      <c r="B1216" s="108" t="s">
        <v>6749</v>
      </c>
      <c r="C1216" s="110" t="s">
        <v>5757</v>
      </c>
      <c r="D1216" s="111">
        <v>27.7</v>
      </c>
    </row>
    <row r="1217" spans="1:4" ht="25.5" x14ac:dyDescent="0.25">
      <c r="A1217" s="106">
        <v>11135</v>
      </c>
      <c r="B1217" s="108" t="s">
        <v>6750</v>
      </c>
      <c r="C1217" s="110" t="s">
        <v>5757</v>
      </c>
      <c r="D1217" s="111">
        <v>33.76</v>
      </c>
    </row>
    <row r="1218" spans="1:4" ht="25.5" x14ac:dyDescent="0.25">
      <c r="A1218" s="106">
        <v>11136</v>
      </c>
      <c r="B1218" s="108" t="s">
        <v>6751</v>
      </c>
      <c r="C1218" s="110" t="s">
        <v>5757</v>
      </c>
      <c r="D1218" s="111">
        <v>36.520000000000003</v>
      </c>
    </row>
    <row r="1219" spans="1:4" ht="25.5" x14ac:dyDescent="0.25">
      <c r="A1219" s="106">
        <v>34743</v>
      </c>
      <c r="B1219" s="108" t="s">
        <v>6752</v>
      </c>
      <c r="C1219" s="110" t="s">
        <v>5757</v>
      </c>
      <c r="D1219" s="111">
        <v>46.49</v>
      </c>
    </row>
    <row r="1220" spans="1:4" ht="25.5" x14ac:dyDescent="0.25">
      <c r="A1220" s="106">
        <v>11137</v>
      </c>
      <c r="B1220" s="108" t="s">
        <v>6753</v>
      </c>
      <c r="C1220" s="110" t="s">
        <v>5757</v>
      </c>
      <c r="D1220" s="111">
        <v>51.85</v>
      </c>
    </row>
    <row r="1221" spans="1:4" ht="25.5" x14ac:dyDescent="0.25">
      <c r="A1221" s="106">
        <v>34745</v>
      </c>
      <c r="B1221" s="108" t="s">
        <v>6754</v>
      </c>
      <c r="C1221" s="110" t="s">
        <v>5757</v>
      </c>
      <c r="D1221" s="111">
        <v>59.09</v>
      </c>
    </row>
    <row r="1222" spans="1:4" ht="25.5" x14ac:dyDescent="0.25">
      <c r="A1222" s="106">
        <v>34746</v>
      </c>
      <c r="B1222" s="108" t="s">
        <v>6755</v>
      </c>
      <c r="C1222" s="110" t="s">
        <v>5757</v>
      </c>
      <c r="D1222" s="111">
        <v>15.22</v>
      </c>
    </row>
    <row r="1223" spans="1:4" ht="25.5" x14ac:dyDescent="0.25">
      <c r="A1223" s="106">
        <v>1360</v>
      </c>
      <c r="B1223" s="108" t="s">
        <v>6756</v>
      </c>
      <c r="C1223" s="110" t="s">
        <v>5757</v>
      </c>
      <c r="D1223" s="111">
        <v>18.79</v>
      </c>
    </row>
    <row r="1224" spans="1:4" ht="25.5" x14ac:dyDescent="0.25">
      <c r="A1224" s="106">
        <v>1346</v>
      </c>
      <c r="B1224" s="108" t="s">
        <v>6757</v>
      </c>
      <c r="C1224" s="110" t="s">
        <v>5757</v>
      </c>
      <c r="D1224" s="111">
        <v>25.93</v>
      </c>
    </row>
    <row r="1225" spans="1:4" ht="25.5" x14ac:dyDescent="0.25">
      <c r="A1225" s="106">
        <v>1345</v>
      </c>
      <c r="B1225" s="108" t="s">
        <v>6758</v>
      </c>
      <c r="C1225" s="110" t="s">
        <v>5757</v>
      </c>
      <c r="D1225" s="111">
        <v>42.02</v>
      </c>
    </row>
    <row r="1226" spans="1:4" ht="25.5" x14ac:dyDescent="0.25">
      <c r="A1226" s="106">
        <v>1347</v>
      </c>
      <c r="B1226" s="108" t="s">
        <v>6759</v>
      </c>
      <c r="C1226" s="110" t="s">
        <v>5757</v>
      </c>
      <c r="D1226" s="111">
        <v>30.99</v>
      </c>
    </row>
    <row r="1227" spans="1:4" ht="25.5" x14ac:dyDescent="0.25">
      <c r="A1227" s="106">
        <v>1355</v>
      </c>
      <c r="B1227" s="108" t="s">
        <v>6760</v>
      </c>
      <c r="C1227" s="110" t="s">
        <v>5757</v>
      </c>
      <c r="D1227" s="111">
        <v>22.97</v>
      </c>
    </row>
    <row r="1228" spans="1:4" ht="25.5" x14ac:dyDescent="0.25">
      <c r="A1228" s="106">
        <v>1358</v>
      </c>
      <c r="B1228" s="108" t="s">
        <v>6761</v>
      </c>
      <c r="C1228" s="110" t="s">
        <v>5757</v>
      </c>
      <c r="D1228" s="111">
        <v>26.61</v>
      </c>
    </row>
    <row r="1229" spans="1:4" x14ac:dyDescent="0.25">
      <c r="A1229" s="106">
        <v>34659</v>
      </c>
      <c r="B1229" s="108" t="s">
        <v>6762</v>
      </c>
      <c r="C1229" s="110" t="s">
        <v>5757</v>
      </c>
      <c r="D1229" s="111">
        <v>26.23</v>
      </c>
    </row>
    <row r="1230" spans="1:4" x14ac:dyDescent="0.25">
      <c r="A1230" s="106">
        <v>34514</v>
      </c>
      <c r="B1230" s="108" t="s">
        <v>6763</v>
      </c>
      <c r="C1230" s="110" t="s">
        <v>5757</v>
      </c>
      <c r="D1230" s="111">
        <v>29.06</v>
      </c>
    </row>
    <row r="1231" spans="1:4" x14ac:dyDescent="0.25">
      <c r="A1231" s="106">
        <v>34660</v>
      </c>
      <c r="B1231" s="108" t="s">
        <v>6764</v>
      </c>
      <c r="C1231" s="110" t="s">
        <v>5757</v>
      </c>
      <c r="D1231" s="111">
        <v>36.880000000000003</v>
      </c>
    </row>
    <row r="1232" spans="1:4" x14ac:dyDescent="0.25">
      <c r="A1232" s="106">
        <v>34661</v>
      </c>
      <c r="B1232" s="108" t="s">
        <v>6765</v>
      </c>
      <c r="C1232" s="110" t="s">
        <v>5757</v>
      </c>
      <c r="D1232" s="111">
        <v>52.97</v>
      </c>
    </row>
    <row r="1233" spans="1:4" x14ac:dyDescent="0.25">
      <c r="A1233" s="106">
        <v>34667</v>
      </c>
      <c r="B1233" s="108" t="s">
        <v>6766</v>
      </c>
      <c r="C1233" s="110" t="s">
        <v>5757</v>
      </c>
      <c r="D1233" s="111">
        <v>19.18</v>
      </c>
    </row>
    <row r="1234" spans="1:4" x14ac:dyDescent="0.25">
      <c r="A1234" s="106">
        <v>34668</v>
      </c>
      <c r="B1234" s="108" t="s">
        <v>6767</v>
      </c>
      <c r="C1234" s="110" t="s">
        <v>5757</v>
      </c>
      <c r="D1234" s="111">
        <v>25.06</v>
      </c>
    </row>
    <row r="1235" spans="1:4" x14ac:dyDescent="0.25">
      <c r="A1235" s="106">
        <v>34741</v>
      </c>
      <c r="B1235" s="108" t="s">
        <v>6768</v>
      </c>
      <c r="C1235" s="110" t="s">
        <v>5757</v>
      </c>
      <c r="D1235" s="111">
        <v>27.58</v>
      </c>
    </row>
    <row r="1236" spans="1:4" x14ac:dyDescent="0.25">
      <c r="A1236" s="106">
        <v>34664</v>
      </c>
      <c r="B1236" s="108" t="s">
        <v>6769</v>
      </c>
      <c r="C1236" s="110" t="s">
        <v>5757</v>
      </c>
      <c r="D1236" s="111">
        <v>30.09</v>
      </c>
    </row>
    <row r="1237" spans="1:4" x14ac:dyDescent="0.25">
      <c r="A1237" s="106">
        <v>34665</v>
      </c>
      <c r="B1237" s="108" t="s">
        <v>6770</v>
      </c>
      <c r="C1237" s="110" t="s">
        <v>5757</v>
      </c>
      <c r="D1237" s="111">
        <v>37.36</v>
      </c>
    </row>
    <row r="1238" spans="1:4" x14ac:dyDescent="0.25">
      <c r="A1238" s="106">
        <v>34666</v>
      </c>
      <c r="B1238" s="108" t="s">
        <v>6771</v>
      </c>
      <c r="C1238" s="110" t="s">
        <v>5757</v>
      </c>
      <c r="D1238" s="111">
        <v>56.43</v>
      </c>
    </row>
    <row r="1239" spans="1:4" x14ac:dyDescent="0.25">
      <c r="A1239" s="106">
        <v>34669</v>
      </c>
      <c r="B1239" s="108" t="s">
        <v>6772</v>
      </c>
      <c r="C1239" s="110" t="s">
        <v>5757</v>
      </c>
      <c r="D1239" s="111">
        <v>20.69</v>
      </c>
    </row>
    <row r="1240" spans="1:4" x14ac:dyDescent="0.25">
      <c r="A1240" s="106">
        <v>34670</v>
      </c>
      <c r="B1240" s="108" t="s">
        <v>6773</v>
      </c>
      <c r="C1240" s="110" t="s">
        <v>5757</v>
      </c>
      <c r="D1240" s="111">
        <v>25.3</v>
      </c>
    </row>
    <row r="1241" spans="1:4" x14ac:dyDescent="0.25">
      <c r="A1241" s="106">
        <v>34671</v>
      </c>
      <c r="B1241" s="108" t="s">
        <v>6774</v>
      </c>
      <c r="C1241" s="110" t="s">
        <v>5757</v>
      </c>
      <c r="D1241" s="111">
        <v>21.12</v>
      </c>
    </row>
    <row r="1242" spans="1:4" x14ac:dyDescent="0.25">
      <c r="A1242" s="106">
        <v>34672</v>
      </c>
      <c r="B1242" s="108" t="s">
        <v>6775</v>
      </c>
      <c r="C1242" s="110" t="s">
        <v>5757</v>
      </c>
      <c r="D1242" s="111">
        <v>22.27</v>
      </c>
    </row>
    <row r="1243" spans="1:4" x14ac:dyDescent="0.25">
      <c r="A1243" s="106">
        <v>34673</v>
      </c>
      <c r="B1243" s="108" t="s">
        <v>6776</v>
      </c>
      <c r="C1243" s="110" t="s">
        <v>5757</v>
      </c>
      <c r="D1243" s="111">
        <v>27.18</v>
      </c>
    </row>
    <row r="1244" spans="1:4" x14ac:dyDescent="0.25">
      <c r="A1244" s="106">
        <v>34674</v>
      </c>
      <c r="B1244" s="108" t="s">
        <v>6777</v>
      </c>
      <c r="C1244" s="110" t="s">
        <v>5757</v>
      </c>
      <c r="D1244" s="111">
        <v>36.130000000000003</v>
      </c>
    </row>
    <row r="1245" spans="1:4" x14ac:dyDescent="0.25">
      <c r="A1245" s="106">
        <v>34675</v>
      </c>
      <c r="B1245" s="108" t="s">
        <v>6778</v>
      </c>
      <c r="C1245" s="110" t="s">
        <v>5757</v>
      </c>
      <c r="D1245" s="111">
        <v>44.06</v>
      </c>
    </row>
    <row r="1246" spans="1:4" x14ac:dyDescent="0.25">
      <c r="A1246" s="106">
        <v>34676</v>
      </c>
      <c r="B1246" s="108" t="s">
        <v>6779</v>
      </c>
      <c r="C1246" s="110" t="s">
        <v>5757</v>
      </c>
      <c r="D1246" s="111">
        <v>12.68</v>
      </c>
    </row>
    <row r="1247" spans="1:4" x14ac:dyDescent="0.25">
      <c r="A1247" s="106">
        <v>34677</v>
      </c>
      <c r="B1247" s="108" t="s">
        <v>6780</v>
      </c>
      <c r="C1247" s="110" t="s">
        <v>5757</v>
      </c>
      <c r="D1247" s="111">
        <v>17.05</v>
      </c>
    </row>
    <row r="1248" spans="1:4" ht="25.5" x14ac:dyDescent="0.25">
      <c r="A1248" s="106">
        <v>43126</v>
      </c>
      <c r="B1248" s="108" t="s">
        <v>10668</v>
      </c>
      <c r="C1248" s="110" t="s">
        <v>5757</v>
      </c>
      <c r="D1248" s="111">
        <v>65.16</v>
      </c>
    </row>
    <row r="1249" spans="1:4" ht="25.5" x14ac:dyDescent="0.25">
      <c r="A1249" s="106">
        <v>43124</v>
      </c>
      <c r="B1249" s="108" t="s">
        <v>10669</v>
      </c>
      <c r="C1249" s="110" t="s">
        <v>5757</v>
      </c>
      <c r="D1249" s="111">
        <v>76.08</v>
      </c>
    </row>
    <row r="1250" spans="1:4" ht="25.5" x14ac:dyDescent="0.25">
      <c r="A1250" s="106">
        <v>43125</v>
      </c>
      <c r="B1250" s="108" t="s">
        <v>10670</v>
      </c>
      <c r="C1250" s="110" t="s">
        <v>5757</v>
      </c>
      <c r="D1250" s="111">
        <v>98.67</v>
      </c>
    </row>
    <row r="1251" spans="1:4" ht="38.25" x14ac:dyDescent="0.25">
      <c r="A1251" s="106">
        <v>40623</v>
      </c>
      <c r="B1251" s="108" t="s">
        <v>6781</v>
      </c>
      <c r="C1251" s="110" t="s">
        <v>6130</v>
      </c>
      <c r="D1251" s="111">
        <v>83.88</v>
      </c>
    </row>
    <row r="1252" spans="1:4" ht="25.5" x14ac:dyDescent="0.25">
      <c r="A1252" s="106">
        <v>43701</v>
      </c>
      <c r="B1252" s="108" t="s">
        <v>10671</v>
      </c>
      <c r="C1252" s="110" t="s">
        <v>5816</v>
      </c>
      <c r="D1252" s="111">
        <v>25.82</v>
      </c>
    </row>
    <row r="1253" spans="1:4" ht="38.25" x14ac:dyDescent="0.25">
      <c r="A1253" s="106">
        <v>12083</v>
      </c>
      <c r="B1253" s="108" t="s">
        <v>6782</v>
      </c>
      <c r="C1253" s="110" t="s">
        <v>5755</v>
      </c>
      <c r="D1253" s="111">
        <v>635.83000000000004</v>
      </c>
    </row>
    <row r="1254" spans="1:4" ht="38.25" x14ac:dyDescent="0.25">
      <c r="A1254" s="106">
        <v>12081</v>
      </c>
      <c r="B1254" s="108" t="s">
        <v>6783</v>
      </c>
      <c r="C1254" s="110" t="s">
        <v>5755</v>
      </c>
      <c r="D1254" s="111">
        <v>215.02</v>
      </c>
    </row>
    <row r="1255" spans="1:4" ht="38.25" x14ac:dyDescent="0.25">
      <c r="A1255" s="106">
        <v>12082</v>
      </c>
      <c r="B1255" s="108" t="s">
        <v>6784</v>
      </c>
      <c r="C1255" s="110" t="s">
        <v>5755</v>
      </c>
      <c r="D1255" s="111">
        <v>337.93</v>
      </c>
    </row>
    <row r="1256" spans="1:4" ht="38.25" x14ac:dyDescent="0.25">
      <c r="A1256" s="106">
        <v>13354</v>
      </c>
      <c r="B1256" s="108" t="s">
        <v>6785</v>
      </c>
      <c r="C1256" s="110" t="s">
        <v>5755</v>
      </c>
      <c r="D1256" s="111">
        <v>504.7</v>
      </c>
    </row>
    <row r="1257" spans="1:4" ht="38.25" x14ac:dyDescent="0.25">
      <c r="A1257" s="106">
        <v>14057</v>
      </c>
      <c r="B1257" s="108" t="s">
        <v>6786</v>
      </c>
      <c r="C1257" s="110" t="s">
        <v>5755</v>
      </c>
      <c r="D1257" s="111">
        <v>281.77999999999997</v>
      </c>
    </row>
    <row r="1258" spans="1:4" ht="38.25" x14ac:dyDescent="0.25">
      <c r="A1258" s="106">
        <v>14058</v>
      </c>
      <c r="B1258" s="108" t="s">
        <v>6787</v>
      </c>
      <c r="C1258" s="110" t="s">
        <v>5755</v>
      </c>
      <c r="D1258" s="111">
        <v>444.51</v>
      </c>
    </row>
    <row r="1259" spans="1:4" ht="25.5" x14ac:dyDescent="0.25">
      <c r="A1259" s="106">
        <v>20971</v>
      </c>
      <c r="B1259" s="108" t="s">
        <v>632</v>
      </c>
      <c r="C1259" s="110" t="s">
        <v>5755</v>
      </c>
      <c r="D1259" s="111">
        <v>12.4</v>
      </c>
    </row>
    <row r="1260" spans="1:4" ht="51" x14ac:dyDescent="0.25">
      <c r="A1260" s="106">
        <v>5047</v>
      </c>
      <c r="B1260" s="108" t="s">
        <v>6788</v>
      </c>
      <c r="C1260" s="110" t="s">
        <v>5755</v>
      </c>
      <c r="D1260" s="111">
        <v>302.85000000000002</v>
      </c>
    </row>
    <row r="1261" spans="1:4" ht="38.25" x14ac:dyDescent="0.25">
      <c r="A1261" s="106">
        <v>13369</v>
      </c>
      <c r="B1261" s="108" t="s">
        <v>6789</v>
      </c>
      <c r="C1261" s="110" t="s">
        <v>5755</v>
      </c>
      <c r="D1261" s="111">
        <v>328.51</v>
      </c>
    </row>
    <row r="1262" spans="1:4" ht="38.25" x14ac:dyDescent="0.25">
      <c r="A1262" s="106">
        <v>13370</v>
      </c>
      <c r="B1262" s="108" t="s">
        <v>6790</v>
      </c>
      <c r="C1262" s="110" t="s">
        <v>5755</v>
      </c>
      <c r="D1262" s="111">
        <v>455.39</v>
      </c>
    </row>
    <row r="1263" spans="1:4" ht="25.5" x14ac:dyDescent="0.25">
      <c r="A1263" s="106">
        <v>13279</v>
      </c>
      <c r="B1263" s="108" t="s">
        <v>6791</v>
      </c>
      <c r="C1263" s="110" t="s">
        <v>5816</v>
      </c>
      <c r="D1263" s="111">
        <v>14.34</v>
      </c>
    </row>
    <row r="1264" spans="1:4" x14ac:dyDescent="0.25">
      <c r="A1264" s="106">
        <v>11977</v>
      </c>
      <c r="B1264" s="108" t="s">
        <v>6792</v>
      </c>
      <c r="C1264" s="110" t="s">
        <v>5755</v>
      </c>
      <c r="D1264" s="111">
        <v>7.43</v>
      </c>
    </row>
    <row r="1265" spans="1:4" x14ac:dyDescent="0.25">
      <c r="A1265" s="106">
        <v>11975</v>
      </c>
      <c r="B1265" s="108" t="s">
        <v>6793</v>
      </c>
      <c r="C1265" s="110" t="s">
        <v>5755</v>
      </c>
      <c r="D1265" s="111">
        <v>16.29</v>
      </c>
    </row>
    <row r="1266" spans="1:4" ht="25.5" x14ac:dyDescent="0.25">
      <c r="A1266" s="106">
        <v>39746</v>
      </c>
      <c r="B1266" s="108" t="s">
        <v>6794</v>
      </c>
      <c r="C1266" s="110" t="s">
        <v>5755</v>
      </c>
      <c r="D1266" s="111">
        <v>181.27</v>
      </c>
    </row>
    <row r="1267" spans="1:4" x14ac:dyDescent="0.25">
      <c r="A1267" s="106">
        <v>11976</v>
      </c>
      <c r="B1267" s="108" t="s">
        <v>6795</v>
      </c>
      <c r="C1267" s="110" t="s">
        <v>5755</v>
      </c>
      <c r="D1267" s="111">
        <v>0.83</v>
      </c>
    </row>
    <row r="1268" spans="1:4" ht="25.5" x14ac:dyDescent="0.25">
      <c r="A1268" s="106">
        <v>1368</v>
      </c>
      <c r="B1268" s="108" t="s">
        <v>6796</v>
      </c>
      <c r="C1268" s="110" t="s">
        <v>5755</v>
      </c>
      <c r="D1268" s="111">
        <v>63.75</v>
      </c>
    </row>
    <row r="1269" spans="1:4" ht="25.5" x14ac:dyDescent="0.25">
      <c r="A1269" s="106">
        <v>1367</v>
      </c>
      <c r="B1269" s="108" t="s">
        <v>6797</v>
      </c>
      <c r="C1269" s="110" t="s">
        <v>5755</v>
      </c>
      <c r="D1269" s="111">
        <v>206.21</v>
      </c>
    </row>
    <row r="1270" spans="1:4" ht="25.5" x14ac:dyDescent="0.25">
      <c r="A1270" s="106">
        <v>7608</v>
      </c>
      <c r="B1270" s="108" t="s">
        <v>6798</v>
      </c>
      <c r="C1270" s="110" t="s">
        <v>5755</v>
      </c>
      <c r="D1270" s="111">
        <v>4.6399999999999997</v>
      </c>
    </row>
    <row r="1271" spans="1:4" ht="25.5" x14ac:dyDescent="0.25">
      <c r="A1271" s="106">
        <v>41900</v>
      </c>
      <c r="B1271" s="108" t="s">
        <v>6799</v>
      </c>
      <c r="C1271" s="110" t="s">
        <v>5816</v>
      </c>
      <c r="D1271" s="111">
        <v>3.22</v>
      </c>
    </row>
    <row r="1272" spans="1:4" ht="25.5" x14ac:dyDescent="0.25">
      <c r="A1272" s="106">
        <v>41899</v>
      </c>
      <c r="B1272" s="108" t="s">
        <v>6800</v>
      </c>
      <c r="C1272" s="110" t="s">
        <v>6700</v>
      </c>
      <c r="D1272" s="111">
        <v>3269.01</v>
      </c>
    </row>
    <row r="1273" spans="1:4" x14ac:dyDescent="0.25">
      <c r="A1273" s="106">
        <v>1380</v>
      </c>
      <c r="B1273" s="108" t="s">
        <v>432</v>
      </c>
      <c r="C1273" s="110" t="s">
        <v>5816</v>
      </c>
      <c r="D1273" s="111">
        <v>2.91</v>
      </c>
    </row>
    <row r="1274" spans="1:4" ht="25.5" x14ac:dyDescent="0.25">
      <c r="A1274" s="106">
        <v>1375</v>
      </c>
      <c r="B1274" s="108" t="s">
        <v>6801</v>
      </c>
      <c r="C1274" s="110" t="s">
        <v>5816</v>
      </c>
      <c r="D1274" s="111">
        <v>11.87</v>
      </c>
    </row>
    <row r="1275" spans="1:4" x14ac:dyDescent="0.25">
      <c r="A1275" s="106">
        <v>1379</v>
      </c>
      <c r="B1275" s="108" t="s">
        <v>440</v>
      </c>
      <c r="C1275" s="110" t="s">
        <v>5816</v>
      </c>
      <c r="D1275" s="111">
        <v>0.49</v>
      </c>
    </row>
    <row r="1276" spans="1:4" x14ac:dyDescent="0.25">
      <c r="A1276" s="106">
        <v>10511</v>
      </c>
      <c r="B1276" s="108" t="s">
        <v>6802</v>
      </c>
      <c r="C1276" s="110" t="s">
        <v>6803</v>
      </c>
      <c r="D1276" s="111">
        <v>24.8</v>
      </c>
    </row>
    <row r="1277" spans="1:4" x14ac:dyDescent="0.25">
      <c r="A1277" s="106">
        <v>13284</v>
      </c>
      <c r="B1277" s="108" t="s">
        <v>6804</v>
      </c>
      <c r="C1277" s="110" t="s">
        <v>5816</v>
      </c>
      <c r="D1277" s="111">
        <v>0.42</v>
      </c>
    </row>
    <row r="1278" spans="1:4" x14ac:dyDescent="0.25">
      <c r="A1278" s="106">
        <v>25974</v>
      </c>
      <c r="B1278" s="108" t="s">
        <v>6805</v>
      </c>
      <c r="C1278" s="110" t="s">
        <v>5816</v>
      </c>
      <c r="D1278" s="111">
        <v>1.66</v>
      </c>
    </row>
    <row r="1279" spans="1:4" x14ac:dyDescent="0.25">
      <c r="A1279" s="106">
        <v>1382</v>
      </c>
      <c r="B1279" s="108" t="s">
        <v>6806</v>
      </c>
      <c r="C1279" s="110" t="s">
        <v>6803</v>
      </c>
      <c r="D1279" s="111">
        <v>23.89</v>
      </c>
    </row>
    <row r="1280" spans="1:4" x14ac:dyDescent="0.25">
      <c r="A1280" s="106">
        <v>34753</v>
      </c>
      <c r="B1280" s="108" t="s">
        <v>6807</v>
      </c>
      <c r="C1280" s="110" t="s">
        <v>5816</v>
      </c>
      <c r="D1280" s="111">
        <v>0.47</v>
      </c>
    </row>
    <row r="1281" spans="1:4" ht="25.5" x14ac:dyDescent="0.25">
      <c r="A1281" s="106">
        <v>420</v>
      </c>
      <c r="B1281" s="108" t="s">
        <v>6808</v>
      </c>
      <c r="C1281" s="110" t="s">
        <v>5755</v>
      </c>
      <c r="D1281" s="111">
        <v>20.309999999999999</v>
      </c>
    </row>
    <row r="1282" spans="1:4" ht="25.5" x14ac:dyDescent="0.25">
      <c r="A1282" s="106">
        <v>12327</v>
      </c>
      <c r="B1282" s="108" t="s">
        <v>6809</v>
      </c>
      <c r="C1282" s="110" t="s">
        <v>5755</v>
      </c>
      <c r="D1282" s="111">
        <v>24.19</v>
      </c>
    </row>
    <row r="1283" spans="1:4" ht="25.5" x14ac:dyDescent="0.25">
      <c r="A1283" s="106">
        <v>36148</v>
      </c>
      <c r="B1283" s="108" t="s">
        <v>6810</v>
      </c>
      <c r="C1283" s="110" t="s">
        <v>5755</v>
      </c>
      <c r="D1283" s="111">
        <v>57.36</v>
      </c>
    </row>
    <row r="1284" spans="1:4" x14ac:dyDescent="0.25">
      <c r="A1284" s="106">
        <v>12329</v>
      </c>
      <c r="B1284" s="108" t="s">
        <v>6811</v>
      </c>
      <c r="C1284" s="110" t="s">
        <v>5816</v>
      </c>
      <c r="D1284" s="111">
        <v>84.29</v>
      </c>
    </row>
    <row r="1285" spans="1:4" ht="25.5" x14ac:dyDescent="0.25">
      <c r="A1285" s="106">
        <v>1339</v>
      </c>
      <c r="B1285" s="108" t="s">
        <v>6812</v>
      </c>
      <c r="C1285" s="110" t="s">
        <v>5816</v>
      </c>
      <c r="D1285" s="111">
        <v>29.23</v>
      </c>
    </row>
    <row r="1286" spans="1:4" x14ac:dyDescent="0.25">
      <c r="A1286" s="106">
        <v>11849</v>
      </c>
      <c r="B1286" s="108" t="s">
        <v>6813</v>
      </c>
      <c r="C1286" s="110" t="s">
        <v>5818</v>
      </c>
      <c r="D1286" s="111">
        <v>8.6</v>
      </c>
    </row>
    <row r="1287" spans="1:4" ht="25.5" x14ac:dyDescent="0.25">
      <c r="A1287" s="106">
        <v>37418</v>
      </c>
      <c r="B1287" s="108" t="s">
        <v>6814</v>
      </c>
      <c r="C1287" s="110" t="s">
        <v>5755</v>
      </c>
      <c r="D1287" s="111">
        <v>15.12</v>
      </c>
    </row>
    <row r="1288" spans="1:4" ht="25.5" x14ac:dyDescent="0.25">
      <c r="A1288" s="106">
        <v>37419</v>
      </c>
      <c r="B1288" s="108" t="s">
        <v>6815</v>
      </c>
      <c r="C1288" s="110" t="s">
        <v>5755</v>
      </c>
      <c r="D1288" s="111">
        <v>15.53</v>
      </c>
    </row>
    <row r="1289" spans="1:4" ht="25.5" x14ac:dyDescent="0.25">
      <c r="A1289" s="106">
        <v>1427</v>
      </c>
      <c r="B1289" s="108" t="s">
        <v>6816</v>
      </c>
      <c r="C1289" s="110" t="s">
        <v>5755</v>
      </c>
      <c r="D1289" s="111">
        <v>14.4</v>
      </c>
    </row>
    <row r="1290" spans="1:4" ht="25.5" x14ac:dyDescent="0.25">
      <c r="A1290" s="106">
        <v>1402</v>
      </c>
      <c r="B1290" s="108" t="s">
        <v>6817</v>
      </c>
      <c r="C1290" s="110" t="s">
        <v>5755</v>
      </c>
      <c r="D1290" s="111">
        <v>4.9800000000000004</v>
      </c>
    </row>
    <row r="1291" spans="1:4" ht="25.5" x14ac:dyDescent="0.25">
      <c r="A1291" s="106">
        <v>1420</v>
      </c>
      <c r="B1291" s="108" t="s">
        <v>6818</v>
      </c>
      <c r="C1291" s="110" t="s">
        <v>5755</v>
      </c>
      <c r="D1291" s="111">
        <v>6.41</v>
      </c>
    </row>
    <row r="1292" spans="1:4" ht="25.5" x14ac:dyDescent="0.25">
      <c r="A1292" s="106">
        <v>1419</v>
      </c>
      <c r="B1292" s="108" t="s">
        <v>6819</v>
      </c>
      <c r="C1292" s="110" t="s">
        <v>5755</v>
      </c>
      <c r="D1292" s="111">
        <v>7.74</v>
      </c>
    </row>
    <row r="1293" spans="1:4" ht="25.5" x14ac:dyDescent="0.25">
      <c r="A1293" s="106">
        <v>1414</v>
      </c>
      <c r="B1293" s="108" t="s">
        <v>6820</v>
      </c>
      <c r="C1293" s="110" t="s">
        <v>5755</v>
      </c>
      <c r="D1293" s="111">
        <v>7.57</v>
      </c>
    </row>
    <row r="1294" spans="1:4" ht="25.5" x14ac:dyDescent="0.25">
      <c r="A1294" s="106">
        <v>1413</v>
      </c>
      <c r="B1294" s="108" t="s">
        <v>616</v>
      </c>
      <c r="C1294" s="110" t="s">
        <v>5755</v>
      </c>
      <c r="D1294" s="111">
        <v>11.18</v>
      </c>
    </row>
    <row r="1295" spans="1:4" ht="25.5" x14ac:dyDescent="0.25">
      <c r="A1295" s="106">
        <v>1412</v>
      </c>
      <c r="B1295" s="108" t="s">
        <v>6821</v>
      </c>
      <c r="C1295" s="110" t="s">
        <v>5755</v>
      </c>
      <c r="D1295" s="111">
        <v>9.48</v>
      </c>
    </row>
    <row r="1296" spans="1:4" ht="38.25" x14ac:dyDescent="0.25">
      <c r="A1296" s="106">
        <v>1411</v>
      </c>
      <c r="B1296" s="108" t="s">
        <v>6822</v>
      </c>
      <c r="C1296" s="110" t="s">
        <v>5755</v>
      </c>
      <c r="D1296" s="111">
        <v>17.239999999999998</v>
      </c>
    </row>
    <row r="1297" spans="1:4" ht="38.25" x14ac:dyDescent="0.25">
      <c r="A1297" s="106">
        <v>1406</v>
      </c>
      <c r="B1297" s="108" t="s">
        <v>6823</v>
      </c>
      <c r="C1297" s="110" t="s">
        <v>5755</v>
      </c>
      <c r="D1297" s="111">
        <v>11.43</v>
      </c>
    </row>
    <row r="1298" spans="1:4" ht="38.25" x14ac:dyDescent="0.25">
      <c r="A1298" s="106">
        <v>1407</v>
      </c>
      <c r="B1298" s="108" t="s">
        <v>6824</v>
      </c>
      <c r="C1298" s="110" t="s">
        <v>5755</v>
      </c>
      <c r="D1298" s="111">
        <v>14.26</v>
      </c>
    </row>
    <row r="1299" spans="1:4" ht="38.25" x14ac:dyDescent="0.25">
      <c r="A1299" s="106">
        <v>1404</v>
      </c>
      <c r="B1299" s="108" t="s">
        <v>6825</v>
      </c>
      <c r="C1299" s="110" t="s">
        <v>5755</v>
      </c>
      <c r="D1299" s="111">
        <v>15.16</v>
      </c>
    </row>
    <row r="1300" spans="1:4" ht="63.75" x14ac:dyDescent="0.25">
      <c r="A1300" s="106">
        <v>11281</v>
      </c>
      <c r="B1300" s="108" t="s">
        <v>6826</v>
      </c>
      <c r="C1300" s="110" t="s">
        <v>5755</v>
      </c>
      <c r="D1300" s="111">
        <v>7805</v>
      </c>
    </row>
    <row r="1301" spans="1:4" ht="63.75" x14ac:dyDescent="0.25">
      <c r="A1301" s="106">
        <v>1442</v>
      </c>
      <c r="B1301" s="108" t="s">
        <v>10455</v>
      </c>
      <c r="C1301" s="110" t="s">
        <v>5755</v>
      </c>
      <c r="D1301" s="111">
        <v>6552.24</v>
      </c>
    </row>
    <row r="1302" spans="1:4" ht="63.75" x14ac:dyDescent="0.25">
      <c r="A1302" s="106">
        <v>13457</v>
      </c>
      <c r="B1302" s="108" t="s">
        <v>10456</v>
      </c>
      <c r="C1302" s="110" t="s">
        <v>5755</v>
      </c>
      <c r="D1302" s="111">
        <v>5655.79</v>
      </c>
    </row>
    <row r="1303" spans="1:4" ht="76.5" x14ac:dyDescent="0.25">
      <c r="A1303" s="106">
        <v>40699</v>
      </c>
      <c r="B1303" s="108" t="s">
        <v>6827</v>
      </c>
      <c r="C1303" s="110" t="s">
        <v>5755</v>
      </c>
      <c r="D1303" s="111">
        <v>4372.1400000000003</v>
      </c>
    </row>
    <row r="1304" spans="1:4" ht="63.75" x14ac:dyDescent="0.25">
      <c r="A1304" s="106">
        <v>40701</v>
      </c>
      <c r="B1304" s="108" t="s">
        <v>6828</v>
      </c>
      <c r="C1304" s="110" t="s">
        <v>5755</v>
      </c>
      <c r="D1304" s="111">
        <v>77305.52</v>
      </c>
    </row>
    <row r="1305" spans="1:4" ht="76.5" x14ac:dyDescent="0.25">
      <c r="A1305" s="106">
        <v>40700</v>
      </c>
      <c r="B1305" s="108" t="s">
        <v>6829</v>
      </c>
      <c r="C1305" s="110" t="s">
        <v>5755</v>
      </c>
      <c r="D1305" s="111">
        <v>10177.780000000001</v>
      </c>
    </row>
    <row r="1306" spans="1:4" ht="25.5" x14ac:dyDescent="0.25">
      <c r="A1306" s="106">
        <v>13458</v>
      </c>
      <c r="B1306" s="108" t="s">
        <v>6830</v>
      </c>
      <c r="C1306" s="110" t="s">
        <v>5755</v>
      </c>
      <c r="D1306" s="111">
        <v>9671.41</v>
      </c>
    </row>
    <row r="1307" spans="1:4" ht="25.5" x14ac:dyDescent="0.25">
      <c r="A1307" s="106">
        <v>36524</v>
      </c>
      <c r="B1307" s="108" t="s">
        <v>6831</v>
      </c>
      <c r="C1307" s="110" t="s">
        <v>5755</v>
      </c>
      <c r="D1307" s="111">
        <v>86280.46</v>
      </c>
    </row>
    <row r="1308" spans="1:4" ht="25.5" x14ac:dyDescent="0.25">
      <c r="A1308" s="106">
        <v>36526</v>
      </c>
      <c r="B1308" s="108" t="s">
        <v>6832</v>
      </c>
      <c r="C1308" s="110" t="s">
        <v>5755</v>
      </c>
      <c r="D1308" s="111">
        <v>69528.3</v>
      </c>
    </row>
    <row r="1309" spans="1:4" ht="25.5" x14ac:dyDescent="0.25">
      <c r="A1309" s="106">
        <v>36523</v>
      </c>
      <c r="B1309" s="108" t="s">
        <v>6833</v>
      </c>
      <c r="C1309" s="110" t="s">
        <v>5755</v>
      </c>
      <c r="D1309" s="111">
        <v>148850.72</v>
      </c>
    </row>
    <row r="1310" spans="1:4" ht="25.5" x14ac:dyDescent="0.25">
      <c r="A1310" s="106">
        <v>36527</v>
      </c>
      <c r="B1310" s="108" t="s">
        <v>6834</v>
      </c>
      <c r="C1310" s="110" t="s">
        <v>5755</v>
      </c>
      <c r="D1310" s="111">
        <v>161682.54</v>
      </c>
    </row>
    <row r="1311" spans="1:4" ht="25.5" x14ac:dyDescent="0.25">
      <c r="A1311" s="106">
        <v>13803</v>
      </c>
      <c r="B1311" s="108" t="s">
        <v>6835</v>
      </c>
      <c r="C1311" s="110" t="s">
        <v>5755</v>
      </c>
      <c r="D1311" s="111">
        <v>58463</v>
      </c>
    </row>
    <row r="1312" spans="1:4" ht="25.5" x14ac:dyDescent="0.25">
      <c r="A1312" s="106">
        <v>38642</v>
      </c>
      <c r="B1312" s="108" t="s">
        <v>6836</v>
      </c>
      <c r="C1312" s="110" t="s">
        <v>5755</v>
      </c>
      <c r="D1312" s="111">
        <v>37643.839999999997</v>
      </c>
    </row>
    <row r="1313" spans="1:4" ht="25.5" x14ac:dyDescent="0.25">
      <c r="A1313" s="106">
        <v>36522</v>
      </c>
      <c r="B1313" s="108" t="s">
        <v>6837</v>
      </c>
      <c r="C1313" s="110" t="s">
        <v>5755</v>
      </c>
      <c r="D1313" s="111">
        <v>43779.34</v>
      </c>
    </row>
    <row r="1314" spans="1:4" ht="25.5" x14ac:dyDescent="0.25">
      <c r="A1314" s="106">
        <v>36525</v>
      </c>
      <c r="B1314" s="108" t="s">
        <v>6838</v>
      </c>
      <c r="C1314" s="110" t="s">
        <v>5755</v>
      </c>
      <c r="D1314" s="111">
        <v>58630.76</v>
      </c>
    </row>
    <row r="1315" spans="1:4" ht="38.25" x14ac:dyDescent="0.25">
      <c r="A1315" s="106">
        <v>41991</v>
      </c>
      <c r="B1315" s="108" t="s">
        <v>6839</v>
      </c>
      <c r="C1315" s="110" t="s">
        <v>5755</v>
      </c>
      <c r="D1315" s="111">
        <v>2166.4899999999998</v>
      </c>
    </row>
    <row r="1316" spans="1:4" ht="25.5" x14ac:dyDescent="0.25">
      <c r="A1316" s="106">
        <v>34348</v>
      </c>
      <c r="B1316" s="108" t="s">
        <v>6840</v>
      </c>
      <c r="C1316" s="110" t="s">
        <v>5767</v>
      </c>
      <c r="D1316" s="111">
        <v>13.82</v>
      </c>
    </row>
    <row r="1317" spans="1:4" ht="25.5" x14ac:dyDescent="0.25">
      <c r="A1317" s="106">
        <v>34347</v>
      </c>
      <c r="B1317" s="108" t="s">
        <v>6841</v>
      </c>
      <c r="C1317" s="110" t="s">
        <v>5767</v>
      </c>
      <c r="D1317" s="111">
        <v>9.8800000000000008</v>
      </c>
    </row>
    <row r="1318" spans="1:4" ht="25.5" x14ac:dyDescent="0.25">
      <c r="A1318" s="106">
        <v>11146</v>
      </c>
      <c r="B1318" s="108" t="s">
        <v>6842</v>
      </c>
      <c r="C1318" s="110" t="s">
        <v>5902</v>
      </c>
      <c r="D1318" s="111">
        <v>412.74</v>
      </c>
    </row>
    <row r="1319" spans="1:4" ht="25.5" x14ac:dyDescent="0.25">
      <c r="A1319" s="106">
        <v>11147</v>
      </c>
      <c r="B1319" s="108" t="s">
        <v>6843</v>
      </c>
      <c r="C1319" s="110" t="s">
        <v>5902</v>
      </c>
      <c r="D1319" s="111">
        <v>428.89</v>
      </c>
    </row>
    <row r="1320" spans="1:4" ht="25.5" x14ac:dyDescent="0.25">
      <c r="A1320" s="106">
        <v>34872</v>
      </c>
      <c r="B1320" s="108" t="s">
        <v>6844</v>
      </c>
      <c r="C1320" s="110" t="s">
        <v>5902</v>
      </c>
      <c r="D1320" s="111">
        <v>433.71</v>
      </c>
    </row>
    <row r="1321" spans="1:4" ht="25.5" x14ac:dyDescent="0.25">
      <c r="A1321" s="106">
        <v>34491</v>
      </c>
      <c r="B1321" s="108" t="s">
        <v>6845</v>
      </c>
      <c r="C1321" s="110" t="s">
        <v>5902</v>
      </c>
      <c r="D1321" s="111">
        <v>446.28</v>
      </c>
    </row>
    <row r="1322" spans="1:4" ht="38.25" x14ac:dyDescent="0.25">
      <c r="A1322" s="106">
        <v>34770</v>
      </c>
      <c r="B1322" s="108" t="s">
        <v>6846</v>
      </c>
      <c r="C1322" s="110" t="s">
        <v>6700</v>
      </c>
      <c r="D1322" s="111">
        <v>320.27999999999997</v>
      </c>
    </row>
    <row r="1323" spans="1:4" ht="38.25" x14ac:dyDescent="0.25">
      <c r="A1323" s="106">
        <v>1518</v>
      </c>
      <c r="B1323" s="108" t="s">
        <v>6847</v>
      </c>
      <c r="C1323" s="110" t="s">
        <v>6700</v>
      </c>
      <c r="D1323" s="111">
        <v>326.52</v>
      </c>
    </row>
    <row r="1324" spans="1:4" ht="38.25" x14ac:dyDescent="0.25">
      <c r="A1324" s="106">
        <v>41965</v>
      </c>
      <c r="B1324" s="108" t="s">
        <v>6848</v>
      </c>
      <c r="C1324" s="110" t="s">
        <v>6700</v>
      </c>
      <c r="D1324" s="111">
        <v>316.33</v>
      </c>
    </row>
    <row r="1325" spans="1:4" ht="38.25" x14ac:dyDescent="0.25">
      <c r="A1325" s="106">
        <v>34492</v>
      </c>
      <c r="B1325" s="108" t="s">
        <v>6849</v>
      </c>
      <c r="C1325" s="110" t="s">
        <v>5902</v>
      </c>
      <c r="D1325" s="111">
        <v>366.8</v>
      </c>
    </row>
    <row r="1326" spans="1:4" ht="38.25" x14ac:dyDescent="0.25">
      <c r="A1326" s="106">
        <v>1524</v>
      </c>
      <c r="B1326" s="108" t="s">
        <v>6850</v>
      </c>
      <c r="C1326" s="110" t="s">
        <v>5902</v>
      </c>
      <c r="D1326" s="111">
        <v>396</v>
      </c>
    </row>
    <row r="1327" spans="1:4" ht="38.25" x14ac:dyDescent="0.25">
      <c r="A1327" s="106">
        <v>38404</v>
      </c>
      <c r="B1327" s="108" t="s">
        <v>6851</v>
      </c>
      <c r="C1327" s="110" t="s">
        <v>5902</v>
      </c>
      <c r="D1327" s="111">
        <v>379.93</v>
      </c>
    </row>
    <row r="1328" spans="1:4" ht="38.25" x14ac:dyDescent="0.25">
      <c r="A1328" s="106">
        <v>39849</v>
      </c>
      <c r="B1328" s="108" t="s">
        <v>6852</v>
      </c>
      <c r="C1328" s="110" t="s">
        <v>5902</v>
      </c>
      <c r="D1328" s="111">
        <v>435.41</v>
      </c>
    </row>
    <row r="1329" spans="1:4" ht="38.25" x14ac:dyDescent="0.25">
      <c r="A1329" s="106">
        <v>38464</v>
      </c>
      <c r="B1329" s="108" t="s">
        <v>6853</v>
      </c>
      <c r="C1329" s="110" t="s">
        <v>5902</v>
      </c>
      <c r="D1329" s="111">
        <v>441.72</v>
      </c>
    </row>
    <row r="1330" spans="1:4" ht="38.25" x14ac:dyDescent="0.25">
      <c r="A1330" s="106">
        <v>34493</v>
      </c>
      <c r="B1330" s="108" t="s">
        <v>6854</v>
      </c>
      <c r="C1330" s="110" t="s">
        <v>5902</v>
      </c>
      <c r="D1330" s="111">
        <v>377.14</v>
      </c>
    </row>
    <row r="1331" spans="1:4" ht="38.25" x14ac:dyDescent="0.25">
      <c r="A1331" s="106">
        <v>1527</v>
      </c>
      <c r="B1331" s="108" t="s">
        <v>6855</v>
      </c>
      <c r="C1331" s="110" t="s">
        <v>5902</v>
      </c>
      <c r="D1331" s="111">
        <v>408.57</v>
      </c>
    </row>
    <row r="1332" spans="1:4" ht="38.25" x14ac:dyDescent="0.25">
      <c r="A1332" s="106">
        <v>38405</v>
      </c>
      <c r="B1332" s="108" t="s">
        <v>6856</v>
      </c>
      <c r="C1332" s="110" t="s">
        <v>5902</v>
      </c>
      <c r="D1332" s="111">
        <v>391.65</v>
      </c>
    </row>
    <row r="1333" spans="1:4" ht="38.25" x14ac:dyDescent="0.25">
      <c r="A1333" s="106">
        <v>38408</v>
      </c>
      <c r="B1333" s="108" t="s">
        <v>6857</v>
      </c>
      <c r="C1333" s="110" t="s">
        <v>5902</v>
      </c>
      <c r="D1333" s="111">
        <v>433.52</v>
      </c>
    </row>
    <row r="1334" spans="1:4" ht="38.25" x14ac:dyDescent="0.25">
      <c r="A1334" s="106">
        <v>34494</v>
      </c>
      <c r="B1334" s="108" t="s">
        <v>6858</v>
      </c>
      <c r="C1334" s="110" t="s">
        <v>5902</v>
      </c>
      <c r="D1334" s="111">
        <v>389.71</v>
      </c>
    </row>
    <row r="1335" spans="1:4" ht="38.25" x14ac:dyDescent="0.25">
      <c r="A1335" s="106">
        <v>1525</v>
      </c>
      <c r="B1335" s="108" t="s">
        <v>503</v>
      </c>
      <c r="C1335" s="110" t="s">
        <v>5902</v>
      </c>
      <c r="D1335" s="111">
        <v>421.14</v>
      </c>
    </row>
    <row r="1336" spans="1:4" ht="38.25" x14ac:dyDescent="0.25">
      <c r="A1336" s="106">
        <v>38406</v>
      </c>
      <c r="B1336" s="108" t="s">
        <v>6859</v>
      </c>
      <c r="C1336" s="110" t="s">
        <v>5902</v>
      </c>
      <c r="D1336" s="111">
        <v>413.56</v>
      </c>
    </row>
    <row r="1337" spans="1:4" ht="38.25" x14ac:dyDescent="0.25">
      <c r="A1337" s="106">
        <v>38409</v>
      </c>
      <c r="B1337" s="108" t="s">
        <v>6860</v>
      </c>
      <c r="C1337" s="110" t="s">
        <v>5902</v>
      </c>
      <c r="D1337" s="111">
        <v>436.47</v>
      </c>
    </row>
    <row r="1338" spans="1:4" ht="38.25" x14ac:dyDescent="0.25">
      <c r="A1338" s="106">
        <v>43360</v>
      </c>
      <c r="B1338" s="108" t="s">
        <v>13074</v>
      </c>
      <c r="C1338" s="110" t="s">
        <v>5902</v>
      </c>
      <c r="D1338" s="111">
        <v>455.12</v>
      </c>
    </row>
    <row r="1339" spans="1:4" ht="38.25" x14ac:dyDescent="0.25">
      <c r="A1339" s="106">
        <v>34495</v>
      </c>
      <c r="B1339" s="108" t="s">
        <v>6861</v>
      </c>
      <c r="C1339" s="110" t="s">
        <v>5902</v>
      </c>
      <c r="D1339" s="111">
        <v>402.28</v>
      </c>
    </row>
    <row r="1340" spans="1:4" ht="38.25" x14ac:dyDescent="0.25">
      <c r="A1340" s="106">
        <v>11145</v>
      </c>
      <c r="B1340" s="108" t="s">
        <v>6862</v>
      </c>
      <c r="C1340" s="110" t="s">
        <v>5902</v>
      </c>
      <c r="D1340" s="111">
        <v>433.71</v>
      </c>
    </row>
    <row r="1341" spans="1:4" ht="38.25" x14ac:dyDescent="0.25">
      <c r="A1341" s="106">
        <v>34496</v>
      </c>
      <c r="B1341" s="108" t="s">
        <v>6863</v>
      </c>
      <c r="C1341" s="110" t="s">
        <v>5902</v>
      </c>
      <c r="D1341" s="111">
        <v>419.65</v>
      </c>
    </row>
    <row r="1342" spans="1:4" ht="38.25" x14ac:dyDescent="0.25">
      <c r="A1342" s="106">
        <v>34479</v>
      </c>
      <c r="B1342" s="108" t="s">
        <v>6864</v>
      </c>
      <c r="C1342" s="110" t="s">
        <v>5902</v>
      </c>
      <c r="D1342" s="111">
        <v>446.28</v>
      </c>
    </row>
    <row r="1343" spans="1:4" ht="38.25" x14ac:dyDescent="0.25">
      <c r="A1343" s="106">
        <v>34481</v>
      </c>
      <c r="B1343" s="108" t="s">
        <v>6865</v>
      </c>
      <c r="C1343" s="110" t="s">
        <v>5902</v>
      </c>
      <c r="D1343" s="111">
        <v>466.31</v>
      </c>
    </row>
    <row r="1344" spans="1:4" ht="38.25" x14ac:dyDescent="0.25">
      <c r="A1344" s="106">
        <v>34483</v>
      </c>
      <c r="B1344" s="108" t="s">
        <v>6866</v>
      </c>
      <c r="C1344" s="110" t="s">
        <v>5902</v>
      </c>
      <c r="D1344" s="111">
        <v>498.22</v>
      </c>
    </row>
    <row r="1345" spans="1:4" ht="38.25" x14ac:dyDescent="0.25">
      <c r="A1345" s="106">
        <v>34485</v>
      </c>
      <c r="B1345" s="108" t="s">
        <v>6867</v>
      </c>
      <c r="C1345" s="110" t="s">
        <v>5902</v>
      </c>
      <c r="D1345" s="111">
        <v>532.79</v>
      </c>
    </row>
    <row r="1346" spans="1:4" ht="38.25" x14ac:dyDescent="0.25">
      <c r="A1346" s="106">
        <v>34497</v>
      </c>
      <c r="B1346" s="108" t="s">
        <v>6868</v>
      </c>
      <c r="C1346" s="110" t="s">
        <v>5902</v>
      </c>
      <c r="D1346" s="111">
        <v>672.57</v>
      </c>
    </row>
    <row r="1347" spans="1:4" ht="38.25" x14ac:dyDescent="0.25">
      <c r="A1347" s="106">
        <v>14041</v>
      </c>
      <c r="B1347" s="108" t="s">
        <v>6869</v>
      </c>
      <c r="C1347" s="110" t="s">
        <v>5902</v>
      </c>
      <c r="D1347" s="111">
        <v>346.34</v>
      </c>
    </row>
    <row r="1348" spans="1:4" ht="38.25" x14ac:dyDescent="0.25">
      <c r="A1348" s="106">
        <v>1523</v>
      </c>
      <c r="B1348" s="108" t="s">
        <v>6870</v>
      </c>
      <c r="C1348" s="110" t="s">
        <v>5902</v>
      </c>
      <c r="D1348" s="111">
        <v>352</v>
      </c>
    </row>
    <row r="1349" spans="1:4" ht="25.5" x14ac:dyDescent="0.25">
      <c r="A1349" s="106">
        <v>14052</v>
      </c>
      <c r="B1349" s="108" t="s">
        <v>6871</v>
      </c>
      <c r="C1349" s="110" t="s">
        <v>5755</v>
      </c>
      <c r="D1349" s="111">
        <v>7.75</v>
      </c>
    </row>
    <row r="1350" spans="1:4" ht="25.5" x14ac:dyDescent="0.25">
      <c r="A1350" s="106">
        <v>14054</v>
      </c>
      <c r="B1350" s="108" t="s">
        <v>6872</v>
      </c>
      <c r="C1350" s="110" t="s">
        <v>5755</v>
      </c>
      <c r="D1350" s="111">
        <v>10.07</v>
      </c>
    </row>
    <row r="1351" spans="1:4" ht="25.5" x14ac:dyDescent="0.25">
      <c r="A1351" s="106">
        <v>14053</v>
      </c>
      <c r="B1351" s="108" t="s">
        <v>6873</v>
      </c>
      <c r="C1351" s="110" t="s">
        <v>5755</v>
      </c>
      <c r="D1351" s="111">
        <v>7.87</v>
      </c>
    </row>
    <row r="1352" spans="1:4" ht="25.5" x14ac:dyDescent="0.25">
      <c r="A1352" s="106">
        <v>2558</v>
      </c>
      <c r="B1352" s="108" t="s">
        <v>6874</v>
      </c>
      <c r="C1352" s="110" t="s">
        <v>5755</v>
      </c>
      <c r="D1352" s="111">
        <v>5.92</v>
      </c>
    </row>
    <row r="1353" spans="1:4" ht="25.5" x14ac:dyDescent="0.25">
      <c r="A1353" s="106">
        <v>2560</v>
      </c>
      <c r="B1353" s="108" t="s">
        <v>6875</v>
      </c>
      <c r="C1353" s="110" t="s">
        <v>5755</v>
      </c>
      <c r="D1353" s="111">
        <v>10.43</v>
      </c>
    </row>
    <row r="1354" spans="1:4" ht="25.5" x14ac:dyDescent="0.25">
      <c r="A1354" s="106">
        <v>2559</v>
      </c>
      <c r="B1354" s="108" t="s">
        <v>6876</v>
      </c>
      <c r="C1354" s="110" t="s">
        <v>5755</v>
      </c>
      <c r="D1354" s="111">
        <v>8.34</v>
      </c>
    </row>
    <row r="1355" spans="1:4" ht="25.5" x14ac:dyDescent="0.25">
      <c r="A1355" s="106">
        <v>2592</v>
      </c>
      <c r="B1355" s="108" t="s">
        <v>6877</v>
      </c>
      <c r="C1355" s="110" t="s">
        <v>5755</v>
      </c>
      <c r="D1355" s="111">
        <v>138.26</v>
      </c>
    </row>
    <row r="1356" spans="1:4" ht="25.5" x14ac:dyDescent="0.25">
      <c r="A1356" s="106">
        <v>2566</v>
      </c>
      <c r="B1356" s="108" t="s">
        <v>6878</v>
      </c>
      <c r="C1356" s="110" t="s">
        <v>5755</v>
      </c>
      <c r="D1356" s="111">
        <v>13.91</v>
      </c>
    </row>
    <row r="1357" spans="1:4" ht="25.5" x14ac:dyDescent="0.25">
      <c r="A1357" s="106">
        <v>2589</v>
      </c>
      <c r="B1357" s="108" t="s">
        <v>6879</v>
      </c>
      <c r="C1357" s="110" t="s">
        <v>5755</v>
      </c>
      <c r="D1357" s="111">
        <v>18.489999999999998</v>
      </c>
    </row>
    <row r="1358" spans="1:4" ht="25.5" x14ac:dyDescent="0.25">
      <c r="A1358" s="106">
        <v>2591</v>
      </c>
      <c r="B1358" s="108" t="s">
        <v>6880</v>
      </c>
      <c r="C1358" s="110" t="s">
        <v>5755</v>
      </c>
      <c r="D1358" s="111">
        <v>6.74</v>
      </c>
    </row>
    <row r="1359" spans="1:4" ht="25.5" x14ac:dyDescent="0.25">
      <c r="A1359" s="106">
        <v>2590</v>
      </c>
      <c r="B1359" s="108" t="s">
        <v>6881</v>
      </c>
      <c r="C1359" s="110" t="s">
        <v>5755</v>
      </c>
      <c r="D1359" s="111">
        <v>11.35</v>
      </c>
    </row>
    <row r="1360" spans="1:4" ht="25.5" x14ac:dyDescent="0.25">
      <c r="A1360" s="106">
        <v>2567</v>
      </c>
      <c r="B1360" s="108" t="s">
        <v>6882</v>
      </c>
      <c r="C1360" s="110" t="s">
        <v>5755</v>
      </c>
      <c r="D1360" s="111">
        <v>27.12</v>
      </c>
    </row>
    <row r="1361" spans="1:4" ht="25.5" x14ac:dyDescent="0.25">
      <c r="A1361" s="106">
        <v>2565</v>
      </c>
      <c r="B1361" s="108" t="s">
        <v>6883</v>
      </c>
      <c r="C1361" s="110" t="s">
        <v>5755</v>
      </c>
      <c r="D1361" s="111">
        <v>6.75</v>
      </c>
    </row>
    <row r="1362" spans="1:4" ht="25.5" x14ac:dyDescent="0.25">
      <c r="A1362" s="106">
        <v>2568</v>
      </c>
      <c r="B1362" s="108" t="s">
        <v>6884</v>
      </c>
      <c r="C1362" s="110" t="s">
        <v>5755</v>
      </c>
      <c r="D1362" s="111">
        <v>75.319999999999993</v>
      </c>
    </row>
    <row r="1363" spans="1:4" ht="25.5" x14ac:dyDescent="0.25">
      <c r="A1363" s="106">
        <v>2594</v>
      </c>
      <c r="B1363" s="108" t="s">
        <v>6885</v>
      </c>
      <c r="C1363" s="110" t="s">
        <v>5755</v>
      </c>
      <c r="D1363" s="111">
        <v>125.49</v>
      </c>
    </row>
    <row r="1364" spans="1:4" ht="25.5" x14ac:dyDescent="0.25">
      <c r="A1364" s="106">
        <v>2587</v>
      </c>
      <c r="B1364" s="108" t="s">
        <v>6886</v>
      </c>
      <c r="C1364" s="110" t="s">
        <v>5755</v>
      </c>
      <c r="D1364" s="111">
        <v>21.38</v>
      </c>
    </row>
    <row r="1365" spans="1:4" ht="25.5" x14ac:dyDescent="0.25">
      <c r="A1365" s="106">
        <v>2588</v>
      </c>
      <c r="B1365" s="108" t="s">
        <v>6887</v>
      </c>
      <c r="C1365" s="110" t="s">
        <v>5755</v>
      </c>
      <c r="D1365" s="111">
        <v>16.989999999999998</v>
      </c>
    </row>
    <row r="1366" spans="1:4" ht="25.5" x14ac:dyDescent="0.25">
      <c r="A1366" s="106">
        <v>2569</v>
      </c>
      <c r="B1366" s="108" t="s">
        <v>6888</v>
      </c>
      <c r="C1366" s="110" t="s">
        <v>5755</v>
      </c>
      <c r="D1366" s="111">
        <v>6.54</v>
      </c>
    </row>
    <row r="1367" spans="1:4" ht="25.5" x14ac:dyDescent="0.25">
      <c r="A1367" s="106">
        <v>2570</v>
      </c>
      <c r="B1367" s="108" t="s">
        <v>516</v>
      </c>
      <c r="C1367" s="110" t="s">
        <v>5755</v>
      </c>
      <c r="D1367" s="111">
        <v>10.97</v>
      </c>
    </row>
    <row r="1368" spans="1:4" ht="25.5" x14ac:dyDescent="0.25">
      <c r="A1368" s="106">
        <v>2571</v>
      </c>
      <c r="B1368" s="108" t="s">
        <v>6889</v>
      </c>
      <c r="C1368" s="110" t="s">
        <v>5755</v>
      </c>
      <c r="D1368" s="111">
        <v>32.57</v>
      </c>
    </row>
    <row r="1369" spans="1:4" ht="25.5" x14ac:dyDescent="0.25">
      <c r="A1369" s="106">
        <v>2593</v>
      </c>
      <c r="B1369" s="108" t="s">
        <v>6890</v>
      </c>
      <c r="C1369" s="110" t="s">
        <v>5755</v>
      </c>
      <c r="D1369" s="111">
        <v>6.98</v>
      </c>
    </row>
    <row r="1370" spans="1:4" ht="25.5" x14ac:dyDescent="0.25">
      <c r="A1370" s="106">
        <v>2572</v>
      </c>
      <c r="B1370" s="108" t="s">
        <v>6891</v>
      </c>
      <c r="C1370" s="110" t="s">
        <v>5755</v>
      </c>
      <c r="D1370" s="111">
        <v>96.33</v>
      </c>
    </row>
    <row r="1371" spans="1:4" ht="25.5" x14ac:dyDescent="0.25">
      <c r="A1371" s="106">
        <v>2595</v>
      </c>
      <c r="B1371" s="108" t="s">
        <v>6892</v>
      </c>
      <c r="C1371" s="110" t="s">
        <v>5755</v>
      </c>
      <c r="D1371" s="111">
        <v>150.29</v>
      </c>
    </row>
    <row r="1372" spans="1:4" ht="25.5" x14ac:dyDescent="0.25">
      <c r="A1372" s="106">
        <v>2576</v>
      </c>
      <c r="B1372" s="108" t="s">
        <v>6893</v>
      </c>
      <c r="C1372" s="110" t="s">
        <v>5755</v>
      </c>
      <c r="D1372" s="111">
        <v>25.62</v>
      </c>
    </row>
    <row r="1373" spans="1:4" ht="25.5" x14ac:dyDescent="0.25">
      <c r="A1373" s="106">
        <v>2575</v>
      </c>
      <c r="B1373" s="108" t="s">
        <v>6894</v>
      </c>
      <c r="C1373" s="110" t="s">
        <v>5755</v>
      </c>
      <c r="D1373" s="111">
        <v>19.260000000000002</v>
      </c>
    </row>
    <row r="1374" spans="1:4" ht="25.5" x14ac:dyDescent="0.25">
      <c r="A1374" s="106">
        <v>2573</v>
      </c>
      <c r="B1374" s="108" t="s">
        <v>6895</v>
      </c>
      <c r="C1374" s="110" t="s">
        <v>5755</v>
      </c>
      <c r="D1374" s="111">
        <v>8</v>
      </c>
    </row>
    <row r="1375" spans="1:4" ht="25.5" x14ac:dyDescent="0.25">
      <c r="A1375" s="106">
        <v>2586</v>
      </c>
      <c r="B1375" s="108" t="s">
        <v>6896</v>
      </c>
      <c r="C1375" s="110" t="s">
        <v>5755</v>
      </c>
      <c r="D1375" s="111">
        <v>12.96</v>
      </c>
    </row>
    <row r="1376" spans="1:4" ht="25.5" x14ac:dyDescent="0.25">
      <c r="A1376" s="106">
        <v>2577</v>
      </c>
      <c r="B1376" s="108" t="s">
        <v>6897</v>
      </c>
      <c r="C1376" s="110" t="s">
        <v>5755</v>
      </c>
      <c r="D1376" s="111">
        <v>34.71</v>
      </c>
    </row>
    <row r="1377" spans="1:4" ht="25.5" x14ac:dyDescent="0.25">
      <c r="A1377" s="106">
        <v>2574</v>
      </c>
      <c r="B1377" s="108" t="s">
        <v>6898</v>
      </c>
      <c r="C1377" s="110" t="s">
        <v>5755</v>
      </c>
      <c r="D1377" s="111">
        <v>8.0500000000000007</v>
      </c>
    </row>
    <row r="1378" spans="1:4" ht="25.5" x14ac:dyDescent="0.25">
      <c r="A1378" s="106">
        <v>2578</v>
      </c>
      <c r="B1378" s="108" t="s">
        <v>6899</v>
      </c>
      <c r="C1378" s="110" t="s">
        <v>5755</v>
      </c>
      <c r="D1378" s="111">
        <v>108.39</v>
      </c>
    </row>
    <row r="1379" spans="1:4" ht="25.5" x14ac:dyDescent="0.25">
      <c r="A1379" s="106">
        <v>2585</v>
      </c>
      <c r="B1379" s="108" t="s">
        <v>6900</v>
      </c>
      <c r="C1379" s="110" t="s">
        <v>5755</v>
      </c>
      <c r="D1379" s="111">
        <v>148.72999999999999</v>
      </c>
    </row>
    <row r="1380" spans="1:4" ht="25.5" x14ac:dyDescent="0.25">
      <c r="A1380" s="106">
        <v>12008</v>
      </c>
      <c r="B1380" s="108" t="s">
        <v>6901</v>
      </c>
      <c r="C1380" s="110" t="s">
        <v>5755</v>
      </c>
      <c r="D1380" s="111">
        <v>79.8</v>
      </c>
    </row>
    <row r="1381" spans="1:4" ht="25.5" x14ac:dyDescent="0.25">
      <c r="A1381" s="106">
        <v>2582</v>
      </c>
      <c r="B1381" s="108" t="s">
        <v>6902</v>
      </c>
      <c r="C1381" s="110" t="s">
        <v>5755</v>
      </c>
      <c r="D1381" s="111">
        <v>23.76</v>
      </c>
    </row>
    <row r="1382" spans="1:4" ht="25.5" x14ac:dyDescent="0.25">
      <c r="A1382" s="106">
        <v>2597</v>
      </c>
      <c r="B1382" s="108" t="s">
        <v>6903</v>
      </c>
      <c r="C1382" s="110" t="s">
        <v>5755</v>
      </c>
      <c r="D1382" s="111">
        <v>20.36</v>
      </c>
    </row>
    <row r="1383" spans="1:4" ht="25.5" x14ac:dyDescent="0.25">
      <c r="A1383" s="106">
        <v>2579</v>
      </c>
      <c r="B1383" s="108" t="s">
        <v>6904</v>
      </c>
      <c r="C1383" s="110" t="s">
        <v>5755</v>
      </c>
      <c r="D1383" s="111">
        <v>9.69</v>
      </c>
    </row>
    <row r="1384" spans="1:4" ht="25.5" x14ac:dyDescent="0.25">
      <c r="A1384" s="106">
        <v>2581</v>
      </c>
      <c r="B1384" s="108" t="s">
        <v>6905</v>
      </c>
      <c r="C1384" s="110" t="s">
        <v>5755</v>
      </c>
      <c r="D1384" s="111">
        <v>12.41</v>
      </c>
    </row>
    <row r="1385" spans="1:4" ht="25.5" x14ac:dyDescent="0.25">
      <c r="A1385" s="106">
        <v>2596</v>
      </c>
      <c r="B1385" s="108" t="s">
        <v>6906</v>
      </c>
      <c r="C1385" s="110" t="s">
        <v>5755</v>
      </c>
      <c r="D1385" s="111">
        <v>36.69</v>
      </c>
    </row>
    <row r="1386" spans="1:4" ht="25.5" x14ac:dyDescent="0.25">
      <c r="A1386" s="106">
        <v>2580</v>
      </c>
      <c r="B1386" s="108" t="s">
        <v>6907</v>
      </c>
      <c r="C1386" s="110" t="s">
        <v>5755</v>
      </c>
      <c r="D1386" s="111">
        <v>10.62</v>
      </c>
    </row>
    <row r="1387" spans="1:4" ht="25.5" x14ac:dyDescent="0.25">
      <c r="A1387" s="106">
        <v>2583</v>
      </c>
      <c r="B1387" s="108" t="s">
        <v>6908</v>
      </c>
      <c r="C1387" s="110" t="s">
        <v>5755</v>
      </c>
      <c r="D1387" s="111">
        <v>89.25</v>
      </c>
    </row>
    <row r="1388" spans="1:4" ht="25.5" x14ac:dyDescent="0.25">
      <c r="A1388" s="106">
        <v>2584</v>
      </c>
      <c r="B1388" s="108" t="s">
        <v>6909</v>
      </c>
      <c r="C1388" s="110" t="s">
        <v>5755</v>
      </c>
      <c r="D1388" s="111">
        <v>148.58000000000001</v>
      </c>
    </row>
    <row r="1389" spans="1:4" x14ac:dyDescent="0.25">
      <c r="A1389" s="106">
        <v>12010</v>
      </c>
      <c r="B1389" s="108" t="s">
        <v>6910</v>
      </c>
      <c r="C1389" s="110" t="s">
        <v>5755</v>
      </c>
      <c r="D1389" s="111">
        <v>6.94</v>
      </c>
    </row>
    <row r="1390" spans="1:4" x14ac:dyDescent="0.25">
      <c r="A1390" s="106">
        <v>39329</v>
      </c>
      <c r="B1390" s="108" t="s">
        <v>6911</v>
      </c>
      <c r="C1390" s="110" t="s">
        <v>5755</v>
      </c>
      <c r="D1390" s="111">
        <v>7.26</v>
      </c>
    </row>
    <row r="1391" spans="1:4" x14ac:dyDescent="0.25">
      <c r="A1391" s="106">
        <v>39330</v>
      </c>
      <c r="B1391" s="108" t="s">
        <v>6912</v>
      </c>
      <c r="C1391" s="110" t="s">
        <v>5755</v>
      </c>
      <c r="D1391" s="111">
        <v>7.64</v>
      </c>
    </row>
    <row r="1392" spans="1:4" x14ac:dyDescent="0.25">
      <c r="A1392" s="106">
        <v>39332</v>
      </c>
      <c r="B1392" s="108" t="s">
        <v>6913</v>
      </c>
      <c r="C1392" s="110" t="s">
        <v>5755</v>
      </c>
      <c r="D1392" s="111">
        <v>8.5399999999999991</v>
      </c>
    </row>
    <row r="1393" spans="1:4" x14ac:dyDescent="0.25">
      <c r="A1393" s="106">
        <v>39331</v>
      </c>
      <c r="B1393" s="108" t="s">
        <v>6914</v>
      </c>
      <c r="C1393" s="110" t="s">
        <v>5755</v>
      </c>
      <c r="D1393" s="111">
        <v>6.79</v>
      </c>
    </row>
    <row r="1394" spans="1:4" x14ac:dyDescent="0.25">
      <c r="A1394" s="106">
        <v>39333</v>
      </c>
      <c r="B1394" s="108" t="s">
        <v>6915</v>
      </c>
      <c r="C1394" s="110" t="s">
        <v>5755</v>
      </c>
      <c r="D1394" s="111">
        <v>6.62</v>
      </c>
    </row>
    <row r="1395" spans="1:4" x14ac:dyDescent="0.25">
      <c r="A1395" s="106">
        <v>39335</v>
      </c>
      <c r="B1395" s="108" t="s">
        <v>6916</v>
      </c>
      <c r="C1395" s="110" t="s">
        <v>5755</v>
      </c>
      <c r="D1395" s="111">
        <v>7.66</v>
      </c>
    </row>
    <row r="1396" spans="1:4" x14ac:dyDescent="0.25">
      <c r="A1396" s="106">
        <v>39334</v>
      </c>
      <c r="B1396" s="108" t="s">
        <v>6917</v>
      </c>
      <c r="C1396" s="110" t="s">
        <v>5755</v>
      </c>
      <c r="D1396" s="111">
        <v>6.09</v>
      </c>
    </row>
    <row r="1397" spans="1:4" x14ac:dyDescent="0.25">
      <c r="A1397" s="106">
        <v>12016</v>
      </c>
      <c r="B1397" s="108" t="s">
        <v>6918</v>
      </c>
      <c r="C1397" s="110" t="s">
        <v>5755</v>
      </c>
      <c r="D1397" s="111">
        <v>7.65</v>
      </c>
    </row>
    <row r="1398" spans="1:4" x14ac:dyDescent="0.25">
      <c r="A1398" s="106">
        <v>12015</v>
      </c>
      <c r="B1398" s="108" t="s">
        <v>6919</v>
      </c>
      <c r="C1398" s="110" t="s">
        <v>5755</v>
      </c>
      <c r="D1398" s="111">
        <v>8.9</v>
      </c>
    </row>
    <row r="1399" spans="1:4" x14ac:dyDescent="0.25">
      <c r="A1399" s="106">
        <v>12020</v>
      </c>
      <c r="B1399" s="108" t="s">
        <v>6920</v>
      </c>
      <c r="C1399" s="110" t="s">
        <v>5755</v>
      </c>
      <c r="D1399" s="111">
        <v>7.65</v>
      </c>
    </row>
    <row r="1400" spans="1:4" x14ac:dyDescent="0.25">
      <c r="A1400" s="106">
        <v>12019</v>
      </c>
      <c r="B1400" s="108" t="s">
        <v>6921</v>
      </c>
      <c r="C1400" s="110" t="s">
        <v>5755</v>
      </c>
      <c r="D1400" s="111">
        <v>8.9</v>
      </c>
    </row>
    <row r="1401" spans="1:4" x14ac:dyDescent="0.25">
      <c r="A1401" s="106">
        <v>39336</v>
      </c>
      <c r="B1401" s="108" t="s">
        <v>6922</v>
      </c>
      <c r="C1401" s="110" t="s">
        <v>5755</v>
      </c>
      <c r="D1401" s="111">
        <v>7.64</v>
      </c>
    </row>
    <row r="1402" spans="1:4" x14ac:dyDescent="0.25">
      <c r="A1402" s="106">
        <v>39338</v>
      </c>
      <c r="B1402" s="108" t="s">
        <v>6923</v>
      </c>
      <c r="C1402" s="110" t="s">
        <v>5755</v>
      </c>
      <c r="D1402" s="111">
        <v>8.5399999999999991</v>
      </c>
    </row>
    <row r="1403" spans="1:4" x14ac:dyDescent="0.25">
      <c r="A1403" s="106">
        <v>39337</v>
      </c>
      <c r="B1403" s="108" t="s">
        <v>6924</v>
      </c>
      <c r="C1403" s="110" t="s">
        <v>5755</v>
      </c>
      <c r="D1403" s="111">
        <v>6.79</v>
      </c>
    </row>
    <row r="1404" spans="1:4" x14ac:dyDescent="0.25">
      <c r="A1404" s="106">
        <v>39341</v>
      </c>
      <c r="B1404" s="108" t="s">
        <v>6925</v>
      </c>
      <c r="C1404" s="110" t="s">
        <v>5755</v>
      </c>
      <c r="D1404" s="111">
        <v>11.13</v>
      </c>
    </row>
    <row r="1405" spans="1:4" x14ac:dyDescent="0.25">
      <c r="A1405" s="106">
        <v>39340</v>
      </c>
      <c r="B1405" s="108" t="s">
        <v>6926</v>
      </c>
      <c r="C1405" s="110" t="s">
        <v>5755</v>
      </c>
      <c r="D1405" s="111">
        <v>8.17</v>
      </c>
    </row>
    <row r="1406" spans="1:4" x14ac:dyDescent="0.25">
      <c r="A1406" s="106">
        <v>12025</v>
      </c>
      <c r="B1406" s="108" t="s">
        <v>6927</v>
      </c>
      <c r="C1406" s="110" t="s">
        <v>5755</v>
      </c>
      <c r="D1406" s="111">
        <v>8.44</v>
      </c>
    </row>
    <row r="1407" spans="1:4" x14ac:dyDescent="0.25">
      <c r="A1407" s="106">
        <v>39342</v>
      </c>
      <c r="B1407" s="108" t="s">
        <v>6928</v>
      </c>
      <c r="C1407" s="110" t="s">
        <v>5755</v>
      </c>
      <c r="D1407" s="111">
        <v>11.13</v>
      </c>
    </row>
    <row r="1408" spans="1:4" x14ac:dyDescent="0.25">
      <c r="A1408" s="106">
        <v>39343</v>
      </c>
      <c r="B1408" s="108" t="s">
        <v>6929</v>
      </c>
      <c r="C1408" s="110" t="s">
        <v>5755</v>
      </c>
      <c r="D1408" s="111">
        <v>9.4</v>
      </c>
    </row>
    <row r="1409" spans="1:4" x14ac:dyDescent="0.25">
      <c r="A1409" s="106">
        <v>39345</v>
      </c>
      <c r="B1409" s="108" t="s">
        <v>6930</v>
      </c>
      <c r="C1409" s="110" t="s">
        <v>5755</v>
      </c>
      <c r="D1409" s="111">
        <v>12.72</v>
      </c>
    </row>
    <row r="1410" spans="1:4" x14ac:dyDescent="0.25">
      <c r="A1410" s="106">
        <v>39344</v>
      </c>
      <c r="B1410" s="108" t="s">
        <v>6931</v>
      </c>
      <c r="C1410" s="110" t="s">
        <v>5755</v>
      </c>
      <c r="D1410" s="111">
        <v>9.08</v>
      </c>
    </row>
    <row r="1411" spans="1:4" ht="25.5" x14ac:dyDescent="0.25">
      <c r="A1411" s="106">
        <v>12623</v>
      </c>
      <c r="B1411" s="108" t="s">
        <v>6932</v>
      </c>
      <c r="C1411" s="110" t="s">
        <v>5767</v>
      </c>
      <c r="D1411" s="111">
        <v>9.58</v>
      </c>
    </row>
    <row r="1412" spans="1:4" x14ac:dyDescent="0.25">
      <c r="A1412" s="106">
        <v>34498</v>
      </c>
      <c r="B1412" s="108" t="s">
        <v>6933</v>
      </c>
      <c r="C1412" s="110" t="s">
        <v>5755</v>
      </c>
      <c r="D1412" s="111">
        <v>73.05</v>
      </c>
    </row>
    <row r="1413" spans="1:4" ht="25.5" x14ac:dyDescent="0.25">
      <c r="A1413" s="106">
        <v>13244</v>
      </c>
      <c r="B1413" s="108" t="s">
        <v>6934</v>
      </c>
      <c r="C1413" s="110" t="s">
        <v>5755</v>
      </c>
      <c r="D1413" s="111">
        <v>30.75</v>
      </c>
    </row>
    <row r="1414" spans="1:4" ht="25.5" x14ac:dyDescent="0.25">
      <c r="A1414" s="106">
        <v>38998</v>
      </c>
      <c r="B1414" s="108" t="s">
        <v>6935</v>
      </c>
      <c r="C1414" s="110" t="s">
        <v>5755</v>
      </c>
      <c r="D1414" s="111">
        <v>8.6300000000000008</v>
      </c>
    </row>
    <row r="1415" spans="1:4" ht="25.5" x14ac:dyDescent="0.25">
      <c r="A1415" s="106">
        <v>38999</v>
      </c>
      <c r="B1415" s="108" t="s">
        <v>6936</v>
      </c>
      <c r="C1415" s="110" t="s">
        <v>5755</v>
      </c>
      <c r="D1415" s="111">
        <v>14.28</v>
      </c>
    </row>
    <row r="1416" spans="1:4" ht="25.5" x14ac:dyDescent="0.25">
      <c r="A1416" s="106">
        <v>38996</v>
      </c>
      <c r="B1416" s="108" t="s">
        <v>6937</v>
      </c>
      <c r="C1416" s="110" t="s">
        <v>5755</v>
      </c>
      <c r="D1416" s="111">
        <v>12.47</v>
      </c>
    </row>
    <row r="1417" spans="1:4" ht="25.5" x14ac:dyDescent="0.25">
      <c r="A1417" s="106">
        <v>38997</v>
      </c>
      <c r="B1417" s="108" t="s">
        <v>6938</v>
      </c>
      <c r="C1417" s="110" t="s">
        <v>5755</v>
      </c>
      <c r="D1417" s="111">
        <v>20.190000000000001</v>
      </c>
    </row>
    <row r="1418" spans="1:4" ht="25.5" x14ac:dyDescent="0.25">
      <c r="A1418" s="106">
        <v>39862</v>
      </c>
      <c r="B1418" s="108" t="s">
        <v>6939</v>
      </c>
      <c r="C1418" s="110" t="s">
        <v>5755</v>
      </c>
      <c r="D1418" s="111">
        <v>9.07</v>
      </c>
    </row>
    <row r="1419" spans="1:4" ht="25.5" x14ac:dyDescent="0.25">
      <c r="A1419" s="106">
        <v>39863</v>
      </c>
      <c r="B1419" s="108" t="s">
        <v>6940</v>
      </c>
      <c r="C1419" s="110" t="s">
        <v>5755</v>
      </c>
      <c r="D1419" s="111">
        <v>9.19</v>
      </c>
    </row>
    <row r="1420" spans="1:4" ht="25.5" x14ac:dyDescent="0.25">
      <c r="A1420" s="106">
        <v>39864</v>
      </c>
      <c r="B1420" s="108" t="s">
        <v>6941</v>
      </c>
      <c r="C1420" s="110" t="s">
        <v>5755</v>
      </c>
      <c r="D1420" s="111">
        <v>11.41</v>
      </c>
    </row>
    <row r="1421" spans="1:4" ht="25.5" x14ac:dyDescent="0.25">
      <c r="A1421" s="106">
        <v>39865</v>
      </c>
      <c r="B1421" s="108" t="s">
        <v>6942</v>
      </c>
      <c r="C1421" s="110" t="s">
        <v>5755</v>
      </c>
      <c r="D1421" s="111">
        <v>16.079999999999998</v>
      </c>
    </row>
    <row r="1422" spans="1:4" ht="25.5" x14ac:dyDescent="0.25">
      <c r="A1422" s="106">
        <v>2517</v>
      </c>
      <c r="B1422" s="108" t="s">
        <v>6943</v>
      </c>
      <c r="C1422" s="110" t="s">
        <v>5755</v>
      </c>
      <c r="D1422" s="111">
        <v>14.8</v>
      </c>
    </row>
    <row r="1423" spans="1:4" ht="25.5" x14ac:dyDescent="0.25">
      <c r="A1423" s="106">
        <v>2522</v>
      </c>
      <c r="B1423" s="108" t="s">
        <v>6944</v>
      </c>
      <c r="C1423" s="110" t="s">
        <v>5755</v>
      </c>
      <c r="D1423" s="111">
        <v>9.56</v>
      </c>
    </row>
    <row r="1424" spans="1:4" ht="25.5" x14ac:dyDescent="0.25">
      <c r="A1424" s="106">
        <v>2548</v>
      </c>
      <c r="B1424" s="108" t="s">
        <v>6945</v>
      </c>
      <c r="C1424" s="110" t="s">
        <v>5755</v>
      </c>
      <c r="D1424" s="111">
        <v>5.88</v>
      </c>
    </row>
    <row r="1425" spans="1:4" ht="25.5" x14ac:dyDescent="0.25">
      <c r="A1425" s="106">
        <v>2516</v>
      </c>
      <c r="B1425" s="108" t="s">
        <v>6946</v>
      </c>
      <c r="C1425" s="110" t="s">
        <v>5755</v>
      </c>
      <c r="D1425" s="111">
        <v>7.68</v>
      </c>
    </row>
    <row r="1426" spans="1:4" ht="25.5" x14ac:dyDescent="0.25">
      <c r="A1426" s="106">
        <v>2518</v>
      </c>
      <c r="B1426" s="108" t="s">
        <v>6947</v>
      </c>
      <c r="C1426" s="110" t="s">
        <v>5755</v>
      </c>
      <c r="D1426" s="111">
        <v>70.459999999999994</v>
      </c>
    </row>
    <row r="1427" spans="1:4" ht="25.5" x14ac:dyDescent="0.25">
      <c r="A1427" s="106">
        <v>2521</v>
      </c>
      <c r="B1427" s="108" t="s">
        <v>6948</v>
      </c>
      <c r="C1427" s="110" t="s">
        <v>5755</v>
      </c>
      <c r="D1427" s="111">
        <v>29.99</v>
      </c>
    </row>
    <row r="1428" spans="1:4" ht="25.5" x14ac:dyDescent="0.25">
      <c r="A1428" s="106">
        <v>2515</v>
      </c>
      <c r="B1428" s="108" t="s">
        <v>6949</v>
      </c>
      <c r="C1428" s="110" t="s">
        <v>5755</v>
      </c>
      <c r="D1428" s="111">
        <v>6.39</v>
      </c>
    </row>
    <row r="1429" spans="1:4" ht="25.5" x14ac:dyDescent="0.25">
      <c r="A1429" s="106">
        <v>2519</v>
      </c>
      <c r="B1429" s="108" t="s">
        <v>6950</v>
      </c>
      <c r="C1429" s="110" t="s">
        <v>5755</v>
      </c>
      <c r="D1429" s="111">
        <v>84.96</v>
      </c>
    </row>
    <row r="1430" spans="1:4" ht="25.5" x14ac:dyDescent="0.25">
      <c r="A1430" s="106">
        <v>2520</v>
      </c>
      <c r="B1430" s="108" t="s">
        <v>6951</v>
      </c>
      <c r="C1430" s="110" t="s">
        <v>5755</v>
      </c>
      <c r="D1430" s="111">
        <v>156.38</v>
      </c>
    </row>
    <row r="1431" spans="1:4" ht="25.5" x14ac:dyDescent="0.25">
      <c r="A1431" s="106">
        <v>1602</v>
      </c>
      <c r="B1431" s="108" t="s">
        <v>6952</v>
      </c>
      <c r="C1431" s="110" t="s">
        <v>5755</v>
      </c>
      <c r="D1431" s="111">
        <v>34.32</v>
      </c>
    </row>
    <row r="1432" spans="1:4" ht="25.5" x14ac:dyDescent="0.25">
      <c r="A1432" s="106">
        <v>1601</v>
      </c>
      <c r="B1432" s="108" t="s">
        <v>6953</v>
      </c>
      <c r="C1432" s="110" t="s">
        <v>5755</v>
      </c>
      <c r="D1432" s="111">
        <v>30.59</v>
      </c>
    </row>
    <row r="1433" spans="1:4" ht="25.5" x14ac:dyDescent="0.25">
      <c r="A1433" s="106">
        <v>1598</v>
      </c>
      <c r="B1433" s="108" t="s">
        <v>6954</v>
      </c>
      <c r="C1433" s="110" t="s">
        <v>5755</v>
      </c>
      <c r="D1433" s="111">
        <v>9.0500000000000007</v>
      </c>
    </row>
    <row r="1434" spans="1:4" ht="25.5" x14ac:dyDescent="0.25">
      <c r="A1434" s="106">
        <v>1600</v>
      </c>
      <c r="B1434" s="108" t="s">
        <v>6955</v>
      </c>
      <c r="C1434" s="110" t="s">
        <v>5755</v>
      </c>
      <c r="D1434" s="111">
        <v>13.36</v>
      </c>
    </row>
    <row r="1435" spans="1:4" ht="25.5" x14ac:dyDescent="0.25">
      <c r="A1435" s="106">
        <v>1603</v>
      </c>
      <c r="B1435" s="108" t="s">
        <v>6956</v>
      </c>
      <c r="C1435" s="110" t="s">
        <v>5755</v>
      </c>
      <c r="D1435" s="111">
        <v>51.82</v>
      </c>
    </row>
    <row r="1436" spans="1:4" ht="25.5" x14ac:dyDescent="0.25">
      <c r="A1436" s="106">
        <v>1599</v>
      </c>
      <c r="B1436" s="108" t="s">
        <v>6957</v>
      </c>
      <c r="C1436" s="110" t="s">
        <v>5755</v>
      </c>
      <c r="D1436" s="111">
        <v>10.5</v>
      </c>
    </row>
    <row r="1437" spans="1:4" ht="25.5" x14ac:dyDescent="0.25">
      <c r="A1437" s="106">
        <v>1597</v>
      </c>
      <c r="B1437" s="108" t="s">
        <v>6958</v>
      </c>
      <c r="C1437" s="110" t="s">
        <v>5755</v>
      </c>
      <c r="D1437" s="111">
        <v>8.51</v>
      </c>
    </row>
    <row r="1438" spans="1:4" x14ac:dyDescent="0.25">
      <c r="A1438" s="106">
        <v>39600</v>
      </c>
      <c r="B1438" s="108" t="s">
        <v>6959</v>
      </c>
      <c r="C1438" s="110" t="s">
        <v>5755</v>
      </c>
      <c r="D1438" s="111">
        <v>8.19</v>
      </c>
    </row>
    <row r="1439" spans="1:4" x14ac:dyDescent="0.25">
      <c r="A1439" s="106">
        <v>39601</v>
      </c>
      <c r="B1439" s="108" t="s">
        <v>6960</v>
      </c>
      <c r="C1439" s="110" t="s">
        <v>5755</v>
      </c>
      <c r="D1439" s="111">
        <v>14.25</v>
      </c>
    </row>
    <row r="1440" spans="1:4" x14ac:dyDescent="0.25">
      <c r="A1440" s="106">
        <v>39602</v>
      </c>
      <c r="B1440" s="108" t="s">
        <v>6961</v>
      </c>
      <c r="C1440" s="110" t="s">
        <v>5755</v>
      </c>
      <c r="D1440" s="111">
        <v>0.93</v>
      </c>
    </row>
    <row r="1441" spans="1:4" x14ac:dyDescent="0.25">
      <c r="A1441" s="106">
        <v>39603</v>
      </c>
      <c r="B1441" s="108" t="s">
        <v>6962</v>
      </c>
      <c r="C1441" s="110" t="s">
        <v>5755</v>
      </c>
      <c r="D1441" s="111">
        <v>1.6</v>
      </c>
    </row>
    <row r="1442" spans="1:4" ht="25.5" x14ac:dyDescent="0.25">
      <c r="A1442" s="106">
        <v>11821</v>
      </c>
      <c r="B1442" s="108" t="s">
        <v>6963</v>
      </c>
      <c r="C1442" s="110" t="s">
        <v>5755</v>
      </c>
      <c r="D1442" s="111">
        <v>6.99</v>
      </c>
    </row>
    <row r="1443" spans="1:4" ht="25.5" x14ac:dyDescent="0.25">
      <c r="A1443" s="106">
        <v>1562</v>
      </c>
      <c r="B1443" s="108" t="s">
        <v>6964</v>
      </c>
      <c r="C1443" s="110" t="s">
        <v>5755</v>
      </c>
      <c r="D1443" s="111">
        <v>11.45</v>
      </c>
    </row>
    <row r="1444" spans="1:4" ht="25.5" x14ac:dyDescent="0.25">
      <c r="A1444" s="106">
        <v>1563</v>
      </c>
      <c r="B1444" s="108" t="s">
        <v>6965</v>
      </c>
      <c r="C1444" s="110" t="s">
        <v>5755</v>
      </c>
      <c r="D1444" s="111">
        <v>15.36</v>
      </c>
    </row>
    <row r="1445" spans="1:4" ht="25.5" x14ac:dyDescent="0.25">
      <c r="A1445" s="106">
        <v>11856</v>
      </c>
      <c r="B1445" s="108" t="s">
        <v>6966</v>
      </c>
      <c r="C1445" s="110" t="s">
        <v>5755</v>
      </c>
      <c r="D1445" s="111">
        <v>4.58</v>
      </c>
    </row>
    <row r="1446" spans="1:4" ht="25.5" x14ac:dyDescent="0.25">
      <c r="A1446" s="106">
        <v>11857</v>
      </c>
      <c r="B1446" s="108" t="s">
        <v>6967</v>
      </c>
      <c r="C1446" s="110" t="s">
        <v>5755</v>
      </c>
      <c r="D1446" s="111">
        <v>24.1</v>
      </c>
    </row>
    <row r="1447" spans="1:4" ht="25.5" x14ac:dyDescent="0.25">
      <c r="A1447" s="106">
        <v>11858</v>
      </c>
      <c r="B1447" s="108" t="s">
        <v>6968</v>
      </c>
      <c r="C1447" s="110" t="s">
        <v>5755</v>
      </c>
      <c r="D1447" s="111">
        <v>29.91</v>
      </c>
    </row>
    <row r="1448" spans="1:4" ht="25.5" x14ac:dyDescent="0.25">
      <c r="A1448" s="106">
        <v>1539</v>
      </c>
      <c r="B1448" s="108" t="s">
        <v>668</v>
      </c>
      <c r="C1448" s="110" t="s">
        <v>5755</v>
      </c>
      <c r="D1448" s="111">
        <v>5.38</v>
      </c>
    </row>
    <row r="1449" spans="1:4" ht="25.5" x14ac:dyDescent="0.25">
      <c r="A1449" s="106">
        <v>11859</v>
      </c>
      <c r="B1449" s="108" t="s">
        <v>6969</v>
      </c>
      <c r="C1449" s="110" t="s">
        <v>5755</v>
      </c>
      <c r="D1449" s="111">
        <v>40.700000000000003</v>
      </c>
    </row>
    <row r="1450" spans="1:4" ht="25.5" x14ac:dyDescent="0.25">
      <c r="A1450" s="106">
        <v>1550</v>
      </c>
      <c r="B1450" s="108" t="s">
        <v>6970</v>
      </c>
      <c r="C1450" s="110" t="s">
        <v>5755</v>
      </c>
      <c r="D1450" s="111">
        <v>5.68</v>
      </c>
    </row>
    <row r="1451" spans="1:4" ht="25.5" x14ac:dyDescent="0.25">
      <c r="A1451" s="106">
        <v>11854</v>
      </c>
      <c r="B1451" s="108" t="s">
        <v>6971</v>
      </c>
      <c r="C1451" s="110" t="s">
        <v>5755</v>
      </c>
      <c r="D1451" s="111">
        <v>7.09</v>
      </c>
    </row>
    <row r="1452" spans="1:4" ht="25.5" x14ac:dyDescent="0.25">
      <c r="A1452" s="106">
        <v>11862</v>
      </c>
      <c r="B1452" s="108" t="s">
        <v>6972</v>
      </c>
      <c r="C1452" s="110" t="s">
        <v>5755</v>
      </c>
      <c r="D1452" s="111">
        <v>9.9499999999999993</v>
      </c>
    </row>
    <row r="1453" spans="1:4" ht="25.5" x14ac:dyDescent="0.25">
      <c r="A1453" s="106">
        <v>11863</v>
      </c>
      <c r="B1453" s="108" t="s">
        <v>6973</v>
      </c>
      <c r="C1453" s="110" t="s">
        <v>5755</v>
      </c>
      <c r="D1453" s="111">
        <v>4.0199999999999996</v>
      </c>
    </row>
    <row r="1454" spans="1:4" ht="25.5" x14ac:dyDescent="0.25">
      <c r="A1454" s="106">
        <v>11855</v>
      </c>
      <c r="B1454" s="108" t="s">
        <v>6974</v>
      </c>
      <c r="C1454" s="110" t="s">
        <v>5755</v>
      </c>
      <c r="D1454" s="111">
        <v>14.85</v>
      </c>
    </row>
    <row r="1455" spans="1:4" ht="25.5" x14ac:dyDescent="0.25">
      <c r="A1455" s="106">
        <v>11864</v>
      </c>
      <c r="B1455" s="108" t="s">
        <v>6975</v>
      </c>
      <c r="C1455" s="110" t="s">
        <v>5755</v>
      </c>
      <c r="D1455" s="111">
        <v>22.46</v>
      </c>
    </row>
    <row r="1456" spans="1:4" ht="25.5" x14ac:dyDescent="0.25">
      <c r="A1456" s="106">
        <v>2527</v>
      </c>
      <c r="B1456" s="108" t="s">
        <v>6976</v>
      </c>
      <c r="C1456" s="110" t="s">
        <v>5755</v>
      </c>
      <c r="D1456" s="111">
        <v>5.3</v>
      </c>
    </row>
    <row r="1457" spans="1:4" ht="25.5" x14ac:dyDescent="0.25">
      <c r="A1457" s="106">
        <v>2526</v>
      </c>
      <c r="B1457" s="108" t="s">
        <v>6977</v>
      </c>
      <c r="C1457" s="110" t="s">
        <v>5755</v>
      </c>
      <c r="D1457" s="111">
        <v>3.39</v>
      </c>
    </row>
    <row r="1458" spans="1:4" ht="25.5" x14ac:dyDescent="0.25">
      <c r="A1458" s="106">
        <v>2487</v>
      </c>
      <c r="B1458" s="108" t="s">
        <v>6978</v>
      </c>
      <c r="C1458" s="110" t="s">
        <v>5755</v>
      </c>
      <c r="D1458" s="111">
        <v>1.1499999999999999</v>
      </c>
    </row>
    <row r="1459" spans="1:4" ht="25.5" x14ac:dyDescent="0.25">
      <c r="A1459" s="106">
        <v>2483</v>
      </c>
      <c r="B1459" s="108" t="s">
        <v>6979</v>
      </c>
      <c r="C1459" s="110" t="s">
        <v>5755</v>
      </c>
      <c r="D1459" s="111">
        <v>2.41</v>
      </c>
    </row>
    <row r="1460" spans="1:4" ht="25.5" x14ac:dyDescent="0.25">
      <c r="A1460" s="106">
        <v>2528</v>
      </c>
      <c r="B1460" s="108" t="s">
        <v>6980</v>
      </c>
      <c r="C1460" s="110" t="s">
        <v>5755</v>
      </c>
      <c r="D1460" s="111">
        <v>13.33</v>
      </c>
    </row>
    <row r="1461" spans="1:4" ht="25.5" x14ac:dyDescent="0.25">
      <c r="A1461" s="106">
        <v>2489</v>
      </c>
      <c r="B1461" s="108" t="s">
        <v>6981</v>
      </c>
      <c r="C1461" s="110" t="s">
        <v>5755</v>
      </c>
      <c r="D1461" s="111">
        <v>5.87</v>
      </c>
    </row>
    <row r="1462" spans="1:4" ht="25.5" x14ac:dyDescent="0.25">
      <c r="A1462" s="106">
        <v>2488</v>
      </c>
      <c r="B1462" s="108" t="s">
        <v>6982</v>
      </c>
      <c r="C1462" s="110" t="s">
        <v>5755</v>
      </c>
      <c r="D1462" s="111">
        <v>1.35</v>
      </c>
    </row>
    <row r="1463" spans="1:4" ht="25.5" x14ac:dyDescent="0.25">
      <c r="A1463" s="106">
        <v>2484</v>
      </c>
      <c r="B1463" s="108" t="s">
        <v>6983</v>
      </c>
      <c r="C1463" s="110" t="s">
        <v>5755</v>
      </c>
      <c r="D1463" s="111">
        <v>19.36</v>
      </c>
    </row>
    <row r="1464" spans="1:4" ht="25.5" x14ac:dyDescent="0.25">
      <c r="A1464" s="106">
        <v>2485</v>
      </c>
      <c r="B1464" s="108" t="s">
        <v>6984</v>
      </c>
      <c r="C1464" s="110" t="s">
        <v>5755</v>
      </c>
      <c r="D1464" s="111">
        <v>30.35</v>
      </c>
    </row>
    <row r="1465" spans="1:4" x14ac:dyDescent="0.25">
      <c r="A1465" s="106">
        <v>38005</v>
      </c>
      <c r="B1465" s="108" t="s">
        <v>6985</v>
      </c>
      <c r="C1465" s="110" t="s">
        <v>5755</v>
      </c>
      <c r="D1465" s="111">
        <v>23.51</v>
      </c>
    </row>
    <row r="1466" spans="1:4" x14ac:dyDescent="0.25">
      <c r="A1466" s="106">
        <v>38006</v>
      </c>
      <c r="B1466" s="108" t="s">
        <v>6986</v>
      </c>
      <c r="C1466" s="110" t="s">
        <v>5755</v>
      </c>
      <c r="D1466" s="111">
        <v>28.86</v>
      </c>
    </row>
    <row r="1467" spans="1:4" x14ac:dyDescent="0.25">
      <c r="A1467" s="106">
        <v>38428</v>
      </c>
      <c r="B1467" s="108" t="s">
        <v>6987</v>
      </c>
      <c r="C1467" s="110" t="s">
        <v>5755</v>
      </c>
      <c r="D1467" s="111">
        <v>27.03</v>
      </c>
    </row>
    <row r="1468" spans="1:4" x14ac:dyDescent="0.25">
      <c r="A1468" s="106">
        <v>38007</v>
      </c>
      <c r="B1468" s="108" t="s">
        <v>6988</v>
      </c>
      <c r="C1468" s="110" t="s">
        <v>5755</v>
      </c>
      <c r="D1468" s="111">
        <v>44.17</v>
      </c>
    </row>
    <row r="1469" spans="1:4" x14ac:dyDescent="0.25">
      <c r="A1469" s="106">
        <v>38008</v>
      </c>
      <c r="B1469" s="108" t="s">
        <v>6989</v>
      </c>
      <c r="C1469" s="110" t="s">
        <v>5755</v>
      </c>
      <c r="D1469" s="111">
        <v>177.89</v>
      </c>
    </row>
    <row r="1470" spans="1:4" x14ac:dyDescent="0.25">
      <c r="A1470" s="106">
        <v>38009</v>
      </c>
      <c r="B1470" s="108" t="s">
        <v>6990</v>
      </c>
      <c r="C1470" s="110" t="s">
        <v>5755</v>
      </c>
      <c r="D1470" s="111">
        <v>217.41</v>
      </c>
    </row>
    <row r="1471" spans="1:4" ht="25.5" x14ac:dyDescent="0.25">
      <c r="A1471" s="106">
        <v>39279</v>
      </c>
      <c r="B1471" s="108" t="s">
        <v>6991</v>
      </c>
      <c r="C1471" s="110" t="s">
        <v>5755</v>
      </c>
      <c r="D1471" s="111">
        <v>10.52</v>
      </c>
    </row>
    <row r="1472" spans="1:4" ht="25.5" x14ac:dyDescent="0.25">
      <c r="A1472" s="106">
        <v>38845</v>
      </c>
      <c r="B1472" s="108" t="s">
        <v>6992</v>
      </c>
      <c r="C1472" s="110" t="s">
        <v>5755</v>
      </c>
      <c r="D1472" s="111">
        <v>15.23</v>
      </c>
    </row>
    <row r="1473" spans="1:4" ht="25.5" x14ac:dyDescent="0.25">
      <c r="A1473" s="106">
        <v>39280</v>
      </c>
      <c r="B1473" s="108" t="s">
        <v>6993</v>
      </c>
      <c r="C1473" s="110" t="s">
        <v>5755</v>
      </c>
      <c r="D1473" s="111">
        <v>13.65</v>
      </c>
    </row>
    <row r="1474" spans="1:4" ht="25.5" x14ac:dyDescent="0.25">
      <c r="A1474" s="106">
        <v>39281</v>
      </c>
      <c r="B1474" s="108" t="s">
        <v>6994</v>
      </c>
      <c r="C1474" s="110" t="s">
        <v>5755</v>
      </c>
      <c r="D1474" s="111">
        <v>17.96</v>
      </c>
    </row>
    <row r="1475" spans="1:4" ht="25.5" x14ac:dyDescent="0.25">
      <c r="A1475" s="106">
        <v>38849</v>
      </c>
      <c r="B1475" s="108" t="s">
        <v>6995</v>
      </c>
      <c r="C1475" s="110" t="s">
        <v>5755</v>
      </c>
      <c r="D1475" s="111">
        <v>15.39</v>
      </c>
    </row>
    <row r="1476" spans="1:4" ht="25.5" x14ac:dyDescent="0.25">
      <c r="A1476" s="106">
        <v>39282</v>
      </c>
      <c r="B1476" s="108" t="s">
        <v>6996</v>
      </c>
      <c r="C1476" s="110" t="s">
        <v>5755</v>
      </c>
      <c r="D1476" s="111">
        <v>18.39</v>
      </c>
    </row>
    <row r="1477" spans="1:4" ht="25.5" x14ac:dyDescent="0.25">
      <c r="A1477" s="106">
        <v>38852</v>
      </c>
      <c r="B1477" s="108" t="s">
        <v>6997</v>
      </c>
      <c r="C1477" s="110" t="s">
        <v>5755</v>
      </c>
      <c r="D1477" s="111">
        <v>25.02</v>
      </c>
    </row>
    <row r="1478" spans="1:4" ht="25.5" x14ac:dyDescent="0.25">
      <c r="A1478" s="106">
        <v>38844</v>
      </c>
      <c r="B1478" s="108" t="s">
        <v>6998</v>
      </c>
      <c r="C1478" s="110" t="s">
        <v>5755</v>
      </c>
      <c r="D1478" s="111">
        <v>7.69</v>
      </c>
    </row>
    <row r="1479" spans="1:4" ht="25.5" x14ac:dyDescent="0.25">
      <c r="A1479" s="106">
        <v>38846</v>
      </c>
      <c r="B1479" s="108" t="s">
        <v>6999</v>
      </c>
      <c r="C1479" s="110" t="s">
        <v>5755</v>
      </c>
      <c r="D1479" s="111">
        <v>8.41</v>
      </c>
    </row>
    <row r="1480" spans="1:4" ht="25.5" x14ac:dyDescent="0.25">
      <c r="A1480" s="106">
        <v>38847</v>
      </c>
      <c r="B1480" s="108" t="s">
        <v>7000</v>
      </c>
      <c r="C1480" s="110" t="s">
        <v>5755</v>
      </c>
      <c r="D1480" s="111">
        <v>10.35</v>
      </c>
    </row>
    <row r="1481" spans="1:4" ht="25.5" x14ac:dyDescent="0.25">
      <c r="A1481" s="106">
        <v>38850</v>
      </c>
      <c r="B1481" s="108" t="s">
        <v>7001</v>
      </c>
      <c r="C1481" s="110" t="s">
        <v>5755</v>
      </c>
      <c r="D1481" s="111">
        <v>14.38</v>
      </c>
    </row>
    <row r="1482" spans="1:4" ht="25.5" x14ac:dyDescent="0.25">
      <c r="A1482" s="106">
        <v>38848</v>
      </c>
      <c r="B1482" s="108" t="s">
        <v>7002</v>
      </c>
      <c r="C1482" s="110" t="s">
        <v>5755</v>
      </c>
      <c r="D1482" s="111">
        <v>12.03</v>
      </c>
    </row>
    <row r="1483" spans="1:4" ht="25.5" x14ac:dyDescent="0.25">
      <c r="A1483" s="106">
        <v>38851</v>
      </c>
      <c r="B1483" s="108" t="s">
        <v>7003</v>
      </c>
      <c r="C1483" s="110" t="s">
        <v>5755</v>
      </c>
      <c r="D1483" s="111">
        <v>21.86</v>
      </c>
    </row>
    <row r="1484" spans="1:4" ht="25.5" x14ac:dyDescent="0.25">
      <c r="A1484" s="106">
        <v>38860</v>
      </c>
      <c r="B1484" s="108" t="s">
        <v>7004</v>
      </c>
      <c r="C1484" s="110" t="s">
        <v>5755</v>
      </c>
      <c r="D1484" s="111">
        <v>6.18</v>
      </c>
    </row>
    <row r="1485" spans="1:4" ht="25.5" x14ac:dyDescent="0.25">
      <c r="A1485" s="106">
        <v>38861</v>
      </c>
      <c r="B1485" s="108" t="s">
        <v>7005</v>
      </c>
      <c r="C1485" s="110" t="s">
        <v>5755</v>
      </c>
      <c r="D1485" s="111">
        <v>8.32</v>
      </c>
    </row>
    <row r="1486" spans="1:4" ht="25.5" x14ac:dyDescent="0.25">
      <c r="A1486" s="106">
        <v>38862</v>
      </c>
      <c r="B1486" s="108" t="s">
        <v>7006</v>
      </c>
      <c r="C1486" s="110" t="s">
        <v>5755</v>
      </c>
      <c r="D1486" s="111">
        <v>7.01</v>
      </c>
    </row>
    <row r="1487" spans="1:4" ht="25.5" x14ac:dyDescent="0.25">
      <c r="A1487" s="106">
        <v>38863</v>
      </c>
      <c r="B1487" s="108" t="s">
        <v>7007</v>
      </c>
      <c r="C1487" s="110" t="s">
        <v>5755</v>
      </c>
      <c r="D1487" s="111">
        <v>8.0500000000000007</v>
      </c>
    </row>
    <row r="1488" spans="1:4" ht="25.5" x14ac:dyDescent="0.25">
      <c r="A1488" s="106">
        <v>38865</v>
      </c>
      <c r="B1488" s="108" t="s">
        <v>7008</v>
      </c>
      <c r="C1488" s="110" t="s">
        <v>5755</v>
      </c>
      <c r="D1488" s="111">
        <v>10.94</v>
      </c>
    </row>
    <row r="1489" spans="1:4" ht="25.5" x14ac:dyDescent="0.25">
      <c r="A1489" s="106">
        <v>38864</v>
      </c>
      <c r="B1489" s="108" t="s">
        <v>7009</v>
      </c>
      <c r="C1489" s="110" t="s">
        <v>5755</v>
      </c>
      <c r="D1489" s="111">
        <v>16.72</v>
      </c>
    </row>
    <row r="1490" spans="1:4" ht="25.5" x14ac:dyDescent="0.25">
      <c r="A1490" s="106">
        <v>38866</v>
      </c>
      <c r="B1490" s="108" t="s">
        <v>7010</v>
      </c>
      <c r="C1490" s="110" t="s">
        <v>5755</v>
      </c>
      <c r="D1490" s="111">
        <v>11.77</v>
      </c>
    </row>
    <row r="1491" spans="1:4" ht="25.5" x14ac:dyDescent="0.25">
      <c r="A1491" s="106">
        <v>38868</v>
      </c>
      <c r="B1491" s="108" t="s">
        <v>7011</v>
      </c>
      <c r="C1491" s="110" t="s">
        <v>5755</v>
      </c>
      <c r="D1491" s="111">
        <v>19.62</v>
      </c>
    </row>
    <row r="1492" spans="1:4" ht="25.5" x14ac:dyDescent="0.25">
      <c r="A1492" s="106">
        <v>38853</v>
      </c>
      <c r="B1492" s="108" t="s">
        <v>7012</v>
      </c>
      <c r="C1492" s="110" t="s">
        <v>5755</v>
      </c>
      <c r="D1492" s="111">
        <v>6.34</v>
      </c>
    </row>
    <row r="1493" spans="1:4" ht="25.5" x14ac:dyDescent="0.25">
      <c r="A1493" s="106">
        <v>38854</v>
      </c>
      <c r="B1493" s="108" t="s">
        <v>7013</v>
      </c>
      <c r="C1493" s="110" t="s">
        <v>5755</v>
      </c>
      <c r="D1493" s="111">
        <v>8.66</v>
      </c>
    </row>
    <row r="1494" spans="1:4" ht="25.5" x14ac:dyDescent="0.25">
      <c r="A1494" s="106">
        <v>38855</v>
      </c>
      <c r="B1494" s="108" t="s">
        <v>7014</v>
      </c>
      <c r="C1494" s="110" t="s">
        <v>5755</v>
      </c>
      <c r="D1494" s="111">
        <v>6.42</v>
      </c>
    </row>
    <row r="1495" spans="1:4" ht="25.5" x14ac:dyDescent="0.25">
      <c r="A1495" s="106">
        <v>38856</v>
      </c>
      <c r="B1495" s="108" t="s">
        <v>7015</v>
      </c>
      <c r="C1495" s="110" t="s">
        <v>5755</v>
      </c>
      <c r="D1495" s="111">
        <v>10.32</v>
      </c>
    </row>
    <row r="1496" spans="1:4" ht="25.5" x14ac:dyDescent="0.25">
      <c r="A1496" s="106">
        <v>38857</v>
      </c>
      <c r="B1496" s="108" t="s">
        <v>7016</v>
      </c>
      <c r="C1496" s="110" t="s">
        <v>5755</v>
      </c>
      <c r="D1496" s="111">
        <v>13.65</v>
      </c>
    </row>
    <row r="1497" spans="1:4" ht="25.5" x14ac:dyDescent="0.25">
      <c r="A1497" s="106">
        <v>38858</v>
      </c>
      <c r="B1497" s="108" t="s">
        <v>7017</v>
      </c>
      <c r="C1497" s="110" t="s">
        <v>5755</v>
      </c>
      <c r="D1497" s="111">
        <v>12.41</v>
      </c>
    </row>
    <row r="1498" spans="1:4" ht="25.5" x14ac:dyDescent="0.25">
      <c r="A1498" s="106">
        <v>38859</v>
      </c>
      <c r="B1498" s="108" t="s">
        <v>7018</v>
      </c>
      <c r="C1498" s="110" t="s">
        <v>5755</v>
      </c>
      <c r="D1498" s="111">
        <v>20.100000000000001</v>
      </c>
    </row>
    <row r="1499" spans="1:4" ht="25.5" x14ac:dyDescent="0.25">
      <c r="A1499" s="106">
        <v>1607</v>
      </c>
      <c r="B1499" s="108" t="s">
        <v>7019</v>
      </c>
      <c r="C1499" s="110" t="s">
        <v>7020</v>
      </c>
      <c r="D1499" s="111">
        <v>0.15</v>
      </c>
    </row>
    <row r="1500" spans="1:4" ht="38.25" x14ac:dyDescent="0.25">
      <c r="A1500" s="106">
        <v>11467</v>
      </c>
      <c r="B1500" s="108" t="s">
        <v>7021</v>
      </c>
      <c r="C1500" s="110" t="s">
        <v>5755</v>
      </c>
      <c r="D1500" s="111">
        <v>14.35</v>
      </c>
    </row>
    <row r="1501" spans="1:4" ht="38.25" x14ac:dyDescent="0.25">
      <c r="A1501" s="106">
        <v>38169</v>
      </c>
      <c r="B1501" s="108" t="s">
        <v>7022</v>
      </c>
      <c r="C1501" s="110" t="s">
        <v>7020</v>
      </c>
      <c r="D1501" s="111">
        <v>65.52</v>
      </c>
    </row>
    <row r="1502" spans="1:4" ht="25.5" x14ac:dyDescent="0.25">
      <c r="A1502" s="106">
        <v>6142</v>
      </c>
      <c r="B1502" s="108" t="s">
        <v>552</v>
      </c>
      <c r="C1502" s="110" t="s">
        <v>5755</v>
      </c>
      <c r="D1502" s="111">
        <v>6.32</v>
      </c>
    </row>
    <row r="1503" spans="1:4" ht="25.5" x14ac:dyDescent="0.25">
      <c r="A1503" s="106">
        <v>11686</v>
      </c>
      <c r="B1503" s="108" t="s">
        <v>7023</v>
      </c>
      <c r="C1503" s="110" t="s">
        <v>5755</v>
      </c>
      <c r="D1503" s="111">
        <v>8.7799999999999994</v>
      </c>
    </row>
    <row r="1504" spans="1:4" ht="25.5" x14ac:dyDescent="0.25">
      <c r="A1504" s="106">
        <v>37598</v>
      </c>
      <c r="B1504" s="108" t="s">
        <v>7024</v>
      </c>
      <c r="C1504" s="110" t="s">
        <v>5755</v>
      </c>
      <c r="D1504" s="111">
        <v>22.83</v>
      </c>
    </row>
    <row r="1505" spans="1:4" ht="51" x14ac:dyDescent="0.25">
      <c r="A1505" s="106">
        <v>25398</v>
      </c>
      <c r="B1505" s="108" t="s">
        <v>7025</v>
      </c>
      <c r="C1505" s="110" t="s">
        <v>5755</v>
      </c>
      <c r="D1505" s="111">
        <v>2122.5100000000002</v>
      </c>
    </row>
    <row r="1506" spans="1:4" ht="51" x14ac:dyDescent="0.25">
      <c r="A1506" s="106">
        <v>25399</v>
      </c>
      <c r="B1506" s="108" t="s">
        <v>7026</v>
      </c>
      <c r="C1506" s="110" t="s">
        <v>5755</v>
      </c>
      <c r="D1506" s="111">
        <v>1288.55</v>
      </c>
    </row>
    <row r="1507" spans="1:4" ht="38.25" x14ac:dyDescent="0.25">
      <c r="A1507" s="106">
        <v>10667</v>
      </c>
      <c r="B1507" s="108" t="s">
        <v>7027</v>
      </c>
      <c r="C1507" s="110" t="s">
        <v>5755</v>
      </c>
      <c r="D1507" s="111">
        <v>11245</v>
      </c>
    </row>
    <row r="1508" spans="1:4" ht="25.5" x14ac:dyDescent="0.25">
      <c r="A1508" s="106">
        <v>1613</v>
      </c>
      <c r="B1508" s="108" t="s">
        <v>7028</v>
      </c>
      <c r="C1508" s="110" t="s">
        <v>5755</v>
      </c>
      <c r="D1508" s="111">
        <v>1208.03</v>
      </c>
    </row>
    <row r="1509" spans="1:4" ht="25.5" x14ac:dyDescent="0.25">
      <c r="A1509" s="106">
        <v>1626</v>
      </c>
      <c r="B1509" s="108" t="s">
        <v>7029</v>
      </c>
      <c r="C1509" s="110" t="s">
        <v>5755</v>
      </c>
      <c r="D1509" s="111">
        <v>1806.76</v>
      </c>
    </row>
    <row r="1510" spans="1:4" ht="25.5" x14ac:dyDescent="0.25">
      <c r="A1510" s="106">
        <v>1625</v>
      </c>
      <c r="B1510" s="108" t="s">
        <v>7030</v>
      </c>
      <c r="C1510" s="110" t="s">
        <v>5755</v>
      </c>
      <c r="D1510" s="111">
        <v>126.19</v>
      </c>
    </row>
    <row r="1511" spans="1:4" ht="25.5" x14ac:dyDescent="0.25">
      <c r="A1511" s="106">
        <v>1622</v>
      </c>
      <c r="B1511" s="108" t="s">
        <v>7031</v>
      </c>
      <c r="C1511" s="110" t="s">
        <v>5755</v>
      </c>
      <c r="D1511" s="111">
        <v>4077.13</v>
      </c>
    </row>
    <row r="1512" spans="1:4" ht="25.5" x14ac:dyDescent="0.25">
      <c r="A1512" s="106">
        <v>1620</v>
      </c>
      <c r="B1512" s="108" t="s">
        <v>7032</v>
      </c>
      <c r="C1512" s="110" t="s">
        <v>5755</v>
      </c>
      <c r="D1512" s="111">
        <v>265.83</v>
      </c>
    </row>
    <row r="1513" spans="1:4" ht="25.5" x14ac:dyDescent="0.25">
      <c r="A1513" s="106">
        <v>1629</v>
      </c>
      <c r="B1513" s="108" t="s">
        <v>7033</v>
      </c>
      <c r="C1513" s="110" t="s">
        <v>5755</v>
      </c>
      <c r="D1513" s="111">
        <v>9922.76</v>
      </c>
    </row>
    <row r="1514" spans="1:4" ht="25.5" x14ac:dyDescent="0.25">
      <c r="A1514" s="106">
        <v>1627</v>
      </c>
      <c r="B1514" s="108" t="s">
        <v>7034</v>
      </c>
      <c r="C1514" s="110" t="s">
        <v>5755</v>
      </c>
      <c r="D1514" s="111">
        <v>508.13</v>
      </c>
    </row>
    <row r="1515" spans="1:4" ht="25.5" x14ac:dyDescent="0.25">
      <c r="A1515" s="106">
        <v>1623</v>
      </c>
      <c r="B1515" s="108" t="s">
        <v>7035</v>
      </c>
      <c r="C1515" s="110" t="s">
        <v>5755</v>
      </c>
      <c r="D1515" s="111">
        <v>102.91</v>
      </c>
    </row>
    <row r="1516" spans="1:4" ht="25.5" x14ac:dyDescent="0.25">
      <c r="A1516" s="106">
        <v>1619</v>
      </c>
      <c r="B1516" s="108" t="s">
        <v>7036</v>
      </c>
      <c r="C1516" s="110" t="s">
        <v>5755</v>
      </c>
      <c r="D1516" s="111">
        <v>141.57</v>
      </c>
    </row>
    <row r="1517" spans="1:4" ht="25.5" x14ac:dyDescent="0.25">
      <c r="A1517" s="106">
        <v>1630</v>
      </c>
      <c r="B1517" s="108" t="s">
        <v>7037</v>
      </c>
      <c r="C1517" s="110" t="s">
        <v>5755</v>
      </c>
      <c r="D1517" s="111">
        <v>3117.05</v>
      </c>
    </row>
    <row r="1518" spans="1:4" ht="25.5" x14ac:dyDescent="0.25">
      <c r="A1518" s="106">
        <v>1616</v>
      </c>
      <c r="B1518" s="108" t="s">
        <v>7038</v>
      </c>
      <c r="C1518" s="110" t="s">
        <v>5755</v>
      </c>
      <c r="D1518" s="111">
        <v>4794.07</v>
      </c>
    </row>
    <row r="1519" spans="1:4" ht="25.5" x14ac:dyDescent="0.25">
      <c r="A1519" s="106">
        <v>1614</v>
      </c>
      <c r="B1519" s="108" t="s">
        <v>7039</v>
      </c>
      <c r="C1519" s="110" t="s">
        <v>5755</v>
      </c>
      <c r="D1519" s="111">
        <v>219.1</v>
      </c>
    </row>
    <row r="1520" spans="1:4" ht="25.5" x14ac:dyDescent="0.25">
      <c r="A1520" s="106">
        <v>1617</v>
      </c>
      <c r="B1520" s="108" t="s">
        <v>7040</v>
      </c>
      <c r="C1520" s="110" t="s">
        <v>5755</v>
      </c>
      <c r="D1520" s="111">
        <v>5723.09</v>
      </c>
    </row>
    <row r="1521" spans="1:4" ht="25.5" x14ac:dyDescent="0.25">
      <c r="A1521" s="106">
        <v>1621</v>
      </c>
      <c r="B1521" s="108" t="s">
        <v>7041</v>
      </c>
      <c r="C1521" s="110" t="s">
        <v>5755</v>
      </c>
      <c r="D1521" s="111">
        <v>391.86</v>
      </c>
    </row>
    <row r="1522" spans="1:4" ht="25.5" x14ac:dyDescent="0.25">
      <c r="A1522" s="106">
        <v>1624</v>
      </c>
      <c r="B1522" s="108" t="s">
        <v>7042</v>
      </c>
      <c r="C1522" s="110" t="s">
        <v>5755</v>
      </c>
      <c r="D1522" s="111">
        <v>14067.63</v>
      </c>
    </row>
    <row r="1523" spans="1:4" ht="25.5" x14ac:dyDescent="0.25">
      <c r="A1523" s="106">
        <v>1615</v>
      </c>
      <c r="B1523" s="108" t="s">
        <v>7043</v>
      </c>
      <c r="C1523" s="110" t="s">
        <v>5755</v>
      </c>
      <c r="D1523" s="111">
        <v>735.86</v>
      </c>
    </row>
    <row r="1524" spans="1:4" ht="25.5" x14ac:dyDescent="0.25">
      <c r="A1524" s="106">
        <v>1612</v>
      </c>
      <c r="B1524" s="108" t="s">
        <v>7044</v>
      </c>
      <c r="C1524" s="110" t="s">
        <v>5755</v>
      </c>
      <c r="D1524" s="111">
        <v>96.92</v>
      </c>
    </row>
    <row r="1525" spans="1:4" ht="25.5" x14ac:dyDescent="0.25">
      <c r="A1525" s="106">
        <v>1618</v>
      </c>
      <c r="B1525" s="108" t="s">
        <v>7045</v>
      </c>
      <c r="C1525" s="110" t="s">
        <v>5755</v>
      </c>
      <c r="D1525" s="111">
        <v>1011.18</v>
      </c>
    </row>
    <row r="1526" spans="1:4" x14ac:dyDescent="0.25">
      <c r="A1526" s="106">
        <v>14211</v>
      </c>
      <c r="B1526" s="108" t="s">
        <v>7046</v>
      </c>
      <c r="C1526" s="110" t="s">
        <v>5755</v>
      </c>
      <c r="D1526" s="111">
        <v>31.04</v>
      </c>
    </row>
    <row r="1527" spans="1:4" x14ac:dyDescent="0.25">
      <c r="A1527" s="106">
        <v>34500</v>
      </c>
      <c r="B1527" s="108" t="s">
        <v>7047</v>
      </c>
      <c r="C1527" s="110" t="s">
        <v>5759</v>
      </c>
      <c r="D1527" s="111">
        <v>113.45</v>
      </c>
    </row>
    <row r="1528" spans="1:4" x14ac:dyDescent="0.25">
      <c r="A1528" s="106">
        <v>40934</v>
      </c>
      <c r="B1528" s="108" t="s">
        <v>7048</v>
      </c>
      <c r="C1528" s="110" t="s">
        <v>5906</v>
      </c>
      <c r="D1528" s="111">
        <v>20101.64</v>
      </c>
    </row>
    <row r="1529" spans="1:4" x14ac:dyDescent="0.25">
      <c r="A1529" s="106">
        <v>5328</v>
      </c>
      <c r="B1529" s="108" t="s">
        <v>7049</v>
      </c>
      <c r="C1529" s="110" t="s">
        <v>5755</v>
      </c>
      <c r="D1529" s="111">
        <v>4.33</v>
      </c>
    </row>
    <row r="1530" spans="1:4" ht="25.5" x14ac:dyDescent="0.25">
      <c r="A1530" s="106">
        <v>38200</v>
      </c>
      <c r="B1530" s="108" t="s">
        <v>7050</v>
      </c>
      <c r="C1530" s="110" t="s">
        <v>7051</v>
      </c>
      <c r="D1530" s="111">
        <v>510.06</v>
      </c>
    </row>
    <row r="1531" spans="1:4" ht="25.5" x14ac:dyDescent="0.25">
      <c r="A1531" s="106">
        <v>39269</v>
      </c>
      <c r="B1531" s="108" t="s">
        <v>7052</v>
      </c>
      <c r="C1531" s="110" t="s">
        <v>5767</v>
      </c>
      <c r="D1531" s="111">
        <v>0.85</v>
      </c>
    </row>
    <row r="1532" spans="1:4" ht="25.5" x14ac:dyDescent="0.25">
      <c r="A1532" s="106">
        <v>11889</v>
      </c>
      <c r="B1532" s="108" t="s">
        <v>7053</v>
      </c>
      <c r="C1532" s="110" t="s">
        <v>5767</v>
      </c>
      <c r="D1532" s="111">
        <v>1.19</v>
      </c>
    </row>
    <row r="1533" spans="1:4" ht="25.5" x14ac:dyDescent="0.25">
      <c r="A1533" s="106">
        <v>39270</v>
      </c>
      <c r="B1533" s="108" t="s">
        <v>7054</v>
      </c>
      <c r="C1533" s="110" t="s">
        <v>5767</v>
      </c>
      <c r="D1533" s="111">
        <v>1.42</v>
      </c>
    </row>
    <row r="1534" spans="1:4" ht="25.5" x14ac:dyDescent="0.25">
      <c r="A1534" s="106">
        <v>11890</v>
      </c>
      <c r="B1534" s="108" t="s">
        <v>7055</v>
      </c>
      <c r="C1534" s="110" t="s">
        <v>5767</v>
      </c>
      <c r="D1534" s="111">
        <v>1.84</v>
      </c>
    </row>
    <row r="1535" spans="1:4" ht="25.5" x14ac:dyDescent="0.25">
      <c r="A1535" s="106">
        <v>11891</v>
      </c>
      <c r="B1535" s="108" t="s">
        <v>7056</v>
      </c>
      <c r="C1535" s="110" t="s">
        <v>5767</v>
      </c>
      <c r="D1535" s="111">
        <v>3.04</v>
      </c>
    </row>
    <row r="1536" spans="1:4" ht="25.5" x14ac:dyDescent="0.25">
      <c r="A1536" s="106">
        <v>11892</v>
      </c>
      <c r="B1536" s="108" t="s">
        <v>7057</v>
      </c>
      <c r="C1536" s="110" t="s">
        <v>5767</v>
      </c>
      <c r="D1536" s="111">
        <v>4.6900000000000004</v>
      </c>
    </row>
    <row r="1537" spans="1:4" x14ac:dyDescent="0.25">
      <c r="A1537" s="106">
        <v>37601</v>
      </c>
      <c r="B1537" s="108" t="s">
        <v>7058</v>
      </c>
      <c r="C1537" s="110" t="s">
        <v>5767</v>
      </c>
      <c r="D1537" s="111">
        <v>5.07</v>
      </c>
    </row>
    <row r="1538" spans="1:4" x14ac:dyDescent="0.25">
      <c r="A1538" s="106">
        <v>1634</v>
      </c>
      <c r="B1538" s="108" t="s">
        <v>7059</v>
      </c>
      <c r="C1538" s="110" t="s">
        <v>5767</v>
      </c>
      <c r="D1538" s="111">
        <v>5.24</v>
      </c>
    </row>
    <row r="1539" spans="1:4" ht="25.5" x14ac:dyDescent="0.25">
      <c r="A1539" s="106">
        <v>5086</v>
      </c>
      <c r="B1539" s="108" t="s">
        <v>7060</v>
      </c>
      <c r="C1539" s="110" t="s">
        <v>5816</v>
      </c>
      <c r="D1539" s="111">
        <v>27.13</v>
      </c>
    </row>
    <row r="1540" spans="1:4" ht="38.25" x14ac:dyDescent="0.25">
      <c r="A1540" s="106">
        <v>11280</v>
      </c>
      <c r="B1540" s="108" t="s">
        <v>7061</v>
      </c>
      <c r="C1540" s="110" t="s">
        <v>5755</v>
      </c>
      <c r="D1540" s="111">
        <v>11458.62</v>
      </c>
    </row>
    <row r="1541" spans="1:4" ht="25.5" x14ac:dyDescent="0.25">
      <c r="A1541" s="106">
        <v>40519</v>
      </c>
      <c r="B1541" s="108" t="s">
        <v>7062</v>
      </c>
      <c r="C1541" s="110" t="s">
        <v>5755</v>
      </c>
      <c r="D1541" s="111">
        <v>94460.99</v>
      </c>
    </row>
    <row r="1542" spans="1:4" ht="25.5" x14ac:dyDescent="0.25">
      <c r="A1542" s="106">
        <v>39869</v>
      </c>
      <c r="B1542" s="108" t="s">
        <v>7063</v>
      </c>
      <c r="C1542" s="110" t="s">
        <v>5755</v>
      </c>
      <c r="D1542" s="111">
        <v>9</v>
      </c>
    </row>
    <row r="1543" spans="1:4" ht="25.5" x14ac:dyDescent="0.25">
      <c r="A1543" s="106">
        <v>39870</v>
      </c>
      <c r="B1543" s="108" t="s">
        <v>7064</v>
      </c>
      <c r="C1543" s="110" t="s">
        <v>5755</v>
      </c>
      <c r="D1543" s="111">
        <v>13.77</v>
      </c>
    </row>
    <row r="1544" spans="1:4" ht="25.5" x14ac:dyDescent="0.25">
      <c r="A1544" s="106">
        <v>39871</v>
      </c>
      <c r="B1544" s="108" t="s">
        <v>7065</v>
      </c>
      <c r="C1544" s="110" t="s">
        <v>5755</v>
      </c>
      <c r="D1544" s="111">
        <v>15.44</v>
      </c>
    </row>
    <row r="1545" spans="1:4" ht="25.5" x14ac:dyDescent="0.25">
      <c r="A1545" s="106">
        <v>12722</v>
      </c>
      <c r="B1545" s="108" t="s">
        <v>7066</v>
      </c>
      <c r="C1545" s="110" t="s">
        <v>5755</v>
      </c>
      <c r="D1545" s="111">
        <v>516.62</v>
      </c>
    </row>
    <row r="1546" spans="1:4" ht="25.5" x14ac:dyDescent="0.25">
      <c r="A1546" s="106">
        <v>12714</v>
      </c>
      <c r="B1546" s="108" t="s">
        <v>7067</v>
      </c>
      <c r="C1546" s="110" t="s">
        <v>5755</v>
      </c>
      <c r="D1546" s="111">
        <v>3.37</v>
      </c>
    </row>
    <row r="1547" spans="1:4" ht="25.5" x14ac:dyDescent="0.25">
      <c r="A1547" s="106">
        <v>12715</v>
      </c>
      <c r="B1547" s="108" t="s">
        <v>7068</v>
      </c>
      <c r="C1547" s="110" t="s">
        <v>5755</v>
      </c>
      <c r="D1547" s="111">
        <v>7.61</v>
      </c>
    </row>
    <row r="1548" spans="1:4" ht="25.5" x14ac:dyDescent="0.25">
      <c r="A1548" s="106">
        <v>12716</v>
      </c>
      <c r="B1548" s="108" t="s">
        <v>7069</v>
      </c>
      <c r="C1548" s="110" t="s">
        <v>5755</v>
      </c>
      <c r="D1548" s="111">
        <v>13.07</v>
      </c>
    </row>
    <row r="1549" spans="1:4" ht="25.5" x14ac:dyDescent="0.25">
      <c r="A1549" s="106">
        <v>12717</v>
      </c>
      <c r="B1549" s="108" t="s">
        <v>7070</v>
      </c>
      <c r="C1549" s="110" t="s">
        <v>5755</v>
      </c>
      <c r="D1549" s="111">
        <v>25.7</v>
      </c>
    </row>
    <row r="1550" spans="1:4" ht="25.5" x14ac:dyDescent="0.25">
      <c r="A1550" s="106">
        <v>12718</v>
      </c>
      <c r="B1550" s="108" t="s">
        <v>7071</v>
      </c>
      <c r="C1550" s="110" t="s">
        <v>5755</v>
      </c>
      <c r="D1550" s="111">
        <v>39.44</v>
      </c>
    </row>
    <row r="1551" spans="1:4" ht="25.5" x14ac:dyDescent="0.25">
      <c r="A1551" s="106">
        <v>12719</v>
      </c>
      <c r="B1551" s="108" t="s">
        <v>7072</v>
      </c>
      <c r="C1551" s="110" t="s">
        <v>5755</v>
      </c>
      <c r="D1551" s="111">
        <v>62.61</v>
      </c>
    </row>
    <row r="1552" spans="1:4" ht="25.5" x14ac:dyDescent="0.25">
      <c r="A1552" s="106">
        <v>12720</v>
      </c>
      <c r="B1552" s="108" t="s">
        <v>7073</v>
      </c>
      <c r="C1552" s="110" t="s">
        <v>5755</v>
      </c>
      <c r="D1552" s="111">
        <v>218.03</v>
      </c>
    </row>
    <row r="1553" spans="1:4" ht="25.5" x14ac:dyDescent="0.25">
      <c r="A1553" s="106">
        <v>12721</v>
      </c>
      <c r="B1553" s="108" t="s">
        <v>7074</v>
      </c>
      <c r="C1553" s="110" t="s">
        <v>5755</v>
      </c>
      <c r="D1553" s="111">
        <v>209.07</v>
      </c>
    </row>
    <row r="1554" spans="1:4" ht="25.5" x14ac:dyDescent="0.25">
      <c r="A1554" s="106">
        <v>3468</v>
      </c>
      <c r="B1554" s="108" t="s">
        <v>7075</v>
      </c>
      <c r="C1554" s="110" t="s">
        <v>5755</v>
      </c>
      <c r="D1554" s="111">
        <v>22.23</v>
      </c>
    </row>
    <row r="1555" spans="1:4" ht="25.5" x14ac:dyDescent="0.25">
      <c r="A1555" s="106">
        <v>3465</v>
      </c>
      <c r="B1555" s="108" t="s">
        <v>7076</v>
      </c>
      <c r="C1555" s="110" t="s">
        <v>5755</v>
      </c>
      <c r="D1555" s="111">
        <v>22.22</v>
      </c>
    </row>
    <row r="1556" spans="1:4" ht="25.5" x14ac:dyDescent="0.25">
      <c r="A1556" s="106">
        <v>12403</v>
      </c>
      <c r="B1556" s="108" t="s">
        <v>7077</v>
      </c>
      <c r="C1556" s="110" t="s">
        <v>5755</v>
      </c>
      <c r="D1556" s="111">
        <v>15.84</v>
      </c>
    </row>
    <row r="1557" spans="1:4" ht="25.5" x14ac:dyDescent="0.25">
      <c r="A1557" s="106">
        <v>3463</v>
      </c>
      <c r="B1557" s="108" t="s">
        <v>7078</v>
      </c>
      <c r="C1557" s="110" t="s">
        <v>5755</v>
      </c>
      <c r="D1557" s="111">
        <v>9.25</v>
      </c>
    </row>
    <row r="1558" spans="1:4" ht="25.5" x14ac:dyDescent="0.25">
      <c r="A1558" s="106">
        <v>3464</v>
      </c>
      <c r="B1558" s="108" t="s">
        <v>7079</v>
      </c>
      <c r="C1558" s="110" t="s">
        <v>5755</v>
      </c>
      <c r="D1558" s="111">
        <v>9.25</v>
      </c>
    </row>
    <row r="1559" spans="1:4" ht="25.5" x14ac:dyDescent="0.25">
      <c r="A1559" s="106">
        <v>3466</v>
      </c>
      <c r="B1559" s="108" t="s">
        <v>7080</v>
      </c>
      <c r="C1559" s="110" t="s">
        <v>5755</v>
      </c>
      <c r="D1559" s="111">
        <v>56.44</v>
      </c>
    </row>
    <row r="1560" spans="1:4" ht="25.5" x14ac:dyDescent="0.25">
      <c r="A1560" s="106">
        <v>3467</v>
      </c>
      <c r="B1560" s="108" t="s">
        <v>7081</v>
      </c>
      <c r="C1560" s="110" t="s">
        <v>5755</v>
      </c>
      <c r="D1560" s="111">
        <v>31.87</v>
      </c>
    </row>
    <row r="1561" spans="1:4" ht="25.5" x14ac:dyDescent="0.25">
      <c r="A1561" s="106">
        <v>3462</v>
      </c>
      <c r="B1561" s="108" t="s">
        <v>7082</v>
      </c>
      <c r="C1561" s="110" t="s">
        <v>5755</v>
      </c>
      <c r="D1561" s="111">
        <v>6.1</v>
      </c>
    </row>
    <row r="1562" spans="1:4" ht="25.5" x14ac:dyDescent="0.25">
      <c r="A1562" s="106">
        <v>3446</v>
      </c>
      <c r="B1562" s="108" t="s">
        <v>7083</v>
      </c>
      <c r="C1562" s="110" t="s">
        <v>5755</v>
      </c>
      <c r="D1562" s="111">
        <v>18.79</v>
      </c>
    </row>
    <row r="1563" spans="1:4" ht="25.5" x14ac:dyDescent="0.25">
      <c r="A1563" s="106">
        <v>3445</v>
      </c>
      <c r="B1563" s="108" t="s">
        <v>7084</v>
      </c>
      <c r="C1563" s="110" t="s">
        <v>5755</v>
      </c>
      <c r="D1563" s="111">
        <v>15.34</v>
      </c>
    </row>
    <row r="1564" spans="1:4" x14ac:dyDescent="0.25">
      <c r="A1564" s="106">
        <v>3441</v>
      </c>
      <c r="B1564" s="108" t="s">
        <v>7085</v>
      </c>
      <c r="C1564" s="110" t="s">
        <v>5755</v>
      </c>
      <c r="D1564" s="111">
        <v>4.33</v>
      </c>
    </row>
    <row r="1565" spans="1:4" x14ac:dyDescent="0.25">
      <c r="A1565" s="106">
        <v>3444</v>
      </c>
      <c r="B1565" s="108" t="s">
        <v>7086</v>
      </c>
      <c r="C1565" s="110" t="s">
        <v>5755</v>
      </c>
      <c r="D1565" s="111">
        <v>9.44</v>
      </c>
    </row>
    <row r="1566" spans="1:4" ht="25.5" x14ac:dyDescent="0.25">
      <c r="A1566" s="106">
        <v>12402</v>
      </c>
      <c r="B1566" s="108" t="s">
        <v>7087</v>
      </c>
      <c r="C1566" s="110" t="s">
        <v>5755</v>
      </c>
      <c r="D1566" s="111">
        <v>52.82</v>
      </c>
    </row>
    <row r="1567" spans="1:4" x14ac:dyDescent="0.25">
      <c r="A1567" s="106">
        <v>3447</v>
      </c>
      <c r="B1567" s="108" t="s">
        <v>7088</v>
      </c>
      <c r="C1567" s="110" t="s">
        <v>5755</v>
      </c>
      <c r="D1567" s="111">
        <v>27.33</v>
      </c>
    </row>
    <row r="1568" spans="1:4" x14ac:dyDescent="0.25">
      <c r="A1568" s="106">
        <v>3442</v>
      </c>
      <c r="B1568" s="108" t="s">
        <v>7089</v>
      </c>
      <c r="C1568" s="110" t="s">
        <v>5755</v>
      </c>
      <c r="D1568" s="111">
        <v>6.47</v>
      </c>
    </row>
    <row r="1569" spans="1:4" x14ac:dyDescent="0.25">
      <c r="A1569" s="106">
        <v>3448</v>
      </c>
      <c r="B1569" s="108" t="s">
        <v>7090</v>
      </c>
      <c r="C1569" s="110" t="s">
        <v>5755</v>
      </c>
      <c r="D1569" s="111">
        <v>77.22</v>
      </c>
    </row>
    <row r="1570" spans="1:4" x14ac:dyDescent="0.25">
      <c r="A1570" s="106">
        <v>3449</v>
      </c>
      <c r="B1570" s="108" t="s">
        <v>7091</v>
      </c>
      <c r="C1570" s="110" t="s">
        <v>5755</v>
      </c>
      <c r="D1570" s="111">
        <v>135.31</v>
      </c>
    </row>
    <row r="1571" spans="1:4" x14ac:dyDescent="0.25">
      <c r="A1571" s="106">
        <v>37438</v>
      </c>
      <c r="B1571" s="108" t="s">
        <v>7092</v>
      </c>
      <c r="C1571" s="110" t="s">
        <v>5755</v>
      </c>
      <c r="D1571" s="111">
        <v>164.35</v>
      </c>
    </row>
    <row r="1572" spans="1:4" x14ac:dyDescent="0.25">
      <c r="A1572" s="106">
        <v>37439</v>
      </c>
      <c r="B1572" s="108" t="s">
        <v>7093</v>
      </c>
      <c r="C1572" s="110" t="s">
        <v>5755</v>
      </c>
      <c r="D1572" s="111">
        <v>1074.51</v>
      </c>
    </row>
    <row r="1573" spans="1:4" x14ac:dyDescent="0.25">
      <c r="A1573" s="106">
        <v>37435</v>
      </c>
      <c r="B1573" s="108" t="s">
        <v>7094</v>
      </c>
      <c r="C1573" s="110" t="s">
        <v>5755</v>
      </c>
      <c r="D1573" s="111">
        <v>19.309999999999999</v>
      </c>
    </row>
    <row r="1574" spans="1:4" x14ac:dyDescent="0.25">
      <c r="A1574" s="106">
        <v>37436</v>
      </c>
      <c r="B1574" s="108" t="s">
        <v>7095</v>
      </c>
      <c r="C1574" s="110" t="s">
        <v>5755</v>
      </c>
      <c r="D1574" s="111">
        <v>22.79</v>
      </c>
    </row>
    <row r="1575" spans="1:4" x14ac:dyDescent="0.25">
      <c r="A1575" s="106">
        <v>37437</v>
      </c>
      <c r="B1575" s="108" t="s">
        <v>7096</v>
      </c>
      <c r="C1575" s="110" t="s">
        <v>5755</v>
      </c>
      <c r="D1575" s="111">
        <v>32.97</v>
      </c>
    </row>
    <row r="1576" spans="1:4" ht="25.5" x14ac:dyDescent="0.25">
      <c r="A1576" s="106">
        <v>3473</v>
      </c>
      <c r="B1576" s="108" t="s">
        <v>7097</v>
      </c>
      <c r="C1576" s="110" t="s">
        <v>5755</v>
      </c>
      <c r="D1576" s="111">
        <v>21.24</v>
      </c>
    </row>
    <row r="1577" spans="1:4" ht="25.5" x14ac:dyDescent="0.25">
      <c r="A1577" s="106">
        <v>3474</v>
      </c>
      <c r="B1577" s="108" t="s">
        <v>7098</v>
      </c>
      <c r="C1577" s="110" t="s">
        <v>5755</v>
      </c>
      <c r="D1577" s="111">
        <v>17.510000000000002</v>
      </c>
    </row>
    <row r="1578" spans="1:4" ht="25.5" x14ac:dyDescent="0.25">
      <c r="A1578" s="106">
        <v>3450</v>
      </c>
      <c r="B1578" s="108" t="s">
        <v>7099</v>
      </c>
      <c r="C1578" s="110" t="s">
        <v>5755</v>
      </c>
      <c r="D1578" s="111">
        <v>5.07</v>
      </c>
    </row>
    <row r="1579" spans="1:4" ht="25.5" x14ac:dyDescent="0.25">
      <c r="A1579" s="106">
        <v>3443</v>
      </c>
      <c r="B1579" s="108" t="s">
        <v>7100</v>
      </c>
      <c r="C1579" s="110" t="s">
        <v>5755</v>
      </c>
      <c r="D1579" s="111">
        <v>10.89</v>
      </c>
    </row>
    <row r="1580" spans="1:4" ht="25.5" x14ac:dyDescent="0.25">
      <c r="A1580" s="106">
        <v>3453</v>
      </c>
      <c r="B1580" s="108" t="s">
        <v>7101</v>
      </c>
      <c r="C1580" s="110" t="s">
        <v>5755</v>
      </c>
      <c r="D1580" s="111">
        <v>62.01</v>
      </c>
    </row>
    <row r="1581" spans="1:4" ht="25.5" x14ac:dyDescent="0.25">
      <c r="A1581" s="106">
        <v>3452</v>
      </c>
      <c r="B1581" s="108" t="s">
        <v>7102</v>
      </c>
      <c r="C1581" s="110" t="s">
        <v>5755</v>
      </c>
      <c r="D1581" s="111">
        <v>30.61</v>
      </c>
    </row>
    <row r="1582" spans="1:4" ht="25.5" x14ac:dyDescent="0.25">
      <c r="A1582" s="106">
        <v>3451</v>
      </c>
      <c r="B1582" s="108" t="s">
        <v>7103</v>
      </c>
      <c r="C1582" s="110" t="s">
        <v>5755</v>
      </c>
      <c r="D1582" s="111">
        <v>6.07</v>
      </c>
    </row>
    <row r="1583" spans="1:4" ht="25.5" x14ac:dyDescent="0.25">
      <c r="A1583" s="106">
        <v>3454</v>
      </c>
      <c r="B1583" s="108" t="s">
        <v>7104</v>
      </c>
      <c r="C1583" s="110" t="s">
        <v>5755</v>
      </c>
      <c r="D1583" s="111">
        <v>94.32</v>
      </c>
    </row>
    <row r="1584" spans="1:4" ht="25.5" x14ac:dyDescent="0.25">
      <c r="A1584" s="106">
        <v>3458</v>
      </c>
      <c r="B1584" s="108" t="s">
        <v>7105</v>
      </c>
      <c r="C1584" s="110" t="s">
        <v>5755</v>
      </c>
      <c r="D1584" s="111">
        <v>17.03</v>
      </c>
    </row>
    <row r="1585" spans="1:4" ht="25.5" x14ac:dyDescent="0.25">
      <c r="A1585" s="106">
        <v>3457</v>
      </c>
      <c r="B1585" s="108" t="s">
        <v>7106</v>
      </c>
      <c r="C1585" s="110" t="s">
        <v>5755</v>
      </c>
      <c r="D1585" s="111">
        <v>12.78</v>
      </c>
    </row>
    <row r="1586" spans="1:4" x14ac:dyDescent="0.25">
      <c r="A1586" s="106">
        <v>3455</v>
      </c>
      <c r="B1586" s="108" t="s">
        <v>7107</v>
      </c>
      <c r="C1586" s="110" t="s">
        <v>5755</v>
      </c>
      <c r="D1586" s="111">
        <v>3.63</v>
      </c>
    </row>
    <row r="1587" spans="1:4" x14ac:dyDescent="0.25">
      <c r="A1587" s="106">
        <v>3472</v>
      </c>
      <c r="B1587" s="108" t="s">
        <v>7108</v>
      </c>
      <c r="C1587" s="110" t="s">
        <v>5755</v>
      </c>
      <c r="D1587" s="111">
        <v>8.15</v>
      </c>
    </row>
    <row r="1588" spans="1:4" ht="25.5" x14ac:dyDescent="0.25">
      <c r="A1588" s="106">
        <v>3470</v>
      </c>
      <c r="B1588" s="108" t="s">
        <v>7109</v>
      </c>
      <c r="C1588" s="110" t="s">
        <v>5755</v>
      </c>
      <c r="D1588" s="111">
        <v>47.55</v>
      </c>
    </row>
    <row r="1589" spans="1:4" x14ac:dyDescent="0.25">
      <c r="A1589" s="106">
        <v>3471</v>
      </c>
      <c r="B1589" s="108" t="s">
        <v>7110</v>
      </c>
      <c r="C1589" s="110" t="s">
        <v>5755</v>
      </c>
      <c r="D1589" s="111">
        <v>26.13</v>
      </c>
    </row>
    <row r="1590" spans="1:4" x14ac:dyDescent="0.25">
      <c r="A1590" s="106">
        <v>3456</v>
      </c>
      <c r="B1590" s="108" t="s">
        <v>7111</v>
      </c>
      <c r="C1590" s="110" t="s">
        <v>5755</v>
      </c>
      <c r="D1590" s="111">
        <v>5.43</v>
      </c>
    </row>
    <row r="1591" spans="1:4" x14ac:dyDescent="0.25">
      <c r="A1591" s="106">
        <v>3459</v>
      </c>
      <c r="B1591" s="108" t="s">
        <v>7112</v>
      </c>
      <c r="C1591" s="110" t="s">
        <v>5755</v>
      </c>
      <c r="D1591" s="111">
        <v>67.069999999999993</v>
      </c>
    </row>
    <row r="1592" spans="1:4" x14ac:dyDescent="0.25">
      <c r="A1592" s="106">
        <v>3469</v>
      </c>
      <c r="B1592" s="108" t="s">
        <v>7113</v>
      </c>
      <c r="C1592" s="110" t="s">
        <v>5755</v>
      </c>
      <c r="D1592" s="111">
        <v>127.56</v>
      </c>
    </row>
    <row r="1593" spans="1:4" x14ac:dyDescent="0.25">
      <c r="A1593" s="106">
        <v>3460</v>
      </c>
      <c r="B1593" s="108" t="s">
        <v>7114</v>
      </c>
      <c r="C1593" s="110" t="s">
        <v>5755</v>
      </c>
      <c r="D1593" s="111">
        <v>186.13</v>
      </c>
    </row>
    <row r="1594" spans="1:4" x14ac:dyDescent="0.25">
      <c r="A1594" s="106">
        <v>3461</v>
      </c>
      <c r="B1594" s="108" t="s">
        <v>7115</v>
      </c>
      <c r="C1594" s="110" t="s">
        <v>5755</v>
      </c>
      <c r="D1594" s="111">
        <v>475.73</v>
      </c>
    </row>
    <row r="1595" spans="1:4" x14ac:dyDescent="0.25">
      <c r="A1595" s="106">
        <v>37433</v>
      </c>
      <c r="B1595" s="108" t="s">
        <v>7116</v>
      </c>
      <c r="C1595" s="110" t="s">
        <v>5755</v>
      </c>
      <c r="D1595" s="111">
        <v>164.35</v>
      </c>
    </row>
    <row r="1596" spans="1:4" x14ac:dyDescent="0.25">
      <c r="A1596" s="106">
        <v>37430</v>
      </c>
      <c r="B1596" s="108" t="s">
        <v>7117</v>
      </c>
      <c r="C1596" s="110" t="s">
        <v>5755</v>
      </c>
      <c r="D1596" s="111">
        <v>20.59</v>
      </c>
    </row>
    <row r="1597" spans="1:4" x14ac:dyDescent="0.25">
      <c r="A1597" s="106">
        <v>37434</v>
      </c>
      <c r="B1597" s="108" t="s">
        <v>7118</v>
      </c>
      <c r="C1597" s="110" t="s">
        <v>5755</v>
      </c>
      <c r="D1597" s="111">
        <v>1532.39</v>
      </c>
    </row>
    <row r="1598" spans="1:4" x14ac:dyDescent="0.25">
      <c r="A1598" s="106">
        <v>37431</v>
      </c>
      <c r="B1598" s="108" t="s">
        <v>7119</v>
      </c>
      <c r="C1598" s="110" t="s">
        <v>5755</v>
      </c>
      <c r="D1598" s="111">
        <v>27.94</v>
      </c>
    </row>
    <row r="1599" spans="1:4" x14ac:dyDescent="0.25">
      <c r="A1599" s="106">
        <v>37432</v>
      </c>
      <c r="B1599" s="108" t="s">
        <v>7120</v>
      </c>
      <c r="C1599" s="110" t="s">
        <v>5755</v>
      </c>
      <c r="D1599" s="111">
        <v>51.53</v>
      </c>
    </row>
    <row r="1600" spans="1:4" ht="25.5" x14ac:dyDescent="0.25">
      <c r="A1600" s="106">
        <v>37413</v>
      </c>
      <c r="B1600" s="108" t="s">
        <v>7121</v>
      </c>
      <c r="C1600" s="110" t="s">
        <v>5755</v>
      </c>
      <c r="D1600" s="111">
        <v>3.46</v>
      </c>
    </row>
    <row r="1601" spans="1:4" ht="25.5" x14ac:dyDescent="0.25">
      <c r="A1601" s="106">
        <v>37414</v>
      </c>
      <c r="B1601" s="108" t="s">
        <v>7122</v>
      </c>
      <c r="C1601" s="110" t="s">
        <v>5755</v>
      </c>
      <c r="D1601" s="111">
        <v>3.93</v>
      </c>
    </row>
    <row r="1602" spans="1:4" ht="25.5" x14ac:dyDescent="0.25">
      <c r="A1602" s="106">
        <v>37415</v>
      </c>
      <c r="B1602" s="108" t="s">
        <v>7123</v>
      </c>
      <c r="C1602" s="110" t="s">
        <v>5755</v>
      </c>
      <c r="D1602" s="111">
        <v>7.15</v>
      </c>
    </row>
    <row r="1603" spans="1:4" ht="25.5" x14ac:dyDescent="0.25">
      <c r="A1603" s="106">
        <v>37416</v>
      </c>
      <c r="B1603" s="108" t="s">
        <v>7124</v>
      </c>
      <c r="C1603" s="110" t="s">
        <v>5755</v>
      </c>
      <c r="D1603" s="111">
        <v>3.24</v>
      </c>
    </row>
    <row r="1604" spans="1:4" ht="25.5" x14ac:dyDescent="0.25">
      <c r="A1604" s="106">
        <v>37417</v>
      </c>
      <c r="B1604" s="108" t="s">
        <v>7125</v>
      </c>
      <c r="C1604" s="110" t="s">
        <v>5755</v>
      </c>
      <c r="D1604" s="111">
        <v>4.66</v>
      </c>
    </row>
    <row r="1605" spans="1:4" x14ac:dyDescent="0.25">
      <c r="A1605" s="106">
        <v>34519</v>
      </c>
      <c r="B1605" s="108" t="s">
        <v>7126</v>
      </c>
      <c r="C1605" s="110" t="s">
        <v>5755</v>
      </c>
      <c r="D1605" s="111">
        <v>71.819999999999993</v>
      </c>
    </row>
    <row r="1606" spans="1:4" ht="25.5" x14ac:dyDescent="0.25">
      <c r="A1606" s="106">
        <v>10510</v>
      </c>
      <c r="B1606" s="108" t="s">
        <v>7127</v>
      </c>
      <c r="C1606" s="110" t="s">
        <v>5755</v>
      </c>
      <c r="D1606" s="111">
        <v>73.930000000000007</v>
      </c>
    </row>
    <row r="1607" spans="1:4" x14ac:dyDescent="0.25">
      <c r="A1607" s="106">
        <v>1649</v>
      </c>
      <c r="B1607" s="108" t="s">
        <v>7128</v>
      </c>
      <c r="C1607" s="110" t="s">
        <v>5755</v>
      </c>
      <c r="D1607" s="111">
        <v>40.159999999999997</v>
      </c>
    </row>
    <row r="1608" spans="1:4" x14ac:dyDescent="0.25">
      <c r="A1608" s="106">
        <v>1653</v>
      </c>
      <c r="B1608" s="108" t="s">
        <v>7129</v>
      </c>
      <c r="C1608" s="110" t="s">
        <v>5755</v>
      </c>
      <c r="D1608" s="111">
        <v>31.46</v>
      </c>
    </row>
    <row r="1609" spans="1:4" x14ac:dyDescent="0.25">
      <c r="A1609" s="106">
        <v>1647</v>
      </c>
      <c r="B1609" s="108" t="s">
        <v>7130</v>
      </c>
      <c r="C1609" s="110" t="s">
        <v>5755</v>
      </c>
      <c r="D1609" s="111">
        <v>11.26</v>
      </c>
    </row>
    <row r="1610" spans="1:4" x14ac:dyDescent="0.25">
      <c r="A1610" s="106">
        <v>1648</v>
      </c>
      <c r="B1610" s="108" t="s">
        <v>7131</v>
      </c>
      <c r="C1610" s="110" t="s">
        <v>5755</v>
      </c>
      <c r="D1610" s="111">
        <v>21.63</v>
      </c>
    </row>
    <row r="1611" spans="1:4" x14ac:dyDescent="0.25">
      <c r="A1611" s="106">
        <v>1651</v>
      </c>
      <c r="B1611" s="108" t="s">
        <v>7132</v>
      </c>
      <c r="C1611" s="110" t="s">
        <v>5755</v>
      </c>
      <c r="D1611" s="111">
        <v>100.34</v>
      </c>
    </row>
    <row r="1612" spans="1:4" x14ac:dyDescent="0.25">
      <c r="A1612" s="106">
        <v>1650</v>
      </c>
      <c r="B1612" s="108" t="s">
        <v>7133</v>
      </c>
      <c r="C1612" s="110" t="s">
        <v>5755</v>
      </c>
      <c r="D1612" s="111">
        <v>55.46</v>
      </c>
    </row>
    <row r="1613" spans="1:4" x14ac:dyDescent="0.25">
      <c r="A1613" s="106">
        <v>1654</v>
      </c>
      <c r="B1613" s="108" t="s">
        <v>7134</v>
      </c>
      <c r="C1613" s="110" t="s">
        <v>5755</v>
      </c>
      <c r="D1613" s="111">
        <v>15.46</v>
      </c>
    </row>
    <row r="1614" spans="1:4" x14ac:dyDescent="0.25">
      <c r="A1614" s="106">
        <v>1652</v>
      </c>
      <c r="B1614" s="108" t="s">
        <v>7135</v>
      </c>
      <c r="C1614" s="110" t="s">
        <v>5755</v>
      </c>
      <c r="D1614" s="111">
        <v>144.02000000000001</v>
      </c>
    </row>
    <row r="1615" spans="1:4" ht="25.5" x14ac:dyDescent="0.25">
      <c r="A1615" s="106">
        <v>1747</v>
      </c>
      <c r="B1615" s="108" t="s">
        <v>7136</v>
      </c>
      <c r="C1615" s="110" t="s">
        <v>5755</v>
      </c>
      <c r="D1615" s="111">
        <v>145.97</v>
      </c>
    </row>
    <row r="1616" spans="1:4" ht="25.5" x14ac:dyDescent="0.25">
      <c r="A1616" s="106">
        <v>1744</v>
      </c>
      <c r="B1616" s="108" t="s">
        <v>7137</v>
      </c>
      <c r="C1616" s="110" t="s">
        <v>5755</v>
      </c>
      <c r="D1616" s="111">
        <v>101.11</v>
      </c>
    </row>
    <row r="1617" spans="1:4" ht="25.5" x14ac:dyDescent="0.25">
      <c r="A1617" s="106">
        <v>1743</v>
      </c>
      <c r="B1617" s="108" t="s">
        <v>469</v>
      </c>
      <c r="C1617" s="110" t="s">
        <v>5755</v>
      </c>
      <c r="D1617" s="111">
        <v>132.77000000000001</v>
      </c>
    </row>
    <row r="1618" spans="1:4" ht="38.25" x14ac:dyDescent="0.25">
      <c r="A1618" s="106">
        <v>39640</v>
      </c>
      <c r="B1618" s="108" t="s">
        <v>7138</v>
      </c>
      <c r="C1618" s="110" t="s">
        <v>5755</v>
      </c>
      <c r="D1618" s="111">
        <v>5.95</v>
      </c>
    </row>
    <row r="1619" spans="1:4" ht="38.25" x14ac:dyDescent="0.25">
      <c r="A1619" s="106">
        <v>11013</v>
      </c>
      <c r="B1619" s="108" t="s">
        <v>7139</v>
      </c>
      <c r="C1619" s="110" t="s">
        <v>5755</v>
      </c>
      <c r="D1619" s="111">
        <v>12.25</v>
      </c>
    </row>
    <row r="1620" spans="1:4" ht="38.25" x14ac:dyDescent="0.25">
      <c r="A1620" s="106">
        <v>11017</v>
      </c>
      <c r="B1620" s="108" t="s">
        <v>7140</v>
      </c>
      <c r="C1620" s="110" t="s">
        <v>5755</v>
      </c>
      <c r="D1620" s="111">
        <v>5.23</v>
      </c>
    </row>
    <row r="1621" spans="1:4" ht="25.5" x14ac:dyDescent="0.25">
      <c r="A1621" s="106">
        <v>20236</v>
      </c>
      <c r="B1621" s="108" t="s">
        <v>7141</v>
      </c>
      <c r="C1621" s="110" t="s">
        <v>5755</v>
      </c>
      <c r="D1621" s="111">
        <v>23.03</v>
      </c>
    </row>
    <row r="1622" spans="1:4" ht="25.5" x14ac:dyDescent="0.25">
      <c r="A1622" s="106">
        <v>7215</v>
      </c>
      <c r="B1622" s="108" t="s">
        <v>7142</v>
      </c>
      <c r="C1622" s="110" t="s">
        <v>5755</v>
      </c>
      <c r="D1622" s="111">
        <v>19.72</v>
      </c>
    </row>
    <row r="1623" spans="1:4" ht="25.5" x14ac:dyDescent="0.25">
      <c r="A1623" s="106">
        <v>7216</v>
      </c>
      <c r="B1623" s="108" t="s">
        <v>7143</v>
      </c>
      <c r="C1623" s="110" t="s">
        <v>5755</v>
      </c>
      <c r="D1623" s="111">
        <v>82.42</v>
      </c>
    </row>
    <row r="1624" spans="1:4" ht="25.5" x14ac:dyDescent="0.25">
      <c r="A1624" s="106">
        <v>20235</v>
      </c>
      <c r="B1624" s="108" t="s">
        <v>7144</v>
      </c>
      <c r="C1624" s="110" t="s">
        <v>5755</v>
      </c>
      <c r="D1624" s="111">
        <v>41.67</v>
      </c>
    </row>
    <row r="1625" spans="1:4" ht="25.5" x14ac:dyDescent="0.25">
      <c r="A1625" s="106">
        <v>7181</v>
      </c>
      <c r="B1625" s="108" t="s">
        <v>7145</v>
      </c>
      <c r="C1625" s="110" t="s">
        <v>5755</v>
      </c>
      <c r="D1625" s="111">
        <v>4.1399999999999997</v>
      </c>
    </row>
    <row r="1626" spans="1:4" ht="25.5" x14ac:dyDescent="0.25">
      <c r="A1626" s="106">
        <v>40742</v>
      </c>
      <c r="B1626" s="108" t="s">
        <v>13075</v>
      </c>
      <c r="C1626" s="110" t="s">
        <v>5755</v>
      </c>
      <c r="D1626" s="111">
        <v>7.4</v>
      </c>
    </row>
    <row r="1627" spans="1:4" ht="25.5" x14ac:dyDescent="0.25">
      <c r="A1627" s="106">
        <v>7214</v>
      </c>
      <c r="B1627" s="108" t="s">
        <v>7146</v>
      </c>
      <c r="C1627" s="110" t="s">
        <v>5755</v>
      </c>
      <c r="D1627" s="111">
        <v>28.24</v>
      </c>
    </row>
    <row r="1628" spans="1:4" ht="25.5" x14ac:dyDescent="0.25">
      <c r="A1628" s="106">
        <v>7219</v>
      </c>
      <c r="B1628" s="108" t="s">
        <v>7147</v>
      </c>
      <c r="C1628" s="110" t="s">
        <v>5755</v>
      </c>
      <c r="D1628" s="111">
        <v>29.23</v>
      </c>
    </row>
    <row r="1629" spans="1:4" x14ac:dyDescent="0.25">
      <c r="A1629" s="106">
        <v>37972</v>
      </c>
      <c r="B1629" s="108" t="s">
        <v>7148</v>
      </c>
      <c r="C1629" s="110" t="s">
        <v>5755</v>
      </c>
      <c r="D1629" s="111">
        <v>8.42</v>
      </c>
    </row>
    <row r="1630" spans="1:4" x14ac:dyDescent="0.25">
      <c r="A1630" s="106">
        <v>37973</v>
      </c>
      <c r="B1630" s="108" t="s">
        <v>7149</v>
      </c>
      <c r="C1630" s="110" t="s">
        <v>5755</v>
      </c>
      <c r="D1630" s="111">
        <v>13.48</v>
      </c>
    </row>
    <row r="1631" spans="1:4" x14ac:dyDescent="0.25">
      <c r="A1631" s="106">
        <v>37971</v>
      </c>
      <c r="B1631" s="108" t="s">
        <v>7150</v>
      </c>
      <c r="C1631" s="110" t="s">
        <v>5755</v>
      </c>
      <c r="D1631" s="111">
        <v>5.0599999999999996</v>
      </c>
    </row>
    <row r="1632" spans="1:4" ht="25.5" x14ac:dyDescent="0.25">
      <c r="A1632" s="106">
        <v>20094</v>
      </c>
      <c r="B1632" s="108" t="s">
        <v>7151</v>
      </c>
      <c r="C1632" s="110" t="s">
        <v>5755</v>
      </c>
      <c r="D1632" s="111">
        <v>14.25</v>
      </c>
    </row>
    <row r="1633" spans="1:4" ht="25.5" x14ac:dyDescent="0.25">
      <c r="A1633" s="106">
        <v>20095</v>
      </c>
      <c r="B1633" s="108" t="s">
        <v>7152</v>
      </c>
      <c r="C1633" s="110" t="s">
        <v>5755</v>
      </c>
      <c r="D1633" s="111">
        <v>18.149999999999999</v>
      </c>
    </row>
    <row r="1634" spans="1:4" ht="25.5" x14ac:dyDescent="0.25">
      <c r="A1634" s="106">
        <v>1954</v>
      </c>
      <c r="B1634" s="108" t="s">
        <v>7153</v>
      </c>
      <c r="C1634" s="110" t="s">
        <v>5755</v>
      </c>
      <c r="D1634" s="111">
        <v>103.3</v>
      </c>
    </row>
    <row r="1635" spans="1:4" ht="25.5" x14ac:dyDescent="0.25">
      <c r="A1635" s="106">
        <v>1926</v>
      </c>
      <c r="B1635" s="108" t="s">
        <v>7154</v>
      </c>
      <c r="C1635" s="110" t="s">
        <v>5755</v>
      </c>
      <c r="D1635" s="111">
        <v>1.36</v>
      </c>
    </row>
    <row r="1636" spans="1:4" ht="25.5" x14ac:dyDescent="0.25">
      <c r="A1636" s="106">
        <v>1927</v>
      </c>
      <c r="B1636" s="108" t="s">
        <v>7155</v>
      </c>
      <c r="C1636" s="110" t="s">
        <v>5755</v>
      </c>
      <c r="D1636" s="111">
        <v>1.8</v>
      </c>
    </row>
    <row r="1637" spans="1:4" ht="25.5" x14ac:dyDescent="0.25">
      <c r="A1637" s="106">
        <v>1923</v>
      </c>
      <c r="B1637" s="108" t="s">
        <v>7156</v>
      </c>
      <c r="C1637" s="110" t="s">
        <v>5755</v>
      </c>
      <c r="D1637" s="111">
        <v>2.94</v>
      </c>
    </row>
    <row r="1638" spans="1:4" ht="25.5" x14ac:dyDescent="0.25">
      <c r="A1638" s="106">
        <v>1929</v>
      </c>
      <c r="B1638" s="108" t="s">
        <v>7157</v>
      </c>
      <c r="C1638" s="110" t="s">
        <v>5755</v>
      </c>
      <c r="D1638" s="111">
        <v>4.82</v>
      </c>
    </row>
    <row r="1639" spans="1:4" ht="25.5" x14ac:dyDescent="0.25">
      <c r="A1639" s="106">
        <v>1930</v>
      </c>
      <c r="B1639" s="108" t="s">
        <v>7158</v>
      </c>
      <c r="C1639" s="110" t="s">
        <v>5755</v>
      </c>
      <c r="D1639" s="111">
        <v>9.35</v>
      </c>
    </row>
    <row r="1640" spans="1:4" ht="25.5" x14ac:dyDescent="0.25">
      <c r="A1640" s="106">
        <v>1924</v>
      </c>
      <c r="B1640" s="108" t="s">
        <v>7159</v>
      </c>
      <c r="C1640" s="110" t="s">
        <v>5755</v>
      </c>
      <c r="D1640" s="111">
        <v>16.12</v>
      </c>
    </row>
    <row r="1641" spans="1:4" ht="25.5" x14ac:dyDescent="0.25">
      <c r="A1641" s="106">
        <v>1922</v>
      </c>
      <c r="B1641" s="108" t="s">
        <v>7160</v>
      </c>
      <c r="C1641" s="110" t="s">
        <v>5755</v>
      </c>
      <c r="D1641" s="111">
        <v>23.95</v>
      </c>
    </row>
    <row r="1642" spans="1:4" ht="25.5" x14ac:dyDescent="0.25">
      <c r="A1642" s="106">
        <v>1953</v>
      </c>
      <c r="B1642" s="108" t="s">
        <v>7161</v>
      </c>
      <c r="C1642" s="110" t="s">
        <v>5755</v>
      </c>
      <c r="D1642" s="111">
        <v>41.85</v>
      </c>
    </row>
    <row r="1643" spans="1:4" ht="25.5" x14ac:dyDescent="0.25">
      <c r="A1643" s="106">
        <v>1962</v>
      </c>
      <c r="B1643" s="108" t="s">
        <v>7162</v>
      </c>
      <c r="C1643" s="110" t="s">
        <v>5755</v>
      </c>
      <c r="D1643" s="111">
        <v>136.93</v>
      </c>
    </row>
    <row r="1644" spans="1:4" ht="25.5" x14ac:dyDescent="0.25">
      <c r="A1644" s="106">
        <v>1955</v>
      </c>
      <c r="B1644" s="108" t="s">
        <v>7163</v>
      </c>
      <c r="C1644" s="110" t="s">
        <v>5755</v>
      </c>
      <c r="D1644" s="111">
        <v>1.81</v>
      </c>
    </row>
    <row r="1645" spans="1:4" ht="25.5" x14ac:dyDescent="0.25">
      <c r="A1645" s="106">
        <v>1956</v>
      </c>
      <c r="B1645" s="108" t="s">
        <v>7164</v>
      </c>
      <c r="C1645" s="110" t="s">
        <v>5755</v>
      </c>
      <c r="D1645" s="111">
        <v>2.33</v>
      </c>
    </row>
    <row r="1646" spans="1:4" ht="25.5" x14ac:dyDescent="0.25">
      <c r="A1646" s="106">
        <v>1957</v>
      </c>
      <c r="B1646" s="108" t="s">
        <v>7165</v>
      </c>
      <c r="C1646" s="110" t="s">
        <v>5755</v>
      </c>
      <c r="D1646" s="111">
        <v>5.3</v>
      </c>
    </row>
    <row r="1647" spans="1:4" ht="25.5" x14ac:dyDescent="0.25">
      <c r="A1647" s="106">
        <v>1958</v>
      </c>
      <c r="B1647" s="108" t="s">
        <v>7166</v>
      </c>
      <c r="C1647" s="110" t="s">
        <v>5755</v>
      </c>
      <c r="D1647" s="111">
        <v>9.42</v>
      </c>
    </row>
    <row r="1648" spans="1:4" ht="25.5" x14ac:dyDescent="0.25">
      <c r="A1648" s="106">
        <v>1959</v>
      </c>
      <c r="B1648" s="108" t="s">
        <v>7167</v>
      </c>
      <c r="C1648" s="110" t="s">
        <v>5755</v>
      </c>
      <c r="D1648" s="111">
        <v>11.48</v>
      </c>
    </row>
    <row r="1649" spans="1:4" ht="25.5" x14ac:dyDescent="0.25">
      <c r="A1649" s="106">
        <v>1925</v>
      </c>
      <c r="B1649" s="108" t="s">
        <v>7168</v>
      </c>
      <c r="C1649" s="110" t="s">
        <v>5755</v>
      </c>
      <c r="D1649" s="111">
        <v>28.39</v>
      </c>
    </row>
    <row r="1650" spans="1:4" ht="25.5" x14ac:dyDescent="0.25">
      <c r="A1650" s="106">
        <v>1960</v>
      </c>
      <c r="B1650" s="108" t="s">
        <v>7169</v>
      </c>
      <c r="C1650" s="110" t="s">
        <v>5755</v>
      </c>
      <c r="D1650" s="111">
        <v>40.36</v>
      </c>
    </row>
    <row r="1651" spans="1:4" ht="25.5" x14ac:dyDescent="0.25">
      <c r="A1651" s="106">
        <v>1961</v>
      </c>
      <c r="B1651" s="108" t="s">
        <v>7170</v>
      </c>
      <c r="C1651" s="110" t="s">
        <v>5755</v>
      </c>
      <c r="D1651" s="111">
        <v>58</v>
      </c>
    </row>
    <row r="1652" spans="1:4" x14ac:dyDescent="0.25">
      <c r="A1652" s="106">
        <v>38426</v>
      </c>
      <c r="B1652" s="108" t="s">
        <v>7171</v>
      </c>
      <c r="C1652" s="110" t="s">
        <v>5755</v>
      </c>
      <c r="D1652" s="111">
        <v>17.72</v>
      </c>
    </row>
    <row r="1653" spans="1:4" x14ac:dyDescent="0.25">
      <c r="A1653" s="106">
        <v>38423</v>
      </c>
      <c r="B1653" s="108" t="s">
        <v>7172</v>
      </c>
      <c r="C1653" s="110" t="s">
        <v>5755</v>
      </c>
      <c r="D1653" s="111">
        <v>40.200000000000003</v>
      </c>
    </row>
    <row r="1654" spans="1:4" x14ac:dyDescent="0.25">
      <c r="A1654" s="106">
        <v>38421</v>
      </c>
      <c r="B1654" s="108" t="s">
        <v>7173</v>
      </c>
      <c r="C1654" s="110" t="s">
        <v>5755</v>
      </c>
      <c r="D1654" s="111">
        <v>18.98</v>
      </c>
    </row>
    <row r="1655" spans="1:4" x14ac:dyDescent="0.25">
      <c r="A1655" s="106">
        <v>38422</v>
      </c>
      <c r="B1655" s="108" t="s">
        <v>7174</v>
      </c>
      <c r="C1655" s="110" t="s">
        <v>5755</v>
      </c>
      <c r="D1655" s="111">
        <v>27.74</v>
      </c>
    </row>
    <row r="1656" spans="1:4" ht="25.5" x14ac:dyDescent="0.25">
      <c r="A1656" s="106">
        <v>39866</v>
      </c>
      <c r="B1656" s="108" t="s">
        <v>7175</v>
      </c>
      <c r="C1656" s="110" t="s">
        <v>5755</v>
      </c>
      <c r="D1656" s="111">
        <v>11.92</v>
      </c>
    </row>
    <row r="1657" spans="1:4" ht="25.5" x14ac:dyDescent="0.25">
      <c r="A1657" s="106">
        <v>39867</v>
      </c>
      <c r="B1657" s="108" t="s">
        <v>7176</v>
      </c>
      <c r="C1657" s="110" t="s">
        <v>5755</v>
      </c>
      <c r="D1657" s="111">
        <v>26.51</v>
      </c>
    </row>
    <row r="1658" spans="1:4" ht="25.5" x14ac:dyDescent="0.25">
      <c r="A1658" s="106">
        <v>39868</v>
      </c>
      <c r="B1658" s="108" t="s">
        <v>7177</v>
      </c>
      <c r="C1658" s="110" t="s">
        <v>5755</v>
      </c>
      <c r="D1658" s="111">
        <v>47.76</v>
      </c>
    </row>
    <row r="1659" spans="1:4" x14ac:dyDescent="0.25">
      <c r="A1659" s="106">
        <v>37999</v>
      </c>
      <c r="B1659" s="108" t="s">
        <v>7178</v>
      </c>
      <c r="C1659" s="110" t="s">
        <v>5755</v>
      </c>
      <c r="D1659" s="111">
        <v>8.08</v>
      </c>
    </row>
    <row r="1660" spans="1:4" x14ac:dyDescent="0.25">
      <c r="A1660" s="106">
        <v>38000</v>
      </c>
      <c r="B1660" s="108" t="s">
        <v>7179</v>
      </c>
      <c r="C1660" s="110" t="s">
        <v>5755</v>
      </c>
      <c r="D1660" s="111">
        <v>10.69</v>
      </c>
    </row>
    <row r="1661" spans="1:4" ht="25.5" x14ac:dyDescent="0.25">
      <c r="A1661" s="106">
        <v>38129</v>
      </c>
      <c r="B1661" s="108" t="s">
        <v>7180</v>
      </c>
      <c r="C1661" s="110" t="s">
        <v>5755</v>
      </c>
      <c r="D1661" s="111">
        <v>3.14</v>
      </c>
    </row>
    <row r="1662" spans="1:4" ht="25.5" x14ac:dyDescent="0.25">
      <c r="A1662" s="106">
        <v>38025</v>
      </c>
      <c r="B1662" s="108" t="s">
        <v>7181</v>
      </c>
      <c r="C1662" s="110" t="s">
        <v>5755</v>
      </c>
      <c r="D1662" s="111">
        <v>5.24</v>
      </c>
    </row>
    <row r="1663" spans="1:4" ht="25.5" x14ac:dyDescent="0.25">
      <c r="A1663" s="106">
        <v>38026</v>
      </c>
      <c r="B1663" s="108" t="s">
        <v>7182</v>
      </c>
      <c r="C1663" s="110" t="s">
        <v>5755</v>
      </c>
      <c r="D1663" s="111">
        <v>14.04</v>
      </c>
    </row>
    <row r="1664" spans="1:4" ht="25.5" x14ac:dyDescent="0.25">
      <c r="A1664" s="106">
        <v>1858</v>
      </c>
      <c r="B1664" s="108" t="s">
        <v>7183</v>
      </c>
      <c r="C1664" s="110" t="s">
        <v>5755</v>
      </c>
      <c r="D1664" s="111">
        <v>19.96</v>
      </c>
    </row>
    <row r="1665" spans="1:4" ht="25.5" x14ac:dyDescent="0.25">
      <c r="A1665" s="106">
        <v>1844</v>
      </c>
      <c r="B1665" s="108" t="s">
        <v>7184</v>
      </c>
      <c r="C1665" s="110" t="s">
        <v>5755</v>
      </c>
      <c r="D1665" s="111">
        <v>73.599999999999994</v>
      </c>
    </row>
    <row r="1666" spans="1:4" ht="25.5" x14ac:dyDescent="0.25">
      <c r="A1666" s="106">
        <v>1863</v>
      </c>
      <c r="B1666" s="108" t="s">
        <v>7185</v>
      </c>
      <c r="C1666" s="110" t="s">
        <v>5755</v>
      </c>
      <c r="D1666" s="111">
        <v>28.97</v>
      </c>
    </row>
    <row r="1667" spans="1:4" ht="25.5" x14ac:dyDescent="0.25">
      <c r="A1667" s="106">
        <v>1865</v>
      </c>
      <c r="B1667" s="108" t="s">
        <v>7186</v>
      </c>
      <c r="C1667" s="110" t="s">
        <v>5755</v>
      </c>
      <c r="D1667" s="111">
        <v>105.69</v>
      </c>
    </row>
    <row r="1668" spans="1:4" x14ac:dyDescent="0.25">
      <c r="A1668" s="106">
        <v>36355</v>
      </c>
      <c r="B1668" s="108" t="s">
        <v>7187</v>
      </c>
      <c r="C1668" s="110" t="s">
        <v>5755</v>
      </c>
      <c r="D1668" s="111">
        <v>4.7699999999999996</v>
      </c>
    </row>
    <row r="1669" spans="1:4" x14ac:dyDescent="0.25">
      <c r="A1669" s="106">
        <v>36356</v>
      </c>
      <c r="B1669" s="108" t="s">
        <v>7188</v>
      </c>
      <c r="C1669" s="110" t="s">
        <v>5755</v>
      </c>
      <c r="D1669" s="111">
        <v>8.0299999999999994</v>
      </c>
    </row>
    <row r="1670" spans="1:4" x14ac:dyDescent="0.25">
      <c r="A1670" s="106">
        <v>1932</v>
      </c>
      <c r="B1670" s="108" t="s">
        <v>7189</v>
      </c>
      <c r="C1670" s="110" t="s">
        <v>5755</v>
      </c>
      <c r="D1670" s="111">
        <v>6.85</v>
      </c>
    </row>
    <row r="1671" spans="1:4" x14ac:dyDescent="0.25">
      <c r="A1671" s="106">
        <v>1933</v>
      </c>
      <c r="B1671" s="108" t="s">
        <v>7190</v>
      </c>
      <c r="C1671" s="110" t="s">
        <v>5755</v>
      </c>
      <c r="D1671" s="111">
        <v>3.01</v>
      </c>
    </row>
    <row r="1672" spans="1:4" x14ac:dyDescent="0.25">
      <c r="A1672" s="106">
        <v>1951</v>
      </c>
      <c r="B1672" s="108" t="s">
        <v>7191</v>
      </c>
      <c r="C1672" s="110" t="s">
        <v>5755</v>
      </c>
      <c r="D1672" s="111">
        <v>13.39</v>
      </c>
    </row>
    <row r="1673" spans="1:4" x14ac:dyDescent="0.25">
      <c r="A1673" s="106">
        <v>1966</v>
      </c>
      <c r="B1673" s="108" t="s">
        <v>7192</v>
      </c>
      <c r="C1673" s="110" t="s">
        <v>5755</v>
      </c>
      <c r="D1673" s="111">
        <v>15.41</v>
      </c>
    </row>
    <row r="1674" spans="1:4" x14ac:dyDescent="0.25">
      <c r="A1674" s="106">
        <v>1952</v>
      </c>
      <c r="B1674" s="108" t="s">
        <v>7193</v>
      </c>
      <c r="C1674" s="110" t="s">
        <v>5755</v>
      </c>
      <c r="D1674" s="111">
        <v>57.88</v>
      </c>
    </row>
    <row r="1675" spans="1:4" x14ac:dyDescent="0.25">
      <c r="A1675" s="106">
        <v>20104</v>
      </c>
      <c r="B1675" s="108" t="s">
        <v>7194</v>
      </c>
      <c r="C1675" s="110" t="s">
        <v>5755</v>
      </c>
      <c r="D1675" s="111">
        <v>427.66</v>
      </c>
    </row>
    <row r="1676" spans="1:4" x14ac:dyDescent="0.25">
      <c r="A1676" s="106">
        <v>20105</v>
      </c>
      <c r="B1676" s="108" t="s">
        <v>7195</v>
      </c>
      <c r="C1676" s="110" t="s">
        <v>5755</v>
      </c>
      <c r="D1676" s="111">
        <v>666.13</v>
      </c>
    </row>
    <row r="1677" spans="1:4" x14ac:dyDescent="0.25">
      <c r="A1677" s="106">
        <v>1965</v>
      </c>
      <c r="B1677" s="108" t="s">
        <v>580</v>
      </c>
      <c r="C1677" s="110" t="s">
        <v>5755</v>
      </c>
      <c r="D1677" s="111">
        <v>31.24</v>
      </c>
    </row>
    <row r="1678" spans="1:4" x14ac:dyDescent="0.25">
      <c r="A1678" s="106">
        <v>10765</v>
      </c>
      <c r="B1678" s="108" t="s">
        <v>7196</v>
      </c>
      <c r="C1678" s="110" t="s">
        <v>5755</v>
      </c>
      <c r="D1678" s="111">
        <v>7.89</v>
      </c>
    </row>
    <row r="1679" spans="1:4" x14ac:dyDescent="0.25">
      <c r="A1679" s="106">
        <v>10767</v>
      </c>
      <c r="B1679" s="108" t="s">
        <v>581</v>
      </c>
      <c r="C1679" s="110" t="s">
        <v>5755</v>
      </c>
      <c r="D1679" s="111">
        <v>25.87</v>
      </c>
    </row>
    <row r="1680" spans="1:4" x14ac:dyDescent="0.25">
      <c r="A1680" s="106">
        <v>1970</v>
      </c>
      <c r="B1680" s="108" t="s">
        <v>7197</v>
      </c>
      <c r="C1680" s="110" t="s">
        <v>5755</v>
      </c>
      <c r="D1680" s="111">
        <v>32.43</v>
      </c>
    </row>
    <row r="1681" spans="1:4" x14ac:dyDescent="0.25">
      <c r="A1681" s="106">
        <v>1967</v>
      </c>
      <c r="B1681" s="108" t="s">
        <v>7198</v>
      </c>
      <c r="C1681" s="110" t="s">
        <v>5755</v>
      </c>
      <c r="D1681" s="111">
        <v>3.61</v>
      </c>
    </row>
    <row r="1682" spans="1:4" x14ac:dyDescent="0.25">
      <c r="A1682" s="106">
        <v>1968</v>
      </c>
      <c r="B1682" s="108" t="s">
        <v>7199</v>
      </c>
      <c r="C1682" s="110" t="s">
        <v>5755</v>
      </c>
      <c r="D1682" s="111">
        <v>7.56</v>
      </c>
    </row>
    <row r="1683" spans="1:4" x14ac:dyDescent="0.25">
      <c r="A1683" s="106">
        <v>1969</v>
      </c>
      <c r="B1683" s="108" t="s">
        <v>7200</v>
      </c>
      <c r="C1683" s="110" t="s">
        <v>5755</v>
      </c>
      <c r="D1683" s="111">
        <v>22.24</v>
      </c>
    </row>
    <row r="1684" spans="1:4" ht="25.5" x14ac:dyDescent="0.25">
      <c r="A1684" s="106">
        <v>1839</v>
      </c>
      <c r="B1684" s="108" t="s">
        <v>7201</v>
      </c>
      <c r="C1684" s="110" t="s">
        <v>5755</v>
      </c>
      <c r="D1684" s="111">
        <v>103.2</v>
      </c>
    </row>
    <row r="1685" spans="1:4" ht="25.5" x14ac:dyDescent="0.25">
      <c r="A1685" s="106">
        <v>1835</v>
      </c>
      <c r="B1685" s="108" t="s">
        <v>7202</v>
      </c>
      <c r="C1685" s="110" t="s">
        <v>5755</v>
      </c>
      <c r="D1685" s="111">
        <v>21.94</v>
      </c>
    </row>
    <row r="1686" spans="1:4" ht="25.5" x14ac:dyDescent="0.25">
      <c r="A1686" s="106">
        <v>1823</v>
      </c>
      <c r="B1686" s="108" t="s">
        <v>7203</v>
      </c>
      <c r="C1686" s="110" t="s">
        <v>5755</v>
      </c>
      <c r="D1686" s="111">
        <v>42.42</v>
      </c>
    </row>
    <row r="1687" spans="1:4" ht="25.5" x14ac:dyDescent="0.25">
      <c r="A1687" s="106">
        <v>1827</v>
      </c>
      <c r="B1687" s="108" t="s">
        <v>7204</v>
      </c>
      <c r="C1687" s="110" t="s">
        <v>5755</v>
      </c>
      <c r="D1687" s="111">
        <v>102.2</v>
      </c>
    </row>
    <row r="1688" spans="1:4" ht="25.5" x14ac:dyDescent="0.25">
      <c r="A1688" s="106">
        <v>1831</v>
      </c>
      <c r="B1688" s="108" t="s">
        <v>7205</v>
      </c>
      <c r="C1688" s="110" t="s">
        <v>5755</v>
      </c>
      <c r="D1688" s="111">
        <v>22.31</v>
      </c>
    </row>
    <row r="1689" spans="1:4" ht="25.5" x14ac:dyDescent="0.25">
      <c r="A1689" s="106">
        <v>1825</v>
      </c>
      <c r="B1689" s="108" t="s">
        <v>7206</v>
      </c>
      <c r="C1689" s="110" t="s">
        <v>5755</v>
      </c>
      <c r="D1689" s="111">
        <v>55.06</v>
      </c>
    </row>
    <row r="1690" spans="1:4" ht="25.5" x14ac:dyDescent="0.25">
      <c r="A1690" s="106">
        <v>1828</v>
      </c>
      <c r="B1690" s="108" t="s">
        <v>7207</v>
      </c>
      <c r="C1690" s="110" t="s">
        <v>5755</v>
      </c>
      <c r="D1690" s="111">
        <v>124.71</v>
      </c>
    </row>
    <row r="1691" spans="1:4" ht="25.5" x14ac:dyDescent="0.25">
      <c r="A1691" s="106">
        <v>1845</v>
      </c>
      <c r="B1691" s="108" t="s">
        <v>7208</v>
      </c>
      <c r="C1691" s="110" t="s">
        <v>5755</v>
      </c>
      <c r="D1691" s="111">
        <v>27.96</v>
      </c>
    </row>
    <row r="1692" spans="1:4" ht="25.5" x14ac:dyDescent="0.25">
      <c r="A1692" s="106">
        <v>1824</v>
      </c>
      <c r="B1692" s="108" t="s">
        <v>7209</v>
      </c>
      <c r="C1692" s="110" t="s">
        <v>5755</v>
      </c>
      <c r="D1692" s="111">
        <v>66</v>
      </c>
    </row>
    <row r="1693" spans="1:4" x14ac:dyDescent="0.25">
      <c r="A1693" s="106">
        <v>1941</v>
      </c>
      <c r="B1693" s="108" t="s">
        <v>7210</v>
      </c>
      <c r="C1693" s="110" t="s">
        <v>5755</v>
      </c>
      <c r="D1693" s="111">
        <v>20.23</v>
      </c>
    </row>
    <row r="1694" spans="1:4" x14ac:dyDescent="0.25">
      <c r="A1694" s="106">
        <v>1940</v>
      </c>
      <c r="B1694" s="108" t="s">
        <v>7211</v>
      </c>
      <c r="C1694" s="110" t="s">
        <v>5755</v>
      </c>
      <c r="D1694" s="111">
        <v>15.29</v>
      </c>
    </row>
    <row r="1695" spans="1:4" x14ac:dyDescent="0.25">
      <c r="A1695" s="106">
        <v>1937</v>
      </c>
      <c r="B1695" s="108" t="s">
        <v>7212</v>
      </c>
      <c r="C1695" s="110" t="s">
        <v>5755</v>
      </c>
      <c r="D1695" s="111">
        <v>3.17</v>
      </c>
    </row>
    <row r="1696" spans="1:4" x14ac:dyDescent="0.25">
      <c r="A1696" s="106">
        <v>1939</v>
      </c>
      <c r="B1696" s="108" t="s">
        <v>7213</v>
      </c>
      <c r="C1696" s="110" t="s">
        <v>5755</v>
      </c>
      <c r="D1696" s="111">
        <v>6.29</v>
      </c>
    </row>
    <row r="1697" spans="1:4" x14ac:dyDescent="0.25">
      <c r="A1697" s="106">
        <v>1942</v>
      </c>
      <c r="B1697" s="108" t="s">
        <v>7214</v>
      </c>
      <c r="C1697" s="110" t="s">
        <v>5755</v>
      </c>
      <c r="D1697" s="111">
        <v>28.88</v>
      </c>
    </row>
    <row r="1698" spans="1:4" x14ac:dyDescent="0.25">
      <c r="A1698" s="106">
        <v>1938</v>
      </c>
      <c r="B1698" s="108" t="s">
        <v>7215</v>
      </c>
      <c r="C1698" s="110" t="s">
        <v>5755</v>
      </c>
      <c r="D1698" s="111">
        <v>4.0199999999999996</v>
      </c>
    </row>
    <row r="1699" spans="1:4" ht="25.5" x14ac:dyDescent="0.25">
      <c r="A1699" s="106">
        <v>42692</v>
      </c>
      <c r="B1699" s="108" t="s">
        <v>7216</v>
      </c>
      <c r="C1699" s="110" t="s">
        <v>5755</v>
      </c>
      <c r="D1699" s="111">
        <v>234.5</v>
      </c>
    </row>
    <row r="1700" spans="1:4" ht="25.5" x14ac:dyDescent="0.25">
      <c r="A1700" s="106">
        <v>42693</v>
      </c>
      <c r="B1700" s="108" t="s">
        <v>7217</v>
      </c>
      <c r="C1700" s="110" t="s">
        <v>5755</v>
      </c>
      <c r="D1700" s="111">
        <v>385.73</v>
      </c>
    </row>
    <row r="1701" spans="1:4" ht="25.5" x14ac:dyDescent="0.25">
      <c r="A1701" s="106">
        <v>42695</v>
      </c>
      <c r="B1701" s="108" t="s">
        <v>7218</v>
      </c>
      <c r="C1701" s="110" t="s">
        <v>5755</v>
      </c>
      <c r="D1701" s="111">
        <v>293.29000000000002</v>
      </c>
    </row>
    <row r="1702" spans="1:4" ht="25.5" x14ac:dyDescent="0.25">
      <c r="A1702" s="106">
        <v>42694</v>
      </c>
      <c r="B1702" s="108" t="s">
        <v>7219</v>
      </c>
      <c r="C1702" s="110" t="s">
        <v>5755</v>
      </c>
      <c r="D1702" s="111">
        <v>433.6</v>
      </c>
    </row>
    <row r="1703" spans="1:4" ht="25.5" x14ac:dyDescent="0.25">
      <c r="A1703" s="106">
        <v>20097</v>
      </c>
      <c r="B1703" s="108" t="s">
        <v>7220</v>
      </c>
      <c r="C1703" s="110" t="s">
        <v>5755</v>
      </c>
      <c r="D1703" s="111">
        <v>30.64</v>
      </c>
    </row>
    <row r="1704" spans="1:4" ht="25.5" x14ac:dyDescent="0.25">
      <c r="A1704" s="106">
        <v>20098</v>
      </c>
      <c r="B1704" s="108" t="s">
        <v>7221</v>
      </c>
      <c r="C1704" s="110" t="s">
        <v>5755</v>
      </c>
      <c r="D1704" s="111">
        <v>103.3</v>
      </c>
    </row>
    <row r="1705" spans="1:4" ht="25.5" x14ac:dyDescent="0.25">
      <c r="A1705" s="106">
        <v>20096</v>
      </c>
      <c r="B1705" s="108" t="s">
        <v>7222</v>
      </c>
      <c r="C1705" s="110" t="s">
        <v>5755</v>
      </c>
      <c r="D1705" s="111">
        <v>20.04</v>
      </c>
    </row>
    <row r="1706" spans="1:4" x14ac:dyDescent="0.25">
      <c r="A1706" s="106">
        <v>1964</v>
      </c>
      <c r="B1706" s="108" t="s">
        <v>7223</v>
      </c>
      <c r="C1706" s="110" t="s">
        <v>5755</v>
      </c>
      <c r="D1706" s="111">
        <v>18.53</v>
      </c>
    </row>
    <row r="1707" spans="1:4" x14ac:dyDescent="0.25">
      <c r="A1707" s="106">
        <v>1880</v>
      </c>
      <c r="B1707" s="108" t="s">
        <v>7224</v>
      </c>
      <c r="C1707" s="110" t="s">
        <v>5755</v>
      </c>
      <c r="D1707" s="111">
        <v>2.27</v>
      </c>
    </row>
    <row r="1708" spans="1:4" ht="25.5" x14ac:dyDescent="0.25">
      <c r="A1708" s="106">
        <v>39274</v>
      </c>
      <c r="B1708" s="108" t="s">
        <v>7225</v>
      </c>
      <c r="C1708" s="110" t="s">
        <v>5755</v>
      </c>
      <c r="D1708" s="111">
        <v>1.76</v>
      </c>
    </row>
    <row r="1709" spans="1:4" ht="25.5" x14ac:dyDescent="0.25">
      <c r="A1709" s="106">
        <v>2628</v>
      </c>
      <c r="B1709" s="108" t="s">
        <v>7226</v>
      </c>
      <c r="C1709" s="110" t="s">
        <v>5755</v>
      </c>
      <c r="D1709" s="111">
        <v>199.84</v>
      </c>
    </row>
    <row r="1710" spans="1:4" ht="25.5" x14ac:dyDescent="0.25">
      <c r="A1710" s="106">
        <v>2622</v>
      </c>
      <c r="B1710" s="108" t="s">
        <v>7227</v>
      </c>
      <c r="C1710" s="110" t="s">
        <v>5755</v>
      </c>
      <c r="D1710" s="111">
        <v>4.74</v>
      </c>
    </row>
    <row r="1711" spans="1:4" ht="25.5" x14ac:dyDescent="0.25">
      <c r="A1711" s="106">
        <v>2623</v>
      </c>
      <c r="B1711" s="108" t="s">
        <v>7228</v>
      </c>
      <c r="C1711" s="110" t="s">
        <v>5755</v>
      </c>
      <c r="D1711" s="111">
        <v>5.71</v>
      </c>
    </row>
    <row r="1712" spans="1:4" ht="25.5" x14ac:dyDescent="0.25">
      <c r="A1712" s="106">
        <v>2624</v>
      </c>
      <c r="B1712" s="108" t="s">
        <v>7229</v>
      </c>
      <c r="C1712" s="110" t="s">
        <v>5755</v>
      </c>
      <c r="D1712" s="111">
        <v>9.08</v>
      </c>
    </row>
    <row r="1713" spans="1:4" ht="25.5" x14ac:dyDescent="0.25">
      <c r="A1713" s="106">
        <v>2625</v>
      </c>
      <c r="B1713" s="108" t="s">
        <v>7230</v>
      </c>
      <c r="C1713" s="110" t="s">
        <v>5755</v>
      </c>
      <c r="D1713" s="111">
        <v>19.170000000000002</v>
      </c>
    </row>
    <row r="1714" spans="1:4" ht="25.5" x14ac:dyDescent="0.25">
      <c r="A1714" s="106">
        <v>2626</v>
      </c>
      <c r="B1714" s="108" t="s">
        <v>7231</v>
      </c>
      <c r="C1714" s="110" t="s">
        <v>5755</v>
      </c>
      <c r="D1714" s="111">
        <v>28.09</v>
      </c>
    </row>
    <row r="1715" spans="1:4" ht="25.5" x14ac:dyDescent="0.25">
      <c r="A1715" s="106">
        <v>2630</v>
      </c>
      <c r="B1715" s="108" t="s">
        <v>7232</v>
      </c>
      <c r="C1715" s="110" t="s">
        <v>5755</v>
      </c>
      <c r="D1715" s="111">
        <v>42.73</v>
      </c>
    </row>
    <row r="1716" spans="1:4" ht="25.5" x14ac:dyDescent="0.25">
      <c r="A1716" s="106">
        <v>2627</v>
      </c>
      <c r="B1716" s="108" t="s">
        <v>7233</v>
      </c>
      <c r="C1716" s="110" t="s">
        <v>5755</v>
      </c>
      <c r="D1716" s="111">
        <v>75.27</v>
      </c>
    </row>
    <row r="1717" spans="1:4" ht="25.5" x14ac:dyDescent="0.25">
      <c r="A1717" s="106">
        <v>2629</v>
      </c>
      <c r="B1717" s="108" t="s">
        <v>7234</v>
      </c>
      <c r="C1717" s="110" t="s">
        <v>5755</v>
      </c>
      <c r="D1717" s="111">
        <v>101.81</v>
      </c>
    </row>
    <row r="1718" spans="1:4" ht="25.5" x14ac:dyDescent="0.25">
      <c r="A1718" s="106">
        <v>12033</v>
      </c>
      <c r="B1718" s="108" t="s">
        <v>7235</v>
      </c>
      <c r="C1718" s="110" t="s">
        <v>5755</v>
      </c>
      <c r="D1718" s="111">
        <v>7.25</v>
      </c>
    </row>
    <row r="1719" spans="1:4" ht="25.5" x14ac:dyDescent="0.25">
      <c r="A1719" s="106">
        <v>40408</v>
      </c>
      <c r="B1719" s="108" t="s">
        <v>7236</v>
      </c>
      <c r="C1719" s="110" t="s">
        <v>5755</v>
      </c>
      <c r="D1719" s="111">
        <v>4.76</v>
      </c>
    </row>
    <row r="1720" spans="1:4" ht="25.5" x14ac:dyDescent="0.25">
      <c r="A1720" s="106">
        <v>40409</v>
      </c>
      <c r="B1720" s="108" t="s">
        <v>7237</v>
      </c>
      <c r="C1720" s="110" t="s">
        <v>5755</v>
      </c>
      <c r="D1720" s="111">
        <v>1.68</v>
      </c>
    </row>
    <row r="1721" spans="1:4" x14ac:dyDescent="0.25">
      <c r="A1721" s="106">
        <v>39276</v>
      </c>
      <c r="B1721" s="108" t="s">
        <v>7238</v>
      </c>
      <c r="C1721" s="110" t="s">
        <v>5755</v>
      </c>
      <c r="D1721" s="111">
        <v>4.29</v>
      </c>
    </row>
    <row r="1722" spans="1:4" x14ac:dyDescent="0.25">
      <c r="A1722" s="106">
        <v>39277</v>
      </c>
      <c r="B1722" s="108" t="s">
        <v>7239</v>
      </c>
      <c r="C1722" s="110" t="s">
        <v>5755</v>
      </c>
      <c r="D1722" s="111">
        <v>11.59</v>
      </c>
    </row>
    <row r="1723" spans="1:4" ht="25.5" x14ac:dyDescent="0.25">
      <c r="A1723" s="106">
        <v>12034</v>
      </c>
      <c r="B1723" s="108" t="s">
        <v>675</v>
      </c>
      <c r="C1723" s="110" t="s">
        <v>5755</v>
      </c>
      <c r="D1723" s="111">
        <v>3.28</v>
      </c>
    </row>
    <row r="1724" spans="1:4" ht="25.5" x14ac:dyDescent="0.25">
      <c r="A1724" s="106">
        <v>39879</v>
      </c>
      <c r="B1724" s="108" t="s">
        <v>7240</v>
      </c>
      <c r="C1724" s="110" t="s">
        <v>5755</v>
      </c>
      <c r="D1724" s="111">
        <v>3.35</v>
      </c>
    </row>
    <row r="1725" spans="1:4" ht="25.5" x14ac:dyDescent="0.25">
      <c r="A1725" s="106">
        <v>39880</v>
      </c>
      <c r="B1725" s="108" t="s">
        <v>7241</v>
      </c>
      <c r="C1725" s="110" t="s">
        <v>5755</v>
      </c>
      <c r="D1725" s="111">
        <v>7.42</v>
      </c>
    </row>
    <row r="1726" spans="1:4" ht="25.5" x14ac:dyDescent="0.25">
      <c r="A1726" s="106">
        <v>39881</v>
      </c>
      <c r="B1726" s="108" t="s">
        <v>7242</v>
      </c>
      <c r="C1726" s="110" t="s">
        <v>5755</v>
      </c>
      <c r="D1726" s="111">
        <v>11.91</v>
      </c>
    </row>
    <row r="1727" spans="1:4" ht="25.5" x14ac:dyDescent="0.25">
      <c r="A1727" s="106">
        <v>39882</v>
      </c>
      <c r="B1727" s="108" t="s">
        <v>7243</v>
      </c>
      <c r="C1727" s="110" t="s">
        <v>5755</v>
      </c>
      <c r="D1727" s="111">
        <v>31.38</v>
      </c>
    </row>
    <row r="1728" spans="1:4" ht="25.5" x14ac:dyDescent="0.25">
      <c r="A1728" s="106">
        <v>39883</v>
      </c>
      <c r="B1728" s="108" t="s">
        <v>7244</v>
      </c>
      <c r="C1728" s="110" t="s">
        <v>5755</v>
      </c>
      <c r="D1728" s="111">
        <v>50.12</v>
      </c>
    </row>
    <row r="1729" spans="1:4" ht="25.5" x14ac:dyDescent="0.25">
      <c r="A1729" s="106">
        <v>39884</v>
      </c>
      <c r="B1729" s="108" t="s">
        <v>7245</v>
      </c>
      <c r="C1729" s="110" t="s">
        <v>5755</v>
      </c>
      <c r="D1729" s="111">
        <v>74.44</v>
      </c>
    </row>
    <row r="1730" spans="1:4" ht="25.5" x14ac:dyDescent="0.25">
      <c r="A1730" s="106">
        <v>39885</v>
      </c>
      <c r="B1730" s="108" t="s">
        <v>7246</v>
      </c>
      <c r="C1730" s="110" t="s">
        <v>5755</v>
      </c>
      <c r="D1730" s="111">
        <v>176.92</v>
      </c>
    </row>
    <row r="1731" spans="1:4" ht="25.5" x14ac:dyDescent="0.25">
      <c r="A1731" s="106">
        <v>1777</v>
      </c>
      <c r="B1731" s="108" t="s">
        <v>7247</v>
      </c>
      <c r="C1731" s="110" t="s">
        <v>5755</v>
      </c>
      <c r="D1731" s="111">
        <v>43.3</v>
      </c>
    </row>
    <row r="1732" spans="1:4" ht="25.5" x14ac:dyDescent="0.25">
      <c r="A1732" s="106">
        <v>1819</v>
      </c>
      <c r="B1732" s="108" t="s">
        <v>7248</v>
      </c>
      <c r="C1732" s="110" t="s">
        <v>5755</v>
      </c>
      <c r="D1732" s="111">
        <v>31.5</v>
      </c>
    </row>
    <row r="1733" spans="1:4" ht="25.5" x14ac:dyDescent="0.25">
      <c r="A1733" s="106">
        <v>1775</v>
      </c>
      <c r="B1733" s="108" t="s">
        <v>7249</v>
      </c>
      <c r="C1733" s="110" t="s">
        <v>5755</v>
      </c>
      <c r="D1733" s="111">
        <v>9.42</v>
      </c>
    </row>
    <row r="1734" spans="1:4" ht="25.5" x14ac:dyDescent="0.25">
      <c r="A1734" s="106">
        <v>1776</v>
      </c>
      <c r="B1734" s="108" t="s">
        <v>7250</v>
      </c>
      <c r="C1734" s="110" t="s">
        <v>5755</v>
      </c>
      <c r="D1734" s="111">
        <v>25.63</v>
      </c>
    </row>
    <row r="1735" spans="1:4" ht="25.5" x14ac:dyDescent="0.25">
      <c r="A1735" s="106">
        <v>1778</v>
      </c>
      <c r="B1735" s="108" t="s">
        <v>7251</v>
      </c>
      <c r="C1735" s="110" t="s">
        <v>5755</v>
      </c>
      <c r="D1735" s="111">
        <v>104.82</v>
      </c>
    </row>
    <row r="1736" spans="1:4" ht="25.5" x14ac:dyDescent="0.25">
      <c r="A1736" s="106">
        <v>1818</v>
      </c>
      <c r="B1736" s="108" t="s">
        <v>7252</v>
      </c>
      <c r="C1736" s="110" t="s">
        <v>5755</v>
      </c>
      <c r="D1736" s="111">
        <v>69.569999999999993</v>
      </c>
    </row>
    <row r="1737" spans="1:4" ht="25.5" x14ac:dyDescent="0.25">
      <c r="A1737" s="106">
        <v>1820</v>
      </c>
      <c r="B1737" s="108" t="s">
        <v>7253</v>
      </c>
      <c r="C1737" s="110" t="s">
        <v>5755</v>
      </c>
      <c r="D1737" s="111">
        <v>13.6</v>
      </c>
    </row>
    <row r="1738" spans="1:4" ht="25.5" x14ac:dyDescent="0.25">
      <c r="A1738" s="106">
        <v>1779</v>
      </c>
      <c r="B1738" s="108" t="s">
        <v>7254</v>
      </c>
      <c r="C1738" s="110" t="s">
        <v>5755</v>
      </c>
      <c r="D1738" s="111">
        <v>152.44</v>
      </c>
    </row>
    <row r="1739" spans="1:4" ht="25.5" x14ac:dyDescent="0.25">
      <c r="A1739" s="106">
        <v>1780</v>
      </c>
      <c r="B1739" s="108" t="s">
        <v>7255</v>
      </c>
      <c r="C1739" s="110" t="s">
        <v>5755</v>
      </c>
      <c r="D1739" s="111">
        <v>314.26</v>
      </c>
    </row>
    <row r="1740" spans="1:4" ht="25.5" x14ac:dyDescent="0.25">
      <c r="A1740" s="106">
        <v>1783</v>
      </c>
      <c r="B1740" s="108" t="s">
        <v>7256</v>
      </c>
      <c r="C1740" s="110" t="s">
        <v>5755</v>
      </c>
      <c r="D1740" s="111">
        <v>33.22</v>
      </c>
    </row>
    <row r="1741" spans="1:4" ht="25.5" x14ac:dyDescent="0.25">
      <c r="A1741" s="106">
        <v>1782</v>
      </c>
      <c r="B1741" s="108" t="s">
        <v>7257</v>
      </c>
      <c r="C1741" s="110" t="s">
        <v>5755</v>
      </c>
      <c r="D1741" s="111">
        <v>26.27</v>
      </c>
    </row>
    <row r="1742" spans="1:4" ht="25.5" x14ac:dyDescent="0.25">
      <c r="A1742" s="106">
        <v>1817</v>
      </c>
      <c r="B1742" s="108" t="s">
        <v>7258</v>
      </c>
      <c r="C1742" s="110" t="s">
        <v>5755</v>
      </c>
      <c r="D1742" s="111">
        <v>7.82</v>
      </c>
    </row>
    <row r="1743" spans="1:4" ht="25.5" x14ac:dyDescent="0.25">
      <c r="A1743" s="106">
        <v>1781</v>
      </c>
      <c r="B1743" s="108" t="s">
        <v>7259</v>
      </c>
      <c r="C1743" s="110" t="s">
        <v>5755</v>
      </c>
      <c r="D1743" s="111">
        <v>17.11</v>
      </c>
    </row>
    <row r="1744" spans="1:4" ht="25.5" x14ac:dyDescent="0.25">
      <c r="A1744" s="106">
        <v>1784</v>
      </c>
      <c r="B1744" s="108" t="s">
        <v>7260</v>
      </c>
      <c r="C1744" s="110" t="s">
        <v>5755</v>
      </c>
      <c r="D1744" s="111">
        <v>93.82</v>
      </c>
    </row>
    <row r="1745" spans="1:4" ht="25.5" x14ac:dyDescent="0.25">
      <c r="A1745" s="106">
        <v>1810</v>
      </c>
      <c r="B1745" s="108" t="s">
        <v>7261</v>
      </c>
      <c r="C1745" s="110" t="s">
        <v>5755</v>
      </c>
      <c r="D1745" s="111">
        <v>52.04</v>
      </c>
    </row>
    <row r="1746" spans="1:4" ht="25.5" x14ac:dyDescent="0.25">
      <c r="A1746" s="106">
        <v>1811</v>
      </c>
      <c r="B1746" s="108" t="s">
        <v>7262</v>
      </c>
      <c r="C1746" s="110" t="s">
        <v>5755</v>
      </c>
      <c r="D1746" s="111">
        <v>11.26</v>
      </c>
    </row>
    <row r="1747" spans="1:4" ht="25.5" x14ac:dyDescent="0.25">
      <c r="A1747" s="106">
        <v>1812</v>
      </c>
      <c r="B1747" s="108" t="s">
        <v>7263</v>
      </c>
      <c r="C1747" s="110" t="s">
        <v>5755</v>
      </c>
      <c r="D1747" s="111">
        <v>131.37</v>
      </c>
    </row>
    <row r="1748" spans="1:4" ht="25.5" x14ac:dyDescent="0.25">
      <c r="A1748" s="106">
        <v>40386</v>
      </c>
      <c r="B1748" s="108" t="s">
        <v>7264</v>
      </c>
      <c r="C1748" s="110" t="s">
        <v>5755</v>
      </c>
      <c r="D1748" s="111">
        <v>52.71</v>
      </c>
    </row>
    <row r="1749" spans="1:4" ht="25.5" x14ac:dyDescent="0.25">
      <c r="A1749" s="106">
        <v>40384</v>
      </c>
      <c r="B1749" s="108" t="s">
        <v>7265</v>
      </c>
      <c r="C1749" s="110" t="s">
        <v>5755</v>
      </c>
      <c r="D1749" s="111">
        <v>36.090000000000003</v>
      </c>
    </row>
    <row r="1750" spans="1:4" ht="25.5" x14ac:dyDescent="0.25">
      <c r="A1750" s="106">
        <v>40379</v>
      </c>
      <c r="B1750" s="108" t="s">
        <v>7266</v>
      </c>
      <c r="C1750" s="110" t="s">
        <v>5755</v>
      </c>
      <c r="D1750" s="111">
        <v>12.47</v>
      </c>
    </row>
    <row r="1751" spans="1:4" ht="25.5" x14ac:dyDescent="0.25">
      <c r="A1751" s="106">
        <v>40423</v>
      </c>
      <c r="B1751" s="108" t="s">
        <v>7267</v>
      </c>
      <c r="C1751" s="110" t="s">
        <v>5755</v>
      </c>
      <c r="D1751" s="111">
        <v>23.61</v>
      </c>
    </row>
    <row r="1752" spans="1:4" ht="25.5" x14ac:dyDescent="0.25">
      <c r="A1752" s="106">
        <v>40389</v>
      </c>
      <c r="B1752" s="108" t="s">
        <v>7268</v>
      </c>
      <c r="C1752" s="110" t="s">
        <v>5755</v>
      </c>
      <c r="D1752" s="111">
        <v>149.74</v>
      </c>
    </row>
    <row r="1753" spans="1:4" ht="25.5" x14ac:dyDescent="0.25">
      <c r="A1753" s="106">
        <v>40388</v>
      </c>
      <c r="B1753" s="108" t="s">
        <v>7269</v>
      </c>
      <c r="C1753" s="110" t="s">
        <v>5755</v>
      </c>
      <c r="D1753" s="111">
        <v>74.95</v>
      </c>
    </row>
    <row r="1754" spans="1:4" ht="25.5" x14ac:dyDescent="0.25">
      <c r="A1754" s="106">
        <v>40381</v>
      </c>
      <c r="B1754" s="108" t="s">
        <v>7270</v>
      </c>
      <c r="C1754" s="110" t="s">
        <v>5755</v>
      </c>
      <c r="D1754" s="111">
        <v>16.63</v>
      </c>
    </row>
    <row r="1755" spans="1:4" ht="25.5" x14ac:dyDescent="0.25">
      <c r="A1755" s="106">
        <v>40391</v>
      </c>
      <c r="B1755" s="108" t="s">
        <v>7271</v>
      </c>
      <c r="C1755" s="110" t="s">
        <v>5755</v>
      </c>
      <c r="D1755" s="111">
        <v>388.65</v>
      </c>
    </row>
    <row r="1756" spans="1:4" x14ac:dyDescent="0.25">
      <c r="A1756" s="106">
        <v>40414</v>
      </c>
      <c r="B1756" s="108" t="s">
        <v>7272</v>
      </c>
      <c r="C1756" s="110" t="s">
        <v>5755</v>
      </c>
      <c r="D1756" s="111">
        <v>17.78</v>
      </c>
    </row>
    <row r="1757" spans="1:4" x14ac:dyDescent="0.25">
      <c r="A1757" s="106">
        <v>40416</v>
      </c>
      <c r="B1757" s="108" t="s">
        <v>7273</v>
      </c>
      <c r="C1757" s="110" t="s">
        <v>5755</v>
      </c>
      <c r="D1757" s="111">
        <v>24.58</v>
      </c>
    </row>
    <row r="1758" spans="1:4" x14ac:dyDescent="0.25">
      <c r="A1758" s="106">
        <v>40418</v>
      </c>
      <c r="B1758" s="108" t="s">
        <v>7274</v>
      </c>
      <c r="C1758" s="110" t="s">
        <v>5755</v>
      </c>
      <c r="D1758" s="111">
        <v>29.31</v>
      </c>
    </row>
    <row r="1759" spans="1:4" ht="25.5" x14ac:dyDescent="0.25">
      <c r="A1759" s="106">
        <v>2609</v>
      </c>
      <c r="B1759" s="108" t="s">
        <v>7275</v>
      </c>
      <c r="C1759" s="110" t="s">
        <v>5755</v>
      </c>
      <c r="D1759" s="111">
        <v>4.46</v>
      </c>
    </row>
    <row r="1760" spans="1:4" ht="25.5" x14ac:dyDescent="0.25">
      <c r="A1760" s="106">
        <v>2634</v>
      </c>
      <c r="B1760" s="108" t="s">
        <v>7276</v>
      </c>
      <c r="C1760" s="110" t="s">
        <v>5755</v>
      </c>
      <c r="D1760" s="111">
        <v>5.85</v>
      </c>
    </row>
    <row r="1761" spans="1:4" ht="25.5" x14ac:dyDescent="0.25">
      <c r="A1761" s="106">
        <v>2611</v>
      </c>
      <c r="B1761" s="108" t="s">
        <v>7277</v>
      </c>
      <c r="C1761" s="110" t="s">
        <v>5755</v>
      </c>
      <c r="D1761" s="111">
        <v>16.5</v>
      </c>
    </row>
    <row r="1762" spans="1:4" x14ac:dyDescent="0.25">
      <c r="A1762" s="106">
        <v>34359</v>
      </c>
      <c r="B1762" s="108" t="s">
        <v>7278</v>
      </c>
      <c r="C1762" s="110" t="s">
        <v>5755</v>
      </c>
      <c r="D1762" s="111">
        <v>7.39</v>
      </c>
    </row>
    <row r="1763" spans="1:4" ht="25.5" x14ac:dyDescent="0.25">
      <c r="A1763" s="106">
        <v>1789</v>
      </c>
      <c r="B1763" s="108" t="s">
        <v>7279</v>
      </c>
      <c r="C1763" s="110" t="s">
        <v>5755</v>
      </c>
      <c r="D1763" s="111">
        <v>41.56</v>
      </c>
    </row>
    <row r="1764" spans="1:4" ht="25.5" x14ac:dyDescent="0.25">
      <c r="A1764" s="106">
        <v>1788</v>
      </c>
      <c r="B1764" s="108" t="s">
        <v>7280</v>
      </c>
      <c r="C1764" s="110" t="s">
        <v>5755</v>
      </c>
      <c r="D1764" s="111">
        <v>33.31</v>
      </c>
    </row>
    <row r="1765" spans="1:4" ht="25.5" x14ac:dyDescent="0.25">
      <c r="A1765" s="106">
        <v>1786</v>
      </c>
      <c r="B1765" s="108" t="s">
        <v>7281</v>
      </c>
      <c r="C1765" s="110" t="s">
        <v>5755</v>
      </c>
      <c r="D1765" s="111">
        <v>8.27</v>
      </c>
    </row>
    <row r="1766" spans="1:4" ht="25.5" x14ac:dyDescent="0.25">
      <c r="A1766" s="106">
        <v>1787</v>
      </c>
      <c r="B1766" s="108" t="s">
        <v>515</v>
      </c>
      <c r="C1766" s="110" t="s">
        <v>5755</v>
      </c>
      <c r="D1766" s="111">
        <v>19.8</v>
      </c>
    </row>
    <row r="1767" spans="1:4" ht="25.5" x14ac:dyDescent="0.25">
      <c r="A1767" s="106">
        <v>1791</v>
      </c>
      <c r="B1767" s="108" t="s">
        <v>7282</v>
      </c>
      <c r="C1767" s="110" t="s">
        <v>5755</v>
      </c>
      <c r="D1767" s="111">
        <v>120.11</v>
      </c>
    </row>
    <row r="1768" spans="1:4" ht="25.5" x14ac:dyDescent="0.25">
      <c r="A1768" s="106">
        <v>1790</v>
      </c>
      <c r="B1768" s="108" t="s">
        <v>7283</v>
      </c>
      <c r="C1768" s="110" t="s">
        <v>5755</v>
      </c>
      <c r="D1768" s="111">
        <v>69.209999999999994</v>
      </c>
    </row>
    <row r="1769" spans="1:4" ht="25.5" x14ac:dyDescent="0.25">
      <c r="A1769" s="106">
        <v>1813</v>
      </c>
      <c r="B1769" s="108" t="s">
        <v>7284</v>
      </c>
      <c r="C1769" s="110" t="s">
        <v>5755</v>
      </c>
      <c r="D1769" s="111">
        <v>13.13</v>
      </c>
    </row>
    <row r="1770" spans="1:4" ht="25.5" x14ac:dyDescent="0.25">
      <c r="A1770" s="106">
        <v>1792</v>
      </c>
      <c r="B1770" s="108" t="s">
        <v>7285</v>
      </c>
      <c r="C1770" s="110" t="s">
        <v>5755</v>
      </c>
      <c r="D1770" s="111">
        <v>162.13</v>
      </c>
    </row>
    <row r="1771" spans="1:4" ht="25.5" x14ac:dyDescent="0.25">
      <c r="A1771" s="106">
        <v>1793</v>
      </c>
      <c r="B1771" s="108" t="s">
        <v>7286</v>
      </c>
      <c r="C1771" s="110" t="s">
        <v>5755</v>
      </c>
      <c r="D1771" s="111">
        <v>327.62</v>
      </c>
    </row>
    <row r="1772" spans="1:4" ht="25.5" x14ac:dyDescent="0.25">
      <c r="A1772" s="106">
        <v>1809</v>
      </c>
      <c r="B1772" s="108" t="s">
        <v>7287</v>
      </c>
      <c r="C1772" s="110" t="s">
        <v>5755</v>
      </c>
      <c r="D1772" s="111">
        <v>38.96</v>
      </c>
    </row>
    <row r="1773" spans="1:4" ht="25.5" x14ac:dyDescent="0.25">
      <c r="A1773" s="106">
        <v>1814</v>
      </c>
      <c r="B1773" s="108" t="s">
        <v>7288</v>
      </c>
      <c r="C1773" s="110" t="s">
        <v>5755</v>
      </c>
      <c r="D1773" s="111">
        <v>32.01</v>
      </c>
    </row>
    <row r="1774" spans="1:4" ht="25.5" x14ac:dyDescent="0.25">
      <c r="A1774" s="106">
        <v>1803</v>
      </c>
      <c r="B1774" s="108" t="s">
        <v>7289</v>
      </c>
      <c r="C1774" s="110" t="s">
        <v>5755</v>
      </c>
      <c r="D1774" s="111">
        <v>8.09</v>
      </c>
    </row>
    <row r="1775" spans="1:4" ht="25.5" x14ac:dyDescent="0.25">
      <c r="A1775" s="106">
        <v>1805</v>
      </c>
      <c r="B1775" s="108" t="s">
        <v>7290</v>
      </c>
      <c r="C1775" s="110" t="s">
        <v>5755</v>
      </c>
      <c r="D1775" s="111">
        <v>18.57</v>
      </c>
    </row>
    <row r="1776" spans="1:4" ht="25.5" x14ac:dyDescent="0.25">
      <c r="A1776" s="106">
        <v>1821</v>
      </c>
      <c r="B1776" s="108" t="s">
        <v>7291</v>
      </c>
      <c r="C1776" s="110" t="s">
        <v>5755</v>
      </c>
      <c r="D1776" s="111">
        <v>109.74</v>
      </c>
    </row>
    <row r="1777" spans="1:4" ht="25.5" x14ac:dyDescent="0.25">
      <c r="A1777" s="106">
        <v>1806</v>
      </c>
      <c r="B1777" s="108" t="s">
        <v>7292</v>
      </c>
      <c r="C1777" s="110" t="s">
        <v>5755</v>
      </c>
      <c r="D1777" s="111">
        <v>65.319999999999993</v>
      </c>
    </row>
    <row r="1778" spans="1:4" ht="25.5" x14ac:dyDescent="0.25">
      <c r="A1778" s="106">
        <v>1804</v>
      </c>
      <c r="B1778" s="108" t="s">
        <v>7293</v>
      </c>
      <c r="C1778" s="110" t="s">
        <v>5755</v>
      </c>
      <c r="D1778" s="111">
        <v>11.51</v>
      </c>
    </row>
    <row r="1779" spans="1:4" ht="25.5" x14ac:dyDescent="0.25">
      <c r="A1779" s="106">
        <v>1807</v>
      </c>
      <c r="B1779" s="108" t="s">
        <v>7294</v>
      </c>
      <c r="C1779" s="110" t="s">
        <v>5755</v>
      </c>
      <c r="D1779" s="111">
        <v>156.94999999999999</v>
      </c>
    </row>
    <row r="1780" spans="1:4" ht="25.5" x14ac:dyDescent="0.25">
      <c r="A1780" s="106">
        <v>1808</v>
      </c>
      <c r="B1780" s="108" t="s">
        <v>7295</v>
      </c>
      <c r="C1780" s="110" t="s">
        <v>5755</v>
      </c>
      <c r="D1780" s="111">
        <v>314.64999999999998</v>
      </c>
    </row>
    <row r="1781" spans="1:4" ht="25.5" x14ac:dyDescent="0.25">
      <c r="A1781" s="106">
        <v>1797</v>
      </c>
      <c r="B1781" s="108" t="s">
        <v>7296</v>
      </c>
      <c r="C1781" s="110" t="s">
        <v>5755</v>
      </c>
      <c r="D1781" s="111">
        <v>47.19</v>
      </c>
    </row>
    <row r="1782" spans="1:4" ht="25.5" x14ac:dyDescent="0.25">
      <c r="A1782" s="106">
        <v>1796</v>
      </c>
      <c r="B1782" s="108" t="s">
        <v>7297</v>
      </c>
      <c r="C1782" s="110" t="s">
        <v>5755</v>
      </c>
      <c r="D1782" s="111">
        <v>36.200000000000003</v>
      </c>
    </row>
    <row r="1783" spans="1:4" ht="25.5" x14ac:dyDescent="0.25">
      <c r="A1783" s="106">
        <v>1794</v>
      </c>
      <c r="B1783" s="108" t="s">
        <v>7298</v>
      </c>
      <c r="C1783" s="110" t="s">
        <v>5755</v>
      </c>
      <c r="D1783" s="111">
        <v>8.64</v>
      </c>
    </row>
    <row r="1784" spans="1:4" ht="25.5" x14ac:dyDescent="0.25">
      <c r="A1784" s="106">
        <v>1816</v>
      </c>
      <c r="B1784" s="108" t="s">
        <v>7299</v>
      </c>
      <c r="C1784" s="110" t="s">
        <v>5755</v>
      </c>
      <c r="D1784" s="111">
        <v>19.48</v>
      </c>
    </row>
    <row r="1785" spans="1:4" ht="25.5" x14ac:dyDescent="0.25">
      <c r="A1785" s="106">
        <v>1815</v>
      </c>
      <c r="B1785" s="108" t="s">
        <v>7300</v>
      </c>
      <c r="C1785" s="110" t="s">
        <v>5755</v>
      </c>
      <c r="D1785" s="111">
        <v>149.63</v>
      </c>
    </row>
    <row r="1786" spans="1:4" ht="25.5" x14ac:dyDescent="0.25">
      <c r="A1786" s="106">
        <v>1798</v>
      </c>
      <c r="B1786" s="108" t="s">
        <v>7301</v>
      </c>
      <c r="C1786" s="110" t="s">
        <v>5755</v>
      </c>
      <c r="D1786" s="111">
        <v>66.95</v>
      </c>
    </row>
    <row r="1787" spans="1:4" ht="25.5" x14ac:dyDescent="0.25">
      <c r="A1787" s="106">
        <v>1795</v>
      </c>
      <c r="B1787" s="108" t="s">
        <v>7302</v>
      </c>
      <c r="C1787" s="110" t="s">
        <v>5755</v>
      </c>
      <c r="D1787" s="111">
        <v>11.97</v>
      </c>
    </row>
    <row r="1788" spans="1:4" ht="25.5" x14ac:dyDescent="0.25">
      <c r="A1788" s="106">
        <v>1799</v>
      </c>
      <c r="B1788" s="108" t="s">
        <v>7303</v>
      </c>
      <c r="C1788" s="110" t="s">
        <v>5755</v>
      </c>
      <c r="D1788" s="111">
        <v>194.88</v>
      </c>
    </row>
    <row r="1789" spans="1:4" ht="25.5" x14ac:dyDescent="0.25">
      <c r="A1789" s="106">
        <v>1800</v>
      </c>
      <c r="B1789" s="108" t="s">
        <v>7304</v>
      </c>
      <c r="C1789" s="110" t="s">
        <v>5755</v>
      </c>
      <c r="D1789" s="111">
        <v>372.06</v>
      </c>
    </row>
    <row r="1790" spans="1:4" ht="25.5" x14ac:dyDescent="0.25">
      <c r="A1790" s="106">
        <v>1802</v>
      </c>
      <c r="B1790" s="108" t="s">
        <v>7305</v>
      </c>
      <c r="C1790" s="110" t="s">
        <v>5755</v>
      </c>
      <c r="D1790" s="111">
        <v>930.66</v>
      </c>
    </row>
    <row r="1791" spans="1:4" ht="25.5" x14ac:dyDescent="0.25">
      <c r="A1791" s="106">
        <v>40385</v>
      </c>
      <c r="B1791" s="108" t="s">
        <v>7306</v>
      </c>
      <c r="C1791" s="110" t="s">
        <v>5755</v>
      </c>
      <c r="D1791" s="111">
        <v>52.71</v>
      </c>
    </row>
    <row r="1792" spans="1:4" ht="25.5" x14ac:dyDescent="0.25">
      <c r="A1792" s="106">
        <v>40383</v>
      </c>
      <c r="B1792" s="108" t="s">
        <v>7307</v>
      </c>
      <c r="C1792" s="110" t="s">
        <v>5755</v>
      </c>
      <c r="D1792" s="111">
        <v>36.090000000000003</v>
      </c>
    </row>
    <row r="1793" spans="1:4" ht="25.5" x14ac:dyDescent="0.25">
      <c r="A1793" s="106">
        <v>40378</v>
      </c>
      <c r="B1793" s="108" t="s">
        <v>7308</v>
      </c>
      <c r="C1793" s="110" t="s">
        <v>5755</v>
      </c>
      <c r="D1793" s="111">
        <v>12.47</v>
      </c>
    </row>
    <row r="1794" spans="1:4" ht="25.5" x14ac:dyDescent="0.25">
      <c r="A1794" s="106">
        <v>40382</v>
      </c>
      <c r="B1794" s="108" t="s">
        <v>7309</v>
      </c>
      <c r="C1794" s="110" t="s">
        <v>5755</v>
      </c>
      <c r="D1794" s="111">
        <v>23.61</v>
      </c>
    </row>
    <row r="1795" spans="1:4" ht="25.5" x14ac:dyDescent="0.25">
      <c r="A1795" s="106">
        <v>40422</v>
      </c>
      <c r="B1795" s="108" t="s">
        <v>7310</v>
      </c>
      <c r="C1795" s="110" t="s">
        <v>5755</v>
      </c>
      <c r="D1795" s="111">
        <v>160.85</v>
      </c>
    </row>
    <row r="1796" spans="1:4" ht="25.5" x14ac:dyDescent="0.25">
      <c r="A1796" s="106">
        <v>40387</v>
      </c>
      <c r="B1796" s="108" t="s">
        <v>7311</v>
      </c>
      <c r="C1796" s="110" t="s">
        <v>5755</v>
      </c>
      <c r="D1796" s="111">
        <v>81.900000000000006</v>
      </c>
    </row>
    <row r="1797" spans="1:4" ht="25.5" x14ac:dyDescent="0.25">
      <c r="A1797" s="106">
        <v>40380</v>
      </c>
      <c r="B1797" s="108" t="s">
        <v>7312</v>
      </c>
      <c r="C1797" s="110" t="s">
        <v>5755</v>
      </c>
      <c r="D1797" s="111">
        <v>16.63</v>
      </c>
    </row>
    <row r="1798" spans="1:4" ht="25.5" x14ac:dyDescent="0.25">
      <c r="A1798" s="106">
        <v>40390</v>
      </c>
      <c r="B1798" s="108" t="s">
        <v>7313</v>
      </c>
      <c r="C1798" s="110" t="s">
        <v>5755</v>
      </c>
      <c r="D1798" s="111">
        <v>338.78</v>
      </c>
    </row>
    <row r="1799" spans="1:4" x14ac:dyDescent="0.25">
      <c r="A1799" s="106">
        <v>40413</v>
      </c>
      <c r="B1799" s="108" t="s">
        <v>7314</v>
      </c>
      <c r="C1799" s="110" t="s">
        <v>5755</v>
      </c>
      <c r="D1799" s="111">
        <v>19.309999999999999</v>
      </c>
    </row>
    <row r="1800" spans="1:4" x14ac:dyDescent="0.25">
      <c r="A1800" s="106">
        <v>40415</v>
      </c>
      <c r="B1800" s="108" t="s">
        <v>7315</v>
      </c>
      <c r="C1800" s="110" t="s">
        <v>5755</v>
      </c>
      <c r="D1800" s="111">
        <v>27.52</v>
      </c>
    </row>
    <row r="1801" spans="1:4" x14ac:dyDescent="0.25">
      <c r="A1801" s="106">
        <v>40417</v>
      </c>
      <c r="B1801" s="108" t="s">
        <v>7316</v>
      </c>
      <c r="C1801" s="110" t="s">
        <v>5755</v>
      </c>
      <c r="D1801" s="111">
        <v>32.47</v>
      </c>
    </row>
    <row r="1802" spans="1:4" ht="25.5" x14ac:dyDescent="0.25">
      <c r="A1802" s="106">
        <v>39271</v>
      </c>
      <c r="B1802" s="108" t="s">
        <v>7317</v>
      </c>
      <c r="C1802" s="110" t="s">
        <v>5755</v>
      </c>
      <c r="D1802" s="111">
        <v>1.46</v>
      </c>
    </row>
    <row r="1803" spans="1:4" ht="25.5" x14ac:dyDescent="0.25">
      <c r="A1803" s="106">
        <v>39273</v>
      </c>
      <c r="B1803" s="108" t="s">
        <v>7318</v>
      </c>
      <c r="C1803" s="110" t="s">
        <v>5755</v>
      </c>
      <c r="D1803" s="111">
        <v>2.48</v>
      </c>
    </row>
    <row r="1804" spans="1:4" ht="25.5" x14ac:dyDescent="0.25">
      <c r="A1804" s="106">
        <v>39272</v>
      </c>
      <c r="B1804" s="108" t="s">
        <v>7319</v>
      </c>
      <c r="C1804" s="110" t="s">
        <v>5755</v>
      </c>
      <c r="D1804" s="111">
        <v>1.79</v>
      </c>
    </row>
    <row r="1805" spans="1:4" ht="25.5" x14ac:dyDescent="0.25">
      <c r="A1805" s="106">
        <v>1875</v>
      </c>
      <c r="B1805" s="108" t="s">
        <v>7320</v>
      </c>
      <c r="C1805" s="110" t="s">
        <v>5755</v>
      </c>
      <c r="D1805" s="111">
        <v>3.96</v>
      </c>
    </row>
    <row r="1806" spans="1:4" ht="25.5" x14ac:dyDescent="0.25">
      <c r="A1806" s="106">
        <v>1874</v>
      </c>
      <c r="B1806" s="108" t="s">
        <v>7321</v>
      </c>
      <c r="C1806" s="110" t="s">
        <v>5755</v>
      </c>
      <c r="D1806" s="111">
        <v>3.27</v>
      </c>
    </row>
    <row r="1807" spans="1:4" ht="25.5" x14ac:dyDescent="0.25">
      <c r="A1807" s="106">
        <v>1870</v>
      </c>
      <c r="B1807" s="108" t="s">
        <v>7322</v>
      </c>
      <c r="C1807" s="110" t="s">
        <v>5755</v>
      </c>
      <c r="D1807" s="111">
        <v>1.89</v>
      </c>
    </row>
    <row r="1808" spans="1:4" ht="25.5" x14ac:dyDescent="0.25">
      <c r="A1808" s="106">
        <v>1884</v>
      </c>
      <c r="B1808" s="108" t="s">
        <v>7323</v>
      </c>
      <c r="C1808" s="110" t="s">
        <v>5755</v>
      </c>
      <c r="D1808" s="111">
        <v>2.9</v>
      </c>
    </row>
    <row r="1809" spans="1:4" ht="25.5" x14ac:dyDescent="0.25">
      <c r="A1809" s="106">
        <v>1887</v>
      </c>
      <c r="B1809" s="108" t="s">
        <v>7324</v>
      </c>
      <c r="C1809" s="110" t="s">
        <v>5755</v>
      </c>
      <c r="D1809" s="111">
        <v>16.43</v>
      </c>
    </row>
    <row r="1810" spans="1:4" ht="25.5" x14ac:dyDescent="0.25">
      <c r="A1810" s="106">
        <v>1876</v>
      </c>
      <c r="B1810" s="108" t="s">
        <v>7325</v>
      </c>
      <c r="C1810" s="110" t="s">
        <v>5755</v>
      </c>
      <c r="D1810" s="111">
        <v>6.44</v>
      </c>
    </row>
    <row r="1811" spans="1:4" ht="25.5" x14ac:dyDescent="0.25">
      <c r="A1811" s="106">
        <v>1879</v>
      </c>
      <c r="B1811" s="108" t="s">
        <v>7326</v>
      </c>
      <c r="C1811" s="110" t="s">
        <v>5755</v>
      </c>
      <c r="D1811" s="111">
        <v>1.91</v>
      </c>
    </row>
    <row r="1812" spans="1:4" ht="25.5" x14ac:dyDescent="0.25">
      <c r="A1812" s="106">
        <v>1877</v>
      </c>
      <c r="B1812" s="108" t="s">
        <v>7327</v>
      </c>
      <c r="C1812" s="110" t="s">
        <v>5755</v>
      </c>
      <c r="D1812" s="111">
        <v>16.45</v>
      </c>
    </row>
    <row r="1813" spans="1:4" ht="25.5" x14ac:dyDescent="0.25">
      <c r="A1813" s="106">
        <v>1878</v>
      </c>
      <c r="B1813" s="108" t="s">
        <v>7328</v>
      </c>
      <c r="C1813" s="110" t="s">
        <v>5755</v>
      </c>
      <c r="D1813" s="111">
        <v>33.06</v>
      </c>
    </row>
    <row r="1814" spans="1:4" ht="25.5" x14ac:dyDescent="0.25">
      <c r="A1814" s="106">
        <v>2621</v>
      </c>
      <c r="B1814" s="108" t="s">
        <v>7329</v>
      </c>
      <c r="C1814" s="110" t="s">
        <v>5755</v>
      </c>
      <c r="D1814" s="111">
        <v>141.19</v>
      </c>
    </row>
    <row r="1815" spans="1:4" ht="25.5" x14ac:dyDescent="0.25">
      <c r="A1815" s="106">
        <v>2616</v>
      </c>
      <c r="B1815" s="108" t="s">
        <v>7330</v>
      </c>
      <c r="C1815" s="110" t="s">
        <v>5755</v>
      </c>
      <c r="D1815" s="111">
        <v>3.99</v>
      </c>
    </row>
    <row r="1816" spans="1:4" ht="25.5" x14ac:dyDescent="0.25">
      <c r="A1816" s="106">
        <v>2633</v>
      </c>
      <c r="B1816" s="108" t="s">
        <v>7331</v>
      </c>
      <c r="C1816" s="110" t="s">
        <v>5755</v>
      </c>
      <c r="D1816" s="111">
        <v>4.5199999999999996</v>
      </c>
    </row>
    <row r="1817" spans="1:4" ht="25.5" x14ac:dyDescent="0.25">
      <c r="A1817" s="106">
        <v>2617</v>
      </c>
      <c r="B1817" s="108" t="s">
        <v>7332</v>
      </c>
      <c r="C1817" s="110" t="s">
        <v>5755</v>
      </c>
      <c r="D1817" s="111">
        <v>6.14</v>
      </c>
    </row>
    <row r="1818" spans="1:4" ht="25.5" x14ac:dyDescent="0.25">
      <c r="A1818" s="106">
        <v>2618</v>
      </c>
      <c r="B1818" s="108" t="s">
        <v>7333</v>
      </c>
      <c r="C1818" s="110" t="s">
        <v>5755</v>
      </c>
      <c r="D1818" s="111">
        <v>13.98</v>
      </c>
    </row>
    <row r="1819" spans="1:4" ht="25.5" x14ac:dyDescent="0.25">
      <c r="A1819" s="106">
        <v>2632</v>
      </c>
      <c r="B1819" s="108" t="s">
        <v>7334</v>
      </c>
      <c r="C1819" s="110" t="s">
        <v>5755</v>
      </c>
      <c r="D1819" s="111">
        <v>17.059999999999999</v>
      </c>
    </row>
    <row r="1820" spans="1:4" ht="25.5" x14ac:dyDescent="0.25">
      <c r="A1820" s="106">
        <v>2631</v>
      </c>
      <c r="B1820" s="108" t="s">
        <v>7335</v>
      </c>
      <c r="C1820" s="110" t="s">
        <v>5755</v>
      </c>
      <c r="D1820" s="111">
        <v>25.04</v>
      </c>
    </row>
    <row r="1821" spans="1:4" ht="25.5" x14ac:dyDescent="0.25">
      <c r="A1821" s="106">
        <v>2619</v>
      </c>
      <c r="B1821" s="108" t="s">
        <v>7336</v>
      </c>
      <c r="C1821" s="110" t="s">
        <v>5755</v>
      </c>
      <c r="D1821" s="111">
        <v>63.41</v>
      </c>
    </row>
    <row r="1822" spans="1:4" ht="25.5" x14ac:dyDescent="0.25">
      <c r="A1822" s="106">
        <v>2620</v>
      </c>
      <c r="B1822" s="108" t="s">
        <v>7337</v>
      </c>
      <c r="C1822" s="110" t="s">
        <v>5755</v>
      </c>
      <c r="D1822" s="111">
        <v>83.25</v>
      </c>
    </row>
    <row r="1823" spans="1:4" x14ac:dyDescent="0.25">
      <c r="A1823" s="106">
        <v>25968</v>
      </c>
      <c r="B1823" s="108" t="s">
        <v>7338</v>
      </c>
      <c r="C1823" s="110" t="s">
        <v>5755</v>
      </c>
      <c r="D1823" s="111">
        <v>41.06</v>
      </c>
    </row>
    <row r="1824" spans="1:4" ht="25.5" x14ac:dyDescent="0.25">
      <c r="A1824" s="106">
        <v>38369</v>
      </c>
      <c r="B1824" s="108" t="s">
        <v>7339</v>
      </c>
      <c r="C1824" s="110" t="s">
        <v>5755</v>
      </c>
      <c r="D1824" s="111">
        <v>11.6</v>
      </c>
    </row>
    <row r="1825" spans="1:4" ht="25.5" x14ac:dyDescent="0.25">
      <c r="A1825" s="106">
        <v>38370</v>
      </c>
      <c r="B1825" s="108" t="s">
        <v>7340</v>
      </c>
      <c r="C1825" s="110" t="s">
        <v>5755</v>
      </c>
      <c r="D1825" s="111">
        <v>11.6</v>
      </c>
    </row>
    <row r="1826" spans="1:4" x14ac:dyDescent="0.25">
      <c r="A1826" s="106">
        <v>38372</v>
      </c>
      <c r="B1826" s="108" t="s">
        <v>7341</v>
      </c>
      <c r="C1826" s="110" t="s">
        <v>5755</v>
      </c>
      <c r="D1826" s="111">
        <v>18.43</v>
      </c>
    </row>
    <row r="1827" spans="1:4" x14ac:dyDescent="0.25">
      <c r="A1827" s="106">
        <v>2357</v>
      </c>
      <c r="B1827" s="108" t="s">
        <v>7342</v>
      </c>
      <c r="C1827" s="110" t="s">
        <v>5759</v>
      </c>
      <c r="D1827" s="111">
        <v>14.5</v>
      </c>
    </row>
    <row r="1828" spans="1:4" x14ac:dyDescent="0.25">
      <c r="A1828" s="106">
        <v>40806</v>
      </c>
      <c r="B1828" s="108" t="s">
        <v>7343</v>
      </c>
      <c r="C1828" s="110" t="s">
        <v>5906</v>
      </c>
      <c r="D1828" s="111">
        <v>2572.08</v>
      </c>
    </row>
    <row r="1829" spans="1:4" x14ac:dyDescent="0.25">
      <c r="A1829" s="106">
        <v>2355</v>
      </c>
      <c r="B1829" s="108" t="s">
        <v>7344</v>
      </c>
      <c r="C1829" s="110" t="s">
        <v>5759</v>
      </c>
      <c r="D1829" s="111">
        <v>19.23</v>
      </c>
    </row>
    <row r="1830" spans="1:4" x14ac:dyDescent="0.25">
      <c r="A1830" s="106">
        <v>40805</v>
      </c>
      <c r="B1830" s="108" t="s">
        <v>7345</v>
      </c>
      <c r="C1830" s="110" t="s">
        <v>5906</v>
      </c>
      <c r="D1830" s="111">
        <v>3409.91</v>
      </c>
    </row>
    <row r="1831" spans="1:4" x14ac:dyDescent="0.25">
      <c r="A1831" s="106">
        <v>2358</v>
      </c>
      <c r="B1831" s="108" t="s">
        <v>7346</v>
      </c>
      <c r="C1831" s="110" t="s">
        <v>5759</v>
      </c>
      <c r="D1831" s="111">
        <v>15.36</v>
      </c>
    </row>
    <row r="1832" spans="1:4" x14ac:dyDescent="0.25">
      <c r="A1832" s="106">
        <v>40807</v>
      </c>
      <c r="B1832" s="108" t="s">
        <v>7347</v>
      </c>
      <c r="C1832" s="110" t="s">
        <v>5906</v>
      </c>
      <c r="D1832" s="111">
        <v>2725.65</v>
      </c>
    </row>
    <row r="1833" spans="1:4" x14ac:dyDescent="0.25">
      <c r="A1833" s="106">
        <v>2359</v>
      </c>
      <c r="B1833" s="108" t="s">
        <v>7348</v>
      </c>
      <c r="C1833" s="110" t="s">
        <v>5759</v>
      </c>
      <c r="D1833" s="111">
        <v>15.36</v>
      </c>
    </row>
    <row r="1834" spans="1:4" x14ac:dyDescent="0.25">
      <c r="A1834" s="106">
        <v>40808</v>
      </c>
      <c r="B1834" s="108" t="s">
        <v>7349</v>
      </c>
      <c r="C1834" s="110" t="s">
        <v>5906</v>
      </c>
      <c r="D1834" s="111">
        <v>2724.89</v>
      </c>
    </row>
    <row r="1835" spans="1:4" x14ac:dyDescent="0.25">
      <c r="A1835" s="106">
        <v>43144</v>
      </c>
      <c r="B1835" s="108" t="s">
        <v>10672</v>
      </c>
      <c r="C1835" s="110" t="s">
        <v>5816</v>
      </c>
      <c r="D1835" s="111">
        <v>26.34</v>
      </c>
    </row>
    <row r="1836" spans="1:4" x14ac:dyDescent="0.25">
      <c r="A1836" s="106">
        <v>39397</v>
      </c>
      <c r="B1836" s="108" t="s">
        <v>7350</v>
      </c>
      <c r="C1836" s="110" t="s">
        <v>5818</v>
      </c>
      <c r="D1836" s="111">
        <v>12</v>
      </c>
    </row>
    <row r="1837" spans="1:4" ht="25.5" x14ac:dyDescent="0.25">
      <c r="A1837" s="106">
        <v>2692</v>
      </c>
      <c r="B1837" s="108" t="s">
        <v>659</v>
      </c>
      <c r="C1837" s="110" t="s">
        <v>5818</v>
      </c>
      <c r="D1837" s="111">
        <v>4.84</v>
      </c>
    </row>
    <row r="1838" spans="1:4" x14ac:dyDescent="0.25">
      <c r="A1838" s="106">
        <v>6</v>
      </c>
      <c r="B1838" s="108" t="s">
        <v>7351</v>
      </c>
      <c r="C1838" s="110" t="s">
        <v>5818</v>
      </c>
      <c r="D1838" s="111">
        <v>3.5</v>
      </c>
    </row>
    <row r="1839" spans="1:4" x14ac:dyDescent="0.25">
      <c r="A1839" s="106">
        <v>5330</v>
      </c>
      <c r="B1839" s="108" t="s">
        <v>7352</v>
      </c>
      <c r="C1839" s="110" t="s">
        <v>5818</v>
      </c>
      <c r="D1839" s="111">
        <v>36.700000000000003</v>
      </c>
    </row>
    <row r="1840" spans="1:4" x14ac:dyDescent="0.25">
      <c r="A1840" s="106">
        <v>26017</v>
      </c>
      <c r="B1840" s="108" t="s">
        <v>7353</v>
      </c>
      <c r="C1840" s="110" t="s">
        <v>5755</v>
      </c>
      <c r="D1840" s="111">
        <v>36.33</v>
      </c>
    </row>
    <row r="1841" spans="1:4" ht="25.5" x14ac:dyDescent="0.25">
      <c r="A1841" s="106">
        <v>25931</v>
      </c>
      <c r="B1841" s="108" t="s">
        <v>7354</v>
      </c>
      <c r="C1841" s="110" t="s">
        <v>5755</v>
      </c>
      <c r="D1841" s="111">
        <v>115.46</v>
      </c>
    </row>
    <row r="1842" spans="1:4" ht="25.5" x14ac:dyDescent="0.25">
      <c r="A1842" s="106">
        <v>38140</v>
      </c>
      <c r="B1842" s="108" t="s">
        <v>7355</v>
      </c>
      <c r="C1842" s="110" t="s">
        <v>5755</v>
      </c>
      <c r="D1842" s="111">
        <v>28</v>
      </c>
    </row>
    <row r="1843" spans="1:4" ht="25.5" x14ac:dyDescent="0.25">
      <c r="A1843" s="106">
        <v>13887</v>
      </c>
      <c r="B1843" s="108" t="s">
        <v>7356</v>
      </c>
      <c r="C1843" s="110" t="s">
        <v>5755</v>
      </c>
      <c r="D1843" s="111">
        <v>662.92</v>
      </c>
    </row>
    <row r="1844" spans="1:4" ht="25.5" x14ac:dyDescent="0.25">
      <c r="A1844" s="106">
        <v>26018</v>
      </c>
      <c r="B1844" s="108" t="s">
        <v>7357</v>
      </c>
      <c r="C1844" s="110" t="s">
        <v>5755</v>
      </c>
      <c r="D1844" s="111">
        <v>29.51</v>
      </c>
    </row>
    <row r="1845" spans="1:4" ht="25.5" x14ac:dyDescent="0.25">
      <c r="A1845" s="106">
        <v>26019</v>
      </c>
      <c r="B1845" s="108" t="s">
        <v>7358</v>
      </c>
      <c r="C1845" s="110" t="s">
        <v>5755</v>
      </c>
      <c r="D1845" s="111">
        <v>27.87</v>
      </c>
    </row>
    <row r="1846" spans="1:4" x14ac:dyDescent="0.25">
      <c r="A1846" s="106">
        <v>26020</v>
      </c>
      <c r="B1846" s="108" t="s">
        <v>7359</v>
      </c>
      <c r="C1846" s="110" t="s">
        <v>5755</v>
      </c>
      <c r="D1846" s="111">
        <v>7.26</v>
      </c>
    </row>
    <row r="1847" spans="1:4" x14ac:dyDescent="0.25">
      <c r="A1847" s="106">
        <v>34544</v>
      </c>
      <c r="B1847" s="108" t="s">
        <v>7360</v>
      </c>
      <c r="C1847" s="110" t="s">
        <v>5755</v>
      </c>
      <c r="D1847" s="111">
        <v>1298.42</v>
      </c>
    </row>
    <row r="1848" spans="1:4" ht="25.5" x14ac:dyDescent="0.25">
      <c r="A1848" s="106">
        <v>34729</v>
      </c>
      <c r="B1848" s="108" t="s">
        <v>7361</v>
      </c>
      <c r="C1848" s="110" t="s">
        <v>5755</v>
      </c>
      <c r="D1848" s="111">
        <v>1021.41</v>
      </c>
    </row>
    <row r="1849" spans="1:4" ht="25.5" x14ac:dyDescent="0.25">
      <c r="A1849" s="106">
        <v>34734</v>
      </c>
      <c r="B1849" s="108" t="s">
        <v>7362</v>
      </c>
      <c r="C1849" s="110" t="s">
        <v>5755</v>
      </c>
      <c r="D1849" s="111">
        <v>1581.46</v>
      </c>
    </row>
    <row r="1850" spans="1:4" ht="25.5" x14ac:dyDescent="0.25">
      <c r="A1850" s="106">
        <v>34738</v>
      </c>
      <c r="B1850" s="108" t="s">
        <v>7363</v>
      </c>
      <c r="C1850" s="110" t="s">
        <v>5755</v>
      </c>
      <c r="D1850" s="111">
        <v>3694.8</v>
      </c>
    </row>
    <row r="1851" spans="1:4" x14ac:dyDescent="0.25">
      <c r="A1851" s="106">
        <v>2391</v>
      </c>
      <c r="B1851" s="108" t="s">
        <v>529</v>
      </c>
      <c r="C1851" s="110" t="s">
        <v>5755</v>
      </c>
      <c r="D1851" s="111">
        <v>300.51</v>
      </c>
    </row>
    <row r="1852" spans="1:4" ht="25.5" x14ac:dyDescent="0.25">
      <c r="A1852" s="106">
        <v>2374</v>
      </c>
      <c r="B1852" s="108" t="s">
        <v>7364</v>
      </c>
      <c r="C1852" s="110" t="s">
        <v>5755</v>
      </c>
      <c r="D1852" s="111">
        <v>340.92</v>
      </c>
    </row>
    <row r="1853" spans="1:4" ht="25.5" x14ac:dyDescent="0.25">
      <c r="A1853" s="106">
        <v>2377</v>
      </c>
      <c r="B1853" s="108" t="s">
        <v>7365</v>
      </c>
      <c r="C1853" s="110" t="s">
        <v>5755</v>
      </c>
      <c r="D1853" s="111">
        <v>478.44</v>
      </c>
    </row>
    <row r="1854" spans="1:4" x14ac:dyDescent="0.25">
      <c r="A1854" s="106">
        <v>2393</v>
      </c>
      <c r="B1854" s="108" t="s">
        <v>7366</v>
      </c>
      <c r="C1854" s="110" t="s">
        <v>5755</v>
      </c>
      <c r="D1854" s="111">
        <v>801.21</v>
      </c>
    </row>
    <row r="1855" spans="1:4" x14ac:dyDescent="0.25">
      <c r="A1855" s="106">
        <v>34705</v>
      </c>
      <c r="B1855" s="108" t="s">
        <v>7367</v>
      </c>
      <c r="C1855" s="110" t="s">
        <v>5755</v>
      </c>
      <c r="D1855" s="111">
        <v>700.78</v>
      </c>
    </row>
    <row r="1856" spans="1:4" x14ac:dyDescent="0.25">
      <c r="A1856" s="106">
        <v>34707</v>
      </c>
      <c r="B1856" s="108" t="s">
        <v>7368</v>
      </c>
      <c r="C1856" s="110" t="s">
        <v>5755</v>
      </c>
      <c r="D1856" s="111">
        <v>1298.55</v>
      </c>
    </row>
    <row r="1857" spans="1:4" ht="25.5" x14ac:dyDescent="0.25">
      <c r="A1857" s="106">
        <v>2378</v>
      </c>
      <c r="B1857" s="108" t="s">
        <v>7369</v>
      </c>
      <c r="C1857" s="110" t="s">
        <v>5755</v>
      </c>
      <c r="D1857" s="111">
        <v>1100.58</v>
      </c>
    </row>
    <row r="1858" spans="1:4" ht="25.5" x14ac:dyDescent="0.25">
      <c r="A1858" s="106">
        <v>2379</v>
      </c>
      <c r="B1858" s="108" t="s">
        <v>7370</v>
      </c>
      <c r="C1858" s="110" t="s">
        <v>5755</v>
      </c>
      <c r="D1858" s="111">
        <v>1100.58</v>
      </c>
    </row>
    <row r="1859" spans="1:4" ht="25.5" x14ac:dyDescent="0.25">
      <c r="A1859" s="106">
        <v>2376</v>
      </c>
      <c r="B1859" s="108" t="s">
        <v>7371</v>
      </c>
      <c r="C1859" s="110" t="s">
        <v>5755</v>
      </c>
      <c r="D1859" s="111">
        <v>1812.64</v>
      </c>
    </row>
    <row r="1860" spans="1:4" x14ac:dyDescent="0.25">
      <c r="A1860" s="106">
        <v>2394</v>
      </c>
      <c r="B1860" s="108" t="s">
        <v>7372</v>
      </c>
      <c r="C1860" s="110" t="s">
        <v>5755</v>
      </c>
      <c r="D1860" s="111">
        <v>3875.1</v>
      </c>
    </row>
    <row r="1861" spans="1:4" x14ac:dyDescent="0.25">
      <c r="A1861" s="106">
        <v>34686</v>
      </c>
      <c r="B1861" s="108" t="s">
        <v>7373</v>
      </c>
      <c r="C1861" s="110" t="s">
        <v>5755</v>
      </c>
      <c r="D1861" s="111">
        <v>11.63</v>
      </c>
    </row>
    <row r="1862" spans="1:4" x14ac:dyDescent="0.25">
      <c r="A1862" s="106">
        <v>34616</v>
      </c>
      <c r="B1862" s="108" t="s">
        <v>7374</v>
      </c>
      <c r="C1862" s="110" t="s">
        <v>5755</v>
      </c>
      <c r="D1862" s="111">
        <v>44.96</v>
      </c>
    </row>
    <row r="1863" spans="1:4" x14ac:dyDescent="0.25">
      <c r="A1863" s="106">
        <v>34623</v>
      </c>
      <c r="B1863" s="108" t="s">
        <v>7375</v>
      </c>
      <c r="C1863" s="110" t="s">
        <v>5755</v>
      </c>
      <c r="D1863" s="111">
        <v>44.27</v>
      </c>
    </row>
    <row r="1864" spans="1:4" x14ac:dyDescent="0.25">
      <c r="A1864" s="106">
        <v>34628</v>
      </c>
      <c r="B1864" s="108" t="s">
        <v>7376</v>
      </c>
      <c r="C1864" s="110" t="s">
        <v>5755</v>
      </c>
      <c r="D1864" s="111">
        <v>63.42</v>
      </c>
    </row>
    <row r="1865" spans="1:4" x14ac:dyDescent="0.25">
      <c r="A1865" s="106">
        <v>34653</v>
      </c>
      <c r="B1865" s="108" t="s">
        <v>7377</v>
      </c>
      <c r="C1865" s="110" t="s">
        <v>5755</v>
      </c>
      <c r="D1865" s="111">
        <v>7.84</v>
      </c>
    </row>
    <row r="1866" spans="1:4" x14ac:dyDescent="0.25">
      <c r="A1866" s="106">
        <v>34688</v>
      </c>
      <c r="B1866" s="108" t="s">
        <v>7378</v>
      </c>
      <c r="C1866" s="110" t="s">
        <v>5755</v>
      </c>
      <c r="D1866" s="111">
        <v>14.21</v>
      </c>
    </row>
    <row r="1867" spans="1:4" x14ac:dyDescent="0.25">
      <c r="A1867" s="106">
        <v>34709</v>
      </c>
      <c r="B1867" s="108" t="s">
        <v>7379</v>
      </c>
      <c r="C1867" s="110" t="s">
        <v>5755</v>
      </c>
      <c r="D1867" s="111">
        <v>55.09</v>
      </c>
    </row>
    <row r="1868" spans="1:4" x14ac:dyDescent="0.25">
      <c r="A1868" s="106">
        <v>34714</v>
      </c>
      <c r="B1868" s="108" t="s">
        <v>521</v>
      </c>
      <c r="C1868" s="110" t="s">
        <v>5755</v>
      </c>
      <c r="D1868" s="111">
        <v>65.8</v>
      </c>
    </row>
    <row r="1869" spans="1:4" x14ac:dyDescent="0.25">
      <c r="A1869" s="106">
        <v>2388</v>
      </c>
      <c r="B1869" s="108" t="s">
        <v>7380</v>
      </c>
      <c r="C1869" s="110" t="s">
        <v>5755</v>
      </c>
      <c r="D1869" s="111">
        <v>54.68</v>
      </c>
    </row>
    <row r="1870" spans="1:4" x14ac:dyDescent="0.25">
      <c r="A1870" s="106">
        <v>34606</v>
      </c>
      <c r="B1870" s="108" t="s">
        <v>7381</v>
      </c>
      <c r="C1870" s="110" t="s">
        <v>5755</v>
      </c>
      <c r="D1870" s="111">
        <v>83.87</v>
      </c>
    </row>
    <row r="1871" spans="1:4" ht="25.5" x14ac:dyDescent="0.25">
      <c r="A1871" s="106">
        <v>34689</v>
      </c>
      <c r="B1871" s="108" t="s">
        <v>7382</v>
      </c>
      <c r="C1871" s="110" t="s">
        <v>5755</v>
      </c>
      <c r="D1871" s="111">
        <v>26.7</v>
      </c>
    </row>
    <row r="1872" spans="1:4" ht="25.5" x14ac:dyDescent="0.25">
      <c r="A1872" s="106">
        <v>2370</v>
      </c>
      <c r="B1872" s="108" t="s">
        <v>7383</v>
      </c>
      <c r="C1872" s="110" t="s">
        <v>5755</v>
      </c>
      <c r="D1872" s="111">
        <v>10.16</v>
      </c>
    </row>
    <row r="1873" spans="1:4" ht="25.5" x14ac:dyDescent="0.25">
      <c r="A1873" s="106">
        <v>2386</v>
      </c>
      <c r="B1873" s="108" t="s">
        <v>7384</v>
      </c>
      <c r="C1873" s="110" t="s">
        <v>5755</v>
      </c>
      <c r="D1873" s="111">
        <v>17.04</v>
      </c>
    </row>
    <row r="1874" spans="1:4" ht="25.5" x14ac:dyDescent="0.25">
      <c r="A1874" s="106">
        <v>2392</v>
      </c>
      <c r="B1874" s="108" t="s">
        <v>7385</v>
      </c>
      <c r="C1874" s="110" t="s">
        <v>5755</v>
      </c>
      <c r="D1874" s="111">
        <v>68.2</v>
      </c>
    </row>
    <row r="1875" spans="1:4" ht="25.5" x14ac:dyDescent="0.25">
      <c r="A1875" s="106">
        <v>2373</v>
      </c>
      <c r="B1875" s="108" t="s">
        <v>670</v>
      </c>
      <c r="C1875" s="110" t="s">
        <v>5755</v>
      </c>
      <c r="D1875" s="111">
        <v>96.09</v>
      </c>
    </row>
    <row r="1876" spans="1:4" ht="25.5" x14ac:dyDescent="0.25">
      <c r="A1876" s="106">
        <v>39465</v>
      </c>
      <c r="B1876" s="108" t="s">
        <v>7386</v>
      </c>
      <c r="C1876" s="110" t="s">
        <v>5755</v>
      </c>
      <c r="D1876" s="111">
        <v>58.7</v>
      </c>
    </row>
    <row r="1877" spans="1:4" ht="25.5" x14ac:dyDescent="0.25">
      <c r="A1877" s="106">
        <v>39466</v>
      </c>
      <c r="B1877" s="108" t="s">
        <v>7387</v>
      </c>
      <c r="C1877" s="110" t="s">
        <v>5755</v>
      </c>
      <c r="D1877" s="111">
        <v>66.040000000000006</v>
      </c>
    </row>
    <row r="1878" spans="1:4" ht="25.5" x14ac:dyDescent="0.25">
      <c r="A1878" s="106">
        <v>39467</v>
      </c>
      <c r="B1878" s="108" t="s">
        <v>510</v>
      </c>
      <c r="C1878" s="110" t="s">
        <v>5755</v>
      </c>
      <c r="D1878" s="111">
        <v>84.47</v>
      </c>
    </row>
    <row r="1879" spans="1:4" ht="25.5" x14ac:dyDescent="0.25">
      <c r="A1879" s="106">
        <v>39468</v>
      </c>
      <c r="B1879" s="108" t="s">
        <v>7388</v>
      </c>
      <c r="C1879" s="110" t="s">
        <v>5755</v>
      </c>
      <c r="D1879" s="111">
        <v>150.13999999999999</v>
      </c>
    </row>
    <row r="1880" spans="1:4" ht="25.5" x14ac:dyDescent="0.25">
      <c r="A1880" s="106">
        <v>39469</v>
      </c>
      <c r="B1880" s="108" t="s">
        <v>7389</v>
      </c>
      <c r="C1880" s="110" t="s">
        <v>5755</v>
      </c>
      <c r="D1880" s="111">
        <v>61.16</v>
      </c>
    </row>
    <row r="1881" spans="1:4" ht="25.5" x14ac:dyDescent="0.25">
      <c r="A1881" s="106">
        <v>39470</v>
      </c>
      <c r="B1881" s="108" t="s">
        <v>7390</v>
      </c>
      <c r="C1881" s="110" t="s">
        <v>5755</v>
      </c>
      <c r="D1881" s="111">
        <v>75.150000000000006</v>
      </c>
    </row>
    <row r="1882" spans="1:4" ht="25.5" x14ac:dyDescent="0.25">
      <c r="A1882" s="106">
        <v>39471</v>
      </c>
      <c r="B1882" s="108" t="s">
        <v>7391</v>
      </c>
      <c r="C1882" s="110" t="s">
        <v>5755</v>
      </c>
      <c r="D1882" s="111">
        <v>90.31</v>
      </c>
    </row>
    <row r="1883" spans="1:4" ht="25.5" x14ac:dyDescent="0.25">
      <c r="A1883" s="106">
        <v>39472</v>
      </c>
      <c r="B1883" s="108" t="s">
        <v>7392</v>
      </c>
      <c r="C1883" s="110" t="s">
        <v>5755</v>
      </c>
      <c r="D1883" s="111">
        <v>156.91</v>
      </c>
    </row>
    <row r="1884" spans="1:4" ht="25.5" x14ac:dyDescent="0.25">
      <c r="A1884" s="106">
        <v>39473</v>
      </c>
      <c r="B1884" s="108" t="s">
        <v>7393</v>
      </c>
      <c r="C1884" s="110" t="s">
        <v>5755</v>
      </c>
      <c r="D1884" s="111">
        <v>101.36</v>
      </c>
    </row>
    <row r="1885" spans="1:4" ht="25.5" x14ac:dyDescent="0.25">
      <c r="A1885" s="106">
        <v>39474</v>
      </c>
      <c r="B1885" s="108" t="s">
        <v>7394</v>
      </c>
      <c r="C1885" s="110" t="s">
        <v>5755</v>
      </c>
      <c r="D1885" s="111">
        <v>108.06</v>
      </c>
    </row>
    <row r="1886" spans="1:4" ht="25.5" x14ac:dyDescent="0.25">
      <c r="A1886" s="106">
        <v>39475</v>
      </c>
      <c r="B1886" s="108" t="s">
        <v>7395</v>
      </c>
      <c r="C1886" s="110" t="s">
        <v>5755</v>
      </c>
      <c r="D1886" s="111">
        <v>122.6</v>
      </c>
    </row>
    <row r="1887" spans="1:4" ht="25.5" x14ac:dyDescent="0.25">
      <c r="A1887" s="106">
        <v>39476</v>
      </c>
      <c r="B1887" s="108" t="s">
        <v>7396</v>
      </c>
      <c r="C1887" s="110" t="s">
        <v>5755</v>
      </c>
      <c r="D1887" s="111">
        <v>230.8</v>
      </c>
    </row>
    <row r="1888" spans="1:4" ht="25.5" x14ac:dyDescent="0.25">
      <c r="A1888" s="106">
        <v>39477</v>
      </c>
      <c r="B1888" s="108" t="s">
        <v>7397</v>
      </c>
      <c r="C1888" s="110" t="s">
        <v>5755</v>
      </c>
      <c r="D1888" s="111">
        <v>113.08</v>
      </c>
    </row>
    <row r="1889" spans="1:4" ht="25.5" x14ac:dyDescent="0.25">
      <c r="A1889" s="106">
        <v>39478</v>
      </c>
      <c r="B1889" s="108" t="s">
        <v>7398</v>
      </c>
      <c r="C1889" s="110" t="s">
        <v>5755</v>
      </c>
      <c r="D1889" s="111">
        <v>116.58</v>
      </c>
    </row>
    <row r="1890" spans="1:4" ht="25.5" x14ac:dyDescent="0.25">
      <c r="A1890" s="106">
        <v>39479</v>
      </c>
      <c r="B1890" s="108" t="s">
        <v>7399</v>
      </c>
      <c r="C1890" s="110" t="s">
        <v>5755</v>
      </c>
      <c r="D1890" s="111">
        <v>137.36000000000001</v>
      </c>
    </row>
    <row r="1891" spans="1:4" ht="25.5" x14ac:dyDescent="0.25">
      <c r="A1891" s="106">
        <v>39480</v>
      </c>
      <c r="B1891" s="108" t="s">
        <v>7400</v>
      </c>
      <c r="C1891" s="110" t="s">
        <v>5755</v>
      </c>
      <c r="D1891" s="111">
        <v>283.44</v>
      </c>
    </row>
    <row r="1892" spans="1:4" ht="25.5" x14ac:dyDescent="0.25">
      <c r="A1892" s="106">
        <v>39459</v>
      </c>
      <c r="B1892" s="108" t="s">
        <v>7401</v>
      </c>
      <c r="C1892" s="110" t="s">
        <v>5755</v>
      </c>
      <c r="D1892" s="111">
        <v>240.57</v>
      </c>
    </row>
    <row r="1893" spans="1:4" ht="25.5" x14ac:dyDescent="0.25">
      <c r="A1893" s="106">
        <v>39445</v>
      </c>
      <c r="B1893" s="108" t="s">
        <v>7402</v>
      </c>
      <c r="C1893" s="110" t="s">
        <v>5755</v>
      </c>
      <c r="D1893" s="111">
        <v>120.79</v>
      </c>
    </row>
    <row r="1894" spans="1:4" ht="25.5" x14ac:dyDescent="0.25">
      <c r="A1894" s="106">
        <v>39446</v>
      </c>
      <c r="B1894" s="108" t="s">
        <v>7403</v>
      </c>
      <c r="C1894" s="110" t="s">
        <v>5755</v>
      </c>
      <c r="D1894" s="111">
        <v>122.94</v>
      </c>
    </row>
    <row r="1895" spans="1:4" ht="25.5" x14ac:dyDescent="0.25">
      <c r="A1895" s="106">
        <v>39447</v>
      </c>
      <c r="B1895" s="108" t="s">
        <v>7404</v>
      </c>
      <c r="C1895" s="110" t="s">
        <v>5755</v>
      </c>
      <c r="D1895" s="111">
        <v>131.47</v>
      </c>
    </row>
    <row r="1896" spans="1:4" ht="25.5" x14ac:dyDescent="0.25">
      <c r="A1896" s="106">
        <v>39448</v>
      </c>
      <c r="B1896" s="108" t="s">
        <v>7405</v>
      </c>
      <c r="C1896" s="110" t="s">
        <v>5755</v>
      </c>
      <c r="D1896" s="111">
        <v>224.18</v>
      </c>
    </row>
    <row r="1897" spans="1:4" ht="25.5" x14ac:dyDescent="0.25">
      <c r="A1897" s="106">
        <v>39450</v>
      </c>
      <c r="B1897" s="108" t="s">
        <v>7406</v>
      </c>
      <c r="C1897" s="110" t="s">
        <v>5755</v>
      </c>
      <c r="D1897" s="111">
        <v>136.77000000000001</v>
      </c>
    </row>
    <row r="1898" spans="1:4" ht="25.5" x14ac:dyDescent="0.25">
      <c r="A1898" s="106">
        <v>39451</v>
      </c>
      <c r="B1898" s="108" t="s">
        <v>7407</v>
      </c>
      <c r="C1898" s="110" t="s">
        <v>5755</v>
      </c>
      <c r="D1898" s="111">
        <v>149.18</v>
      </c>
    </row>
    <row r="1899" spans="1:4" ht="25.5" x14ac:dyDescent="0.25">
      <c r="A1899" s="106">
        <v>39452</v>
      </c>
      <c r="B1899" s="108" t="s">
        <v>7408</v>
      </c>
      <c r="C1899" s="110" t="s">
        <v>5755</v>
      </c>
      <c r="D1899" s="111">
        <v>150.07</v>
      </c>
    </row>
    <row r="1900" spans="1:4" ht="25.5" x14ac:dyDescent="0.25">
      <c r="A1900" s="106">
        <v>39523</v>
      </c>
      <c r="B1900" s="108" t="s">
        <v>7409</v>
      </c>
      <c r="C1900" s="110" t="s">
        <v>5755</v>
      </c>
      <c r="D1900" s="111">
        <v>251.14</v>
      </c>
    </row>
    <row r="1901" spans="1:4" ht="25.5" x14ac:dyDescent="0.25">
      <c r="A1901" s="106">
        <v>39449</v>
      </c>
      <c r="B1901" s="108" t="s">
        <v>7410</v>
      </c>
      <c r="C1901" s="110" t="s">
        <v>5755</v>
      </c>
      <c r="D1901" s="111">
        <v>278.12</v>
      </c>
    </row>
    <row r="1902" spans="1:4" ht="25.5" x14ac:dyDescent="0.25">
      <c r="A1902" s="106">
        <v>39455</v>
      </c>
      <c r="B1902" s="108" t="s">
        <v>7411</v>
      </c>
      <c r="C1902" s="110" t="s">
        <v>5755</v>
      </c>
      <c r="D1902" s="111">
        <v>137.62</v>
      </c>
    </row>
    <row r="1903" spans="1:4" ht="25.5" x14ac:dyDescent="0.25">
      <c r="A1903" s="106">
        <v>39456</v>
      </c>
      <c r="B1903" s="108" t="s">
        <v>7412</v>
      </c>
      <c r="C1903" s="110" t="s">
        <v>5755</v>
      </c>
      <c r="D1903" s="111">
        <v>137.72</v>
      </c>
    </row>
    <row r="1904" spans="1:4" ht="25.5" x14ac:dyDescent="0.25">
      <c r="A1904" s="106">
        <v>39457</v>
      </c>
      <c r="B1904" s="108" t="s">
        <v>7413</v>
      </c>
      <c r="C1904" s="110" t="s">
        <v>5755</v>
      </c>
      <c r="D1904" s="111">
        <v>150.13999999999999</v>
      </c>
    </row>
    <row r="1905" spans="1:4" ht="25.5" x14ac:dyDescent="0.25">
      <c r="A1905" s="106">
        <v>39458</v>
      </c>
      <c r="B1905" s="108" t="s">
        <v>7414</v>
      </c>
      <c r="C1905" s="110" t="s">
        <v>5755</v>
      </c>
      <c r="D1905" s="111">
        <v>280.17</v>
      </c>
    </row>
    <row r="1906" spans="1:4" ht="25.5" x14ac:dyDescent="0.25">
      <c r="A1906" s="106">
        <v>39464</v>
      </c>
      <c r="B1906" s="108" t="s">
        <v>7415</v>
      </c>
      <c r="C1906" s="110" t="s">
        <v>5755</v>
      </c>
      <c r="D1906" s="111">
        <v>450.53</v>
      </c>
    </row>
    <row r="1907" spans="1:4" ht="25.5" x14ac:dyDescent="0.25">
      <c r="A1907" s="106">
        <v>39460</v>
      </c>
      <c r="B1907" s="108" t="s">
        <v>7416</v>
      </c>
      <c r="C1907" s="110" t="s">
        <v>5755</v>
      </c>
      <c r="D1907" s="111">
        <v>170.87</v>
      </c>
    </row>
    <row r="1908" spans="1:4" ht="25.5" x14ac:dyDescent="0.25">
      <c r="A1908" s="106">
        <v>39461</v>
      </c>
      <c r="B1908" s="108" t="s">
        <v>7417</v>
      </c>
      <c r="C1908" s="110" t="s">
        <v>5755</v>
      </c>
      <c r="D1908" s="111">
        <v>200.23</v>
      </c>
    </row>
    <row r="1909" spans="1:4" ht="25.5" x14ac:dyDescent="0.25">
      <c r="A1909" s="106">
        <v>39462</v>
      </c>
      <c r="B1909" s="108" t="s">
        <v>7418</v>
      </c>
      <c r="C1909" s="110" t="s">
        <v>5755</v>
      </c>
      <c r="D1909" s="111">
        <v>192.97</v>
      </c>
    </row>
    <row r="1910" spans="1:4" ht="25.5" x14ac:dyDescent="0.25">
      <c r="A1910" s="106">
        <v>39463</v>
      </c>
      <c r="B1910" s="108" t="s">
        <v>7419</v>
      </c>
      <c r="C1910" s="110" t="s">
        <v>5755</v>
      </c>
      <c r="D1910" s="111">
        <v>447.04</v>
      </c>
    </row>
    <row r="1911" spans="1:4" ht="25.5" x14ac:dyDescent="0.25">
      <c r="A1911" s="106">
        <v>26039</v>
      </c>
      <c r="B1911" s="108" t="s">
        <v>7420</v>
      </c>
      <c r="C1911" s="110" t="s">
        <v>5755</v>
      </c>
      <c r="D1911" s="111">
        <v>249588.52</v>
      </c>
    </row>
    <row r="1912" spans="1:4" ht="25.5" x14ac:dyDescent="0.25">
      <c r="A1912" s="106">
        <v>2401</v>
      </c>
      <c r="B1912" s="108" t="s">
        <v>7421</v>
      </c>
      <c r="C1912" s="110" t="s">
        <v>5755</v>
      </c>
      <c r="D1912" s="111">
        <v>57408.12</v>
      </c>
    </row>
    <row r="1913" spans="1:4" ht="25.5" x14ac:dyDescent="0.25">
      <c r="A1913" s="106">
        <v>38870</v>
      </c>
      <c r="B1913" s="108" t="s">
        <v>7422</v>
      </c>
      <c r="C1913" s="110" t="s">
        <v>5755</v>
      </c>
      <c r="D1913" s="111">
        <v>35.979999999999997</v>
      </c>
    </row>
    <row r="1914" spans="1:4" ht="25.5" x14ac:dyDescent="0.25">
      <c r="A1914" s="106">
        <v>38869</v>
      </c>
      <c r="B1914" s="108" t="s">
        <v>7423</v>
      </c>
      <c r="C1914" s="110" t="s">
        <v>5755</v>
      </c>
      <c r="D1914" s="111">
        <v>31.74</v>
      </c>
    </row>
    <row r="1915" spans="1:4" ht="25.5" x14ac:dyDescent="0.25">
      <c r="A1915" s="106">
        <v>38872</v>
      </c>
      <c r="B1915" s="108" t="s">
        <v>7424</v>
      </c>
      <c r="C1915" s="110" t="s">
        <v>5755</v>
      </c>
      <c r="D1915" s="111">
        <v>49.15</v>
      </c>
    </row>
    <row r="1916" spans="1:4" ht="25.5" x14ac:dyDescent="0.25">
      <c r="A1916" s="106">
        <v>38871</v>
      </c>
      <c r="B1916" s="108" t="s">
        <v>7425</v>
      </c>
      <c r="C1916" s="110" t="s">
        <v>5755</v>
      </c>
      <c r="D1916" s="111">
        <v>39.54</v>
      </c>
    </row>
    <row r="1917" spans="1:4" ht="25.5" x14ac:dyDescent="0.25">
      <c r="A1917" s="106">
        <v>39283</v>
      </c>
      <c r="B1917" s="108" t="s">
        <v>7426</v>
      </c>
      <c r="C1917" s="110" t="s">
        <v>5755</v>
      </c>
      <c r="D1917" s="111">
        <v>123.16</v>
      </c>
    </row>
    <row r="1918" spans="1:4" ht="25.5" x14ac:dyDescent="0.25">
      <c r="A1918" s="106">
        <v>39284</v>
      </c>
      <c r="B1918" s="108" t="s">
        <v>7427</v>
      </c>
      <c r="C1918" s="110" t="s">
        <v>5755</v>
      </c>
      <c r="D1918" s="111">
        <v>133.46</v>
      </c>
    </row>
    <row r="1919" spans="1:4" ht="25.5" x14ac:dyDescent="0.25">
      <c r="A1919" s="106">
        <v>39285</v>
      </c>
      <c r="B1919" s="108" t="s">
        <v>7428</v>
      </c>
      <c r="C1919" s="110" t="s">
        <v>5755</v>
      </c>
      <c r="D1919" s="111">
        <v>135.38</v>
      </c>
    </row>
    <row r="1920" spans="1:4" ht="25.5" x14ac:dyDescent="0.25">
      <c r="A1920" s="106">
        <v>39286</v>
      </c>
      <c r="B1920" s="108" t="s">
        <v>7429</v>
      </c>
      <c r="C1920" s="110" t="s">
        <v>5755</v>
      </c>
      <c r="D1920" s="111">
        <v>132.43</v>
      </c>
    </row>
    <row r="1921" spans="1:4" ht="25.5" x14ac:dyDescent="0.25">
      <c r="A1921" s="106">
        <v>39287</v>
      </c>
      <c r="B1921" s="108" t="s">
        <v>7430</v>
      </c>
      <c r="C1921" s="110" t="s">
        <v>5755</v>
      </c>
      <c r="D1921" s="111">
        <v>155.5</v>
      </c>
    </row>
    <row r="1922" spans="1:4" ht="25.5" x14ac:dyDescent="0.25">
      <c r="A1922" s="106">
        <v>39288</v>
      </c>
      <c r="B1922" s="108" t="s">
        <v>7431</v>
      </c>
      <c r="C1922" s="110" t="s">
        <v>5755</v>
      </c>
      <c r="D1922" s="111">
        <v>165.96</v>
      </c>
    </row>
    <row r="1923" spans="1:4" ht="25.5" x14ac:dyDescent="0.25">
      <c r="A1923" s="106">
        <v>2414</v>
      </c>
      <c r="B1923" s="108" t="s">
        <v>7432</v>
      </c>
      <c r="C1923" s="110" t="s">
        <v>5757</v>
      </c>
      <c r="D1923" s="111">
        <v>104.95</v>
      </c>
    </row>
    <row r="1924" spans="1:4" ht="25.5" x14ac:dyDescent="0.25">
      <c r="A1924" s="106">
        <v>2413</v>
      </c>
      <c r="B1924" s="108" t="s">
        <v>7433</v>
      </c>
      <c r="C1924" s="110" t="s">
        <v>5757</v>
      </c>
      <c r="D1924" s="111">
        <v>100.97</v>
      </c>
    </row>
    <row r="1925" spans="1:4" ht="25.5" x14ac:dyDescent="0.25">
      <c r="A1925" s="106">
        <v>2405</v>
      </c>
      <c r="B1925" s="108" t="s">
        <v>7434</v>
      </c>
      <c r="C1925" s="110" t="s">
        <v>5757</v>
      </c>
      <c r="D1925" s="111">
        <v>117.52</v>
      </c>
    </row>
    <row r="1926" spans="1:4" ht="25.5" x14ac:dyDescent="0.25">
      <c r="A1926" s="106">
        <v>13361</v>
      </c>
      <c r="B1926" s="108" t="s">
        <v>7435</v>
      </c>
      <c r="C1926" s="110" t="s">
        <v>5757</v>
      </c>
      <c r="D1926" s="111">
        <v>98.31</v>
      </c>
    </row>
    <row r="1927" spans="1:4" ht="25.5" x14ac:dyDescent="0.25">
      <c r="A1927" s="106">
        <v>11987</v>
      </c>
      <c r="B1927" s="108" t="s">
        <v>7436</v>
      </c>
      <c r="C1927" s="110" t="s">
        <v>5757</v>
      </c>
      <c r="D1927" s="111">
        <v>263.05</v>
      </c>
    </row>
    <row r="1928" spans="1:4" ht="25.5" x14ac:dyDescent="0.25">
      <c r="A1928" s="106">
        <v>2416</v>
      </c>
      <c r="B1928" s="108" t="s">
        <v>7437</v>
      </c>
      <c r="C1928" s="110" t="s">
        <v>5757</v>
      </c>
      <c r="D1928" s="111">
        <v>116.38</v>
      </c>
    </row>
    <row r="1929" spans="1:4" ht="25.5" x14ac:dyDescent="0.25">
      <c r="A1929" s="106">
        <v>2412</v>
      </c>
      <c r="B1929" s="108" t="s">
        <v>7438</v>
      </c>
      <c r="C1929" s="110" t="s">
        <v>5757</v>
      </c>
      <c r="D1929" s="111">
        <v>112.39</v>
      </c>
    </row>
    <row r="1930" spans="1:4" ht="25.5" x14ac:dyDescent="0.25">
      <c r="A1930" s="106">
        <v>2411</v>
      </c>
      <c r="B1930" s="108" t="s">
        <v>7439</v>
      </c>
      <c r="C1930" s="110" t="s">
        <v>5757</v>
      </c>
      <c r="D1930" s="111">
        <v>98.31</v>
      </c>
    </row>
    <row r="1931" spans="1:4" ht="25.5" x14ac:dyDescent="0.25">
      <c r="A1931" s="106">
        <v>2406</v>
      </c>
      <c r="B1931" s="108" t="s">
        <v>7440</v>
      </c>
      <c r="C1931" s="110" t="s">
        <v>5757</v>
      </c>
      <c r="D1931" s="111">
        <v>95.65</v>
      </c>
    </row>
    <row r="1932" spans="1:4" ht="25.5" x14ac:dyDescent="0.25">
      <c r="A1932" s="106">
        <v>10571</v>
      </c>
      <c r="B1932" s="108" t="s">
        <v>7441</v>
      </c>
      <c r="C1932" s="110" t="s">
        <v>5757</v>
      </c>
      <c r="D1932" s="111">
        <v>233.82</v>
      </c>
    </row>
    <row r="1933" spans="1:4" ht="25.5" x14ac:dyDescent="0.25">
      <c r="A1933" s="106">
        <v>11985</v>
      </c>
      <c r="B1933" s="108" t="s">
        <v>7442</v>
      </c>
      <c r="C1933" s="110" t="s">
        <v>5757</v>
      </c>
      <c r="D1933" s="111">
        <v>225.85</v>
      </c>
    </row>
    <row r="1934" spans="1:4" ht="25.5" x14ac:dyDescent="0.25">
      <c r="A1934" s="106">
        <v>2410</v>
      </c>
      <c r="B1934" s="108" t="s">
        <v>7443</v>
      </c>
      <c r="C1934" s="110" t="s">
        <v>5757</v>
      </c>
      <c r="D1934" s="111">
        <v>99.64</v>
      </c>
    </row>
    <row r="1935" spans="1:4" ht="25.5" x14ac:dyDescent="0.25">
      <c r="A1935" s="106">
        <v>2417</v>
      </c>
      <c r="B1935" s="108" t="s">
        <v>7444</v>
      </c>
      <c r="C1935" s="110" t="s">
        <v>5757</v>
      </c>
      <c r="D1935" s="111">
        <v>106.28</v>
      </c>
    </row>
    <row r="1936" spans="1:4" ht="25.5" x14ac:dyDescent="0.25">
      <c r="A1936" s="106">
        <v>2415</v>
      </c>
      <c r="B1936" s="108" t="s">
        <v>7445</v>
      </c>
      <c r="C1936" s="110" t="s">
        <v>5757</v>
      </c>
      <c r="D1936" s="111">
        <v>85.02</v>
      </c>
    </row>
    <row r="1937" spans="1:4" ht="25.5" x14ac:dyDescent="0.25">
      <c r="A1937" s="106">
        <v>13360</v>
      </c>
      <c r="B1937" s="108" t="s">
        <v>7446</v>
      </c>
      <c r="C1937" s="110" t="s">
        <v>5757</v>
      </c>
      <c r="D1937" s="111">
        <v>85.02</v>
      </c>
    </row>
    <row r="1938" spans="1:4" ht="25.5" x14ac:dyDescent="0.25">
      <c r="A1938" s="106">
        <v>11983</v>
      </c>
      <c r="B1938" s="108" t="s">
        <v>7447</v>
      </c>
      <c r="C1938" s="110" t="s">
        <v>5757</v>
      </c>
      <c r="D1938" s="111">
        <v>207.25</v>
      </c>
    </row>
    <row r="1939" spans="1:4" ht="25.5" x14ac:dyDescent="0.25">
      <c r="A1939" s="106">
        <v>11986</v>
      </c>
      <c r="B1939" s="108" t="s">
        <v>7448</v>
      </c>
      <c r="C1939" s="110" t="s">
        <v>5757</v>
      </c>
      <c r="D1939" s="111">
        <v>252.42</v>
      </c>
    </row>
    <row r="1940" spans="1:4" ht="38.25" x14ac:dyDescent="0.25">
      <c r="A1940" s="106">
        <v>25976</v>
      </c>
      <c r="B1940" s="108" t="s">
        <v>7449</v>
      </c>
      <c r="C1940" s="110" t="s">
        <v>5757</v>
      </c>
      <c r="D1940" s="111">
        <v>602.26</v>
      </c>
    </row>
    <row r="1941" spans="1:4" ht="25.5" x14ac:dyDescent="0.25">
      <c r="A1941" s="106">
        <v>10629</v>
      </c>
      <c r="B1941" s="108" t="s">
        <v>7450</v>
      </c>
      <c r="C1941" s="110" t="s">
        <v>5757</v>
      </c>
      <c r="D1941" s="111">
        <v>533.5</v>
      </c>
    </row>
    <row r="1942" spans="1:4" ht="25.5" x14ac:dyDescent="0.25">
      <c r="A1942" s="106">
        <v>10698</v>
      </c>
      <c r="B1942" s="108" t="s">
        <v>7451</v>
      </c>
      <c r="C1942" s="110" t="s">
        <v>5757</v>
      </c>
      <c r="D1942" s="111">
        <v>135.82</v>
      </c>
    </row>
    <row r="1943" spans="1:4" ht="25.5" x14ac:dyDescent="0.25">
      <c r="A1943" s="106">
        <v>40521</v>
      </c>
      <c r="B1943" s="108" t="s">
        <v>7452</v>
      </c>
      <c r="C1943" s="110" t="s">
        <v>5755</v>
      </c>
      <c r="D1943" s="111">
        <v>100113.45</v>
      </c>
    </row>
    <row r="1944" spans="1:4" ht="25.5" x14ac:dyDescent="0.25">
      <c r="A1944" s="106">
        <v>2432</v>
      </c>
      <c r="B1944" s="108" t="s">
        <v>7453</v>
      </c>
      <c r="C1944" s="110" t="s">
        <v>5755</v>
      </c>
      <c r="D1944" s="111">
        <v>15.63</v>
      </c>
    </row>
    <row r="1945" spans="1:4" ht="25.5" x14ac:dyDescent="0.25">
      <c r="A1945" s="106">
        <v>2433</v>
      </c>
      <c r="B1945" s="108" t="s">
        <v>7454</v>
      </c>
      <c r="C1945" s="110" t="s">
        <v>5755</v>
      </c>
      <c r="D1945" s="111">
        <v>5.29</v>
      </c>
    </row>
    <row r="1946" spans="1:4" ht="25.5" x14ac:dyDescent="0.25">
      <c r="A1946" s="106">
        <v>2420</v>
      </c>
      <c r="B1946" s="108" t="s">
        <v>7455</v>
      </c>
      <c r="C1946" s="110" t="s">
        <v>5755</v>
      </c>
      <c r="D1946" s="111">
        <v>9.09</v>
      </c>
    </row>
    <row r="1947" spans="1:4" ht="25.5" x14ac:dyDescent="0.25">
      <c r="A1947" s="106">
        <v>11447</v>
      </c>
      <c r="B1947" s="108" t="s">
        <v>488</v>
      </c>
      <c r="C1947" s="110" t="s">
        <v>5755</v>
      </c>
      <c r="D1947" s="111">
        <v>17.97</v>
      </c>
    </row>
    <row r="1948" spans="1:4" ht="25.5" x14ac:dyDescent="0.25">
      <c r="A1948" s="106">
        <v>11451</v>
      </c>
      <c r="B1948" s="108" t="s">
        <v>7456</v>
      </c>
      <c r="C1948" s="110" t="s">
        <v>5755</v>
      </c>
      <c r="D1948" s="111">
        <v>48.17</v>
      </c>
    </row>
    <row r="1949" spans="1:4" ht="25.5" x14ac:dyDescent="0.25">
      <c r="A1949" s="106">
        <v>11116</v>
      </c>
      <c r="B1949" s="108" t="s">
        <v>7457</v>
      </c>
      <c r="C1949" s="110" t="s">
        <v>5755</v>
      </c>
      <c r="D1949" s="111">
        <v>523.07000000000005</v>
      </c>
    </row>
    <row r="1950" spans="1:4" x14ac:dyDescent="0.25">
      <c r="A1950" s="106">
        <v>38411</v>
      </c>
      <c r="B1950" s="108" t="s">
        <v>7458</v>
      </c>
      <c r="C1950" s="110" t="s">
        <v>5755</v>
      </c>
      <c r="D1950" s="111">
        <v>1225.8399999999999</v>
      </c>
    </row>
    <row r="1951" spans="1:4" x14ac:dyDescent="0.25">
      <c r="A1951" s="106">
        <v>1370</v>
      </c>
      <c r="B1951" s="108" t="s">
        <v>7459</v>
      </c>
      <c r="C1951" s="110" t="s">
        <v>5755</v>
      </c>
      <c r="D1951" s="111">
        <v>86.81</v>
      </c>
    </row>
    <row r="1952" spans="1:4" ht="25.5" x14ac:dyDescent="0.25">
      <c r="A1952" s="106">
        <v>38189</v>
      </c>
      <c r="B1952" s="108" t="s">
        <v>7460</v>
      </c>
      <c r="C1952" s="110" t="s">
        <v>5755</v>
      </c>
      <c r="D1952" s="111">
        <v>184.3</v>
      </c>
    </row>
    <row r="1953" spans="1:4" ht="25.5" x14ac:dyDescent="0.25">
      <c r="A1953" s="106">
        <v>38190</v>
      </c>
      <c r="B1953" s="108" t="s">
        <v>7461</v>
      </c>
      <c r="C1953" s="110" t="s">
        <v>5755</v>
      </c>
      <c r="D1953" s="111">
        <v>414.46</v>
      </c>
    </row>
    <row r="1954" spans="1:4" ht="25.5" x14ac:dyDescent="0.25">
      <c r="A1954" s="106">
        <v>36516</v>
      </c>
      <c r="B1954" s="108" t="s">
        <v>7462</v>
      </c>
      <c r="C1954" s="110" t="s">
        <v>5755</v>
      </c>
      <c r="D1954" s="111">
        <v>71285.03</v>
      </c>
    </row>
    <row r="1955" spans="1:4" x14ac:dyDescent="0.25">
      <c r="A1955" s="106">
        <v>34777</v>
      </c>
      <c r="B1955" s="108" t="s">
        <v>7463</v>
      </c>
      <c r="C1955" s="110" t="s">
        <v>5755</v>
      </c>
      <c r="D1955" s="111">
        <v>1.71</v>
      </c>
    </row>
    <row r="1956" spans="1:4" x14ac:dyDescent="0.25">
      <c r="A1956" s="106">
        <v>7273</v>
      </c>
      <c r="B1956" s="108" t="s">
        <v>7464</v>
      </c>
      <c r="C1956" s="110" t="s">
        <v>5755</v>
      </c>
      <c r="D1956" s="111">
        <v>2.82</v>
      </c>
    </row>
    <row r="1957" spans="1:4" x14ac:dyDescent="0.25">
      <c r="A1957" s="106">
        <v>7272</v>
      </c>
      <c r="B1957" s="108" t="s">
        <v>7465</v>
      </c>
      <c r="C1957" s="110" t="s">
        <v>5755</v>
      </c>
      <c r="D1957" s="111">
        <v>3.93</v>
      </c>
    </row>
    <row r="1958" spans="1:4" ht="25.5" x14ac:dyDescent="0.25">
      <c r="A1958" s="106">
        <v>10605</v>
      </c>
      <c r="B1958" s="108" t="s">
        <v>7466</v>
      </c>
      <c r="C1958" s="110" t="s">
        <v>5755</v>
      </c>
      <c r="D1958" s="111">
        <v>3.46</v>
      </c>
    </row>
    <row r="1959" spans="1:4" ht="25.5" x14ac:dyDescent="0.25">
      <c r="A1959" s="106">
        <v>10604</v>
      </c>
      <c r="B1959" s="108" t="s">
        <v>7467</v>
      </c>
      <c r="C1959" s="110" t="s">
        <v>5755</v>
      </c>
      <c r="D1959" s="111">
        <v>8.08</v>
      </c>
    </row>
    <row r="1960" spans="1:4" ht="25.5" x14ac:dyDescent="0.25">
      <c r="A1960" s="106">
        <v>672</v>
      </c>
      <c r="B1960" s="108" t="s">
        <v>7468</v>
      </c>
      <c r="C1960" s="110" t="s">
        <v>5755</v>
      </c>
      <c r="D1960" s="111">
        <v>11.11</v>
      </c>
    </row>
    <row r="1961" spans="1:4" ht="25.5" x14ac:dyDescent="0.25">
      <c r="A1961" s="106">
        <v>668</v>
      </c>
      <c r="B1961" s="108" t="s">
        <v>7469</v>
      </c>
      <c r="C1961" s="110" t="s">
        <v>5755</v>
      </c>
      <c r="D1961" s="111">
        <v>13.41</v>
      </c>
    </row>
    <row r="1962" spans="1:4" ht="25.5" x14ac:dyDescent="0.25">
      <c r="A1962" s="106">
        <v>10578</v>
      </c>
      <c r="B1962" s="108" t="s">
        <v>7470</v>
      </c>
      <c r="C1962" s="110" t="s">
        <v>5755</v>
      </c>
      <c r="D1962" s="111">
        <v>15.62</v>
      </c>
    </row>
    <row r="1963" spans="1:4" ht="25.5" x14ac:dyDescent="0.25">
      <c r="A1963" s="106">
        <v>666</v>
      </c>
      <c r="B1963" s="108" t="s">
        <v>7471</v>
      </c>
      <c r="C1963" s="110" t="s">
        <v>5755</v>
      </c>
      <c r="D1963" s="111">
        <v>17.37</v>
      </c>
    </row>
    <row r="1964" spans="1:4" ht="25.5" x14ac:dyDescent="0.25">
      <c r="A1964" s="106">
        <v>665</v>
      </c>
      <c r="B1964" s="108" t="s">
        <v>7472</v>
      </c>
      <c r="C1964" s="110" t="s">
        <v>5755</v>
      </c>
      <c r="D1964" s="111">
        <v>23.23</v>
      </c>
    </row>
    <row r="1965" spans="1:4" ht="25.5" x14ac:dyDescent="0.25">
      <c r="A1965" s="106">
        <v>10577</v>
      </c>
      <c r="B1965" s="108" t="s">
        <v>7473</v>
      </c>
      <c r="C1965" s="110" t="s">
        <v>5755</v>
      </c>
      <c r="D1965" s="111">
        <v>20.6</v>
      </c>
    </row>
    <row r="1966" spans="1:4" x14ac:dyDescent="0.25">
      <c r="A1966" s="106">
        <v>10583</v>
      </c>
      <c r="B1966" s="108" t="s">
        <v>7474</v>
      </c>
      <c r="C1966" s="110" t="s">
        <v>5755</v>
      </c>
      <c r="D1966" s="111">
        <v>10.7</v>
      </c>
    </row>
    <row r="1967" spans="1:4" x14ac:dyDescent="0.25">
      <c r="A1967" s="106">
        <v>10579</v>
      </c>
      <c r="B1967" s="108" t="s">
        <v>7475</v>
      </c>
      <c r="C1967" s="110" t="s">
        <v>5755</v>
      </c>
      <c r="D1967" s="111">
        <v>18.66</v>
      </c>
    </row>
    <row r="1968" spans="1:4" x14ac:dyDescent="0.25">
      <c r="A1968" s="106">
        <v>10582</v>
      </c>
      <c r="B1968" s="108" t="s">
        <v>7476</v>
      </c>
      <c r="C1968" s="110" t="s">
        <v>5755</v>
      </c>
      <c r="D1968" s="111">
        <v>9.42</v>
      </c>
    </row>
    <row r="1969" spans="1:4" x14ac:dyDescent="0.25">
      <c r="A1969" s="106">
        <v>2436</v>
      </c>
      <c r="B1969" s="108" t="s">
        <v>7477</v>
      </c>
      <c r="C1969" s="110" t="s">
        <v>5759</v>
      </c>
      <c r="D1969" s="111">
        <v>13.23</v>
      </c>
    </row>
    <row r="1970" spans="1:4" x14ac:dyDescent="0.25">
      <c r="A1970" s="106">
        <v>40918</v>
      </c>
      <c r="B1970" s="108" t="s">
        <v>7478</v>
      </c>
      <c r="C1970" s="110" t="s">
        <v>5906</v>
      </c>
      <c r="D1970" s="111">
        <v>2344.6999999999998</v>
      </c>
    </row>
    <row r="1971" spans="1:4" x14ac:dyDescent="0.25">
      <c r="A1971" s="106">
        <v>2439</v>
      </c>
      <c r="B1971" s="108" t="s">
        <v>7479</v>
      </c>
      <c r="C1971" s="110" t="s">
        <v>5759</v>
      </c>
      <c r="D1971" s="111">
        <v>13.23</v>
      </c>
    </row>
    <row r="1972" spans="1:4" x14ac:dyDescent="0.25">
      <c r="A1972" s="106">
        <v>40923</v>
      </c>
      <c r="B1972" s="108" t="s">
        <v>7480</v>
      </c>
      <c r="C1972" s="110" t="s">
        <v>5906</v>
      </c>
      <c r="D1972" s="111">
        <v>2344.6999999999998</v>
      </c>
    </row>
    <row r="1973" spans="1:4" x14ac:dyDescent="0.25">
      <c r="A1973" s="106">
        <v>10998</v>
      </c>
      <c r="B1973" s="108" t="s">
        <v>7481</v>
      </c>
      <c r="C1973" s="110" t="s">
        <v>5816</v>
      </c>
      <c r="D1973" s="111">
        <v>13.83</v>
      </c>
    </row>
    <row r="1974" spans="1:4" x14ac:dyDescent="0.25">
      <c r="A1974" s="106">
        <v>11002</v>
      </c>
      <c r="B1974" s="108" t="s">
        <v>7482</v>
      </c>
      <c r="C1974" s="110" t="s">
        <v>5816</v>
      </c>
      <c r="D1974" s="111">
        <v>12.67</v>
      </c>
    </row>
    <row r="1975" spans="1:4" x14ac:dyDescent="0.25">
      <c r="A1975" s="106">
        <v>10999</v>
      </c>
      <c r="B1975" s="108" t="s">
        <v>479</v>
      </c>
      <c r="C1975" s="110" t="s">
        <v>5816</v>
      </c>
      <c r="D1975" s="111">
        <v>12.17</v>
      </c>
    </row>
    <row r="1976" spans="1:4" x14ac:dyDescent="0.25">
      <c r="A1976" s="106">
        <v>10997</v>
      </c>
      <c r="B1976" s="108" t="s">
        <v>7483</v>
      </c>
      <c r="C1976" s="110" t="s">
        <v>5816</v>
      </c>
      <c r="D1976" s="111">
        <v>13.2</v>
      </c>
    </row>
    <row r="1977" spans="1:4" x14ac:dyDescent="0.25">
      <c r="A1977" s="106">
        <v>2685</v>
      </c>
      <c r="B1977" s="108" t="s">
        <v>671</v>
      </c>
      <c r="C1977" s="110" t="s">
        <v>5767</v>
      </c>
      <c r="D1977" s="111">
        <v>4.18</v>
      </c>
    </row>
    <row r="1978" spans="1:4" x14ac:dyDescent="0.25">
      <c r="A1978" s="106">
        <v>2680</v>
      </c>
      <c r="B1978" s="108" t="s">
        <v>7484</v>
      </c>
      <c r="C1978" s="110" t="s">
        <v>5767</v>
      </c>
      <c r="D1978" s="111">
        <v>6.12</v>
      </c>
    </row>
    <row r="1979" spans="1:4" x14ac:dyDescent="0.25">
      <c r="A1979" s="106">
        <v>2684</v>
      </c>
      <c r="B1979" s="108" t="s">
        <v>7485</v>
      </c>
      <c r="C1979" s="110" t="s">
        <v>5767</v>
      </c>
      <c r="D1979" s="111">
        <v>5.57</v>
      </c>
    </row>
    <row r="1980" spans="1:4" x14ac:dyDescent="0.25">
      <c r="A1980" s="106">
        <v>2673</v>
      </c>
      <c r="B1980" s="108" t="s">
        <v>7486</v>
      </c>
      <c r="C1980" s="110" t="s">
        <v>5767</v>
      </c>
      <c r="D1980" s="111">
        <v>2.15</v>
      </c>
    </row>
    <row r="1981" spans="1:4" x14ac:dyDescent="0.25">
      <c r="A1981" s="106">
        <v>2681</v>
      </c>
      <c r="B1981" s="108" t="s">
        <v>7487</v>
      </c>
      <c r="C1981" s="110" t="s">
        <v>5767</v>
      </c>
      <c r="D1981" s="111">
        <v>10</v>
      </c>
    </row>
    <row r="1982" spans="1:4" x14ac:dyDescent="0.25">
      <c r="A1982" s="106">
        <v>2682</v>
      </c>
      <c r="B1982" s="108" t="s">
        <v>7488</v>
      </c>
      <c r="C1982" s="110" t="s">
        <v>5767</v>
      </c>
      <c r="D1982" s="111">
        <v>14.59</v>
      </c>
    </row>
    <row r="1983" spans="1:4" x14ac:dyDescent="0.25">
      <c r="A1983" s="106">
        <v>2686</v>
      </c>
      <c r="B1983" s="108" t="s">
        <v>7489</v>
      </c>
      <c r="C1983" s="110" t="s">
        <v>5767</v>
      </c>
      <c r="D1983" s="111">
        <v>18.3</v>
      </c>
    </row>
    <row r="1984" spans="1:4" x14ac:dyDescent="0.25">
      <c r="A1984" s="106">
        <v>2674</v>
      </c>
      <c r="B1984" s="108" t="s">
        <v>7490</v>
      </c>
      <c r="C1984" s="110" t="s">
        <v>5767</v>
      </c>
      <c r="D1984" s="111">
        <v>2.67</v>
      </c>
    </row>
    <row r="1985" spans="1:4" x14ac:dyDescent="0.25">
      <c r="A1985" s="106">
        <v>2683</v>
      </c>
      <c r="B1985" s="108" t="s">
        <v>7491</v>
      </c>
      <c r="C1985" s="110" t="s">
        <v>5767</v>
      </c>
      <c r="D1985" s="111">
        <v>28.84</v>
      </c>
    </row>
    <row r="1986" spans="1:4" x14ac:dyDescent="0.25">
      <c r="A1986" s="106">
        <v>2676</v>
      </c>
      <c r="B1986" s="108" t="s">
        <v>7492</v>
      </c>
      <c r="C1986" s="110" t="s">
        <v>5767</v>
      </c>
      <c r="D1986" s="111">
        <v>1.25</v>
      </c>
    </row>
    <row r="1987" spans="1:4" x14ac:dyDescent="0.25">
      <c r="A1987" s="106">
        <v>2678</v>
      </c>
      <c r="B1987" s="108" t="s">
        <v>7493</v>
      </c>
      <c r="C1987" s="110" t="s">
        <v>5767</v>
      </c>
      <c r="D1987" s="111">
        <v>1.56</v>
      </c>
    </row>
    <row r="1988" spans="1:4" x14ac:dyDescent="0.25">
      <c r="A1988" s="106">
        <v>2679</v>
      </c>
      <c r="B1988" s="108" t="s">
        <v>7494</v>
      </c>
      <c r="C1988" s="110" t="s">
        <v>5767</v>
      </c>
      <c r="D1988" s="111">
        <v>2.41</v>
      </c>
    </row>
    <row r="1989" spans="1:4" x14ac:dyDescent="0.25">
      <c r="A1989" s="106">
        <v>12070</v>
      </c>
      <c r="B1989" s="108" t="s">
        <v>7495</v>
      </c>
      <c r="C1989" s="110" t="s">
        <v>5767</v>
      </c>
      <c r="D1989" s="111">
        <v>3.36</v>
      </c>
    </row>
    <row r="1990" spans="1:4" x14ac:dyDescent="0.25">
      <c r="A1990" s="106">
        <v>2675</v>
      </c>
      <c r="B1990" s="108" t="s">
        <v>7496</v>
      </c>
      <c r="C1990" s="110" t="s">
        <v>5767</v>
      </c>
      <c r="D1990" s="111">
        <v>4.3600000000000003</v>
      </c>
    </row>
    <row r="1991" spans="1:4" x14ac:dyDescent="0.25">
      <c r="A1991" s="106">
        <v>12067</v>
      </c>
      <c r="B1991" s="108" t="s">
        <v>7497</v>
      </c>
      <c r="C1991" s="110" t="s">
        <v>5767</v>
      </c>
      <c r="D1991" s="111">
        <v>5.92</v>
      </c>
    </row>
    <row r="1992" spans="1:4" ht="25.5" x14ac:dyDescent="0.25">
      <c r="A1992" s="106">
        <v>40401</v>
      </c>
      <c r="B1992" s="108" t="s">
        <v>7498</v>
      </c>
      <c r="C1992" s="110" t="s">
        <v>5767</v>
      </c>
      <c r="D1992" s="111">
        <v>2.09</v>
      </c>
    </row>
    <row r="1993" spans="1:4" ht="25.5" x14ac:dyDescent="0.25">
      <c r="A1993" s="106">
        <v>40402</v>
      </c>
      <c r="B1993" s="108" t="s">
        <v>7499</v>
      </c>
      <c r="C1993" s="110" t="s">
        <v>5767</v>
      </c>
      <c r="D1993" s="111">
        <v>2.68</v>
      </c>
    </row>
    <row r="1994" spans="1:4" ht="25.5" x14ac:dyDescent="0.25">
      <c r="A1994" s="106">
        <v>40400</v>
      </c>
      <c r="B1994" s="108" t="s">
        <v>7500</v>
      </c>
      <c r="C1994" s="110" t="s">
        <v>5767</v>
      </c>
      <c r="D1994" s="111">
        <v>1.42</v>
      </c>
    </row>
    <row r="1995" spans="1:4" ht="38.25" x14ac:dyDescent="0.25">
      <c r="A1995" s="106">
        <v>2504</v>
      </c>
      <c r="B1995" s="108" t="s">
        <v>7501</v>
      </c>
      <c r="C1995" s="110" t="s">
        <v>5767</v>
      </c>
      <c r="D1995" s="111">
        <v>10.26</v>
      </c>
    </row>
    <row r="1996" spans="1:4" ht="38.25" x14ac:dyDescent="0.25">
      <c r="A1996" s="106">
        <v>2501</v>
      </c>
      <c r="B1996" s="108" t="s">
        <v>7502</v>
      </c>
      <c r="C1996" s="110" t="s">
        <v>5767</v>
      </c>
      <c r="D1996" s="111">
        <v>13.46</v>
      </c>
    </row>
    <row r="1997" spans="1:4" ht="38.25" x14ac:dyDescent="0.25">
      <c r="A1997" s="106">
        <v>2502</v>
      </c>
      <c r="B1997" s="108" t="s">
        <v>7503</v>
      </c>
      <c r="C1997" s="110" t="s">
        <v>5767</v>
      </c>
      <c r="D1997" s="111">
        <v>20.309999999999999</v>
      </c>
    </row>
    <row r="1998" spans="1:4" ht="38.25" x14ac:dyDescent="0.25">
      <c r="A1998" s="106">
        <v>2503</v>
      </c>
      <c r="B1998" s="108" t="s">
        <v>7504</v>
      </c>
      <c r="C1998" s="110" t="s">
        <v>5767</v>
      </c>
      <c r="D1998" s="111">
        <v>26.14</v>
      </c>
    </row>
    <row r="1999" spans="1:4" ht="38.25" x14ac:dyDescent="0.25">
      <c r="A1999" s="106">
        <v>2500</v>
      </c>
      <c r="B1999" s="108" t="s">
        <v>7505</v>
      </c>
      <c r="C1999" s="110" t="s">
        <v>5767</v>
      </c>
      <c r="D1999" s="111">
        <v>34.81</v>
      </c>
    </row>
    <row r="2000" spans="1:4" ht="38.25" x14ac:dyDescent="0.25">
      <c r="A2000" s="106">
        <v>2505</v>
      </c>
      <c r="B2000" s="108" t="s">
        <v>7506</v>
      </c>
      <c r="C2000" s="110" t="s">
        <v>5767</v>
      </c>
      <c r="D2000" s="111">
        <v>54.26</v>
      </c>
    </row>
    <row r="2001" spans="1:4" x14ac:dyDescent="0.25">
      <c r="A2001" s="106">
        <v>12056</v>
      </c>
      <c r="B2001" s="108" t="s">
        <v>7507</v>
      </c>
      <c r="C2001" s="110" t="s">
        <v>5767</v>
      </c>
      <c r="D2001" s="111">
        <v>21.92</v>
      </c>
    </row>
    <row r="2002" spans="1:4" x14ac:dyDescent="0.25">
      <c r="A2002" s="106">
        <v>12057</v>
      </c>
      <c r="B2002" s="108" t="s">
        <v>7508</v>
      </c>
      <c r="C2002" s="110" t="s">
        <v>5767</v>
      </c>
      <c r="D2002" s="111">
        <v>18.62</v>
      </c>
    </row>
    <row r="2003" spans="1:4" x14ac:dyDescent="0.25">
      <c r="A2003" s="106">
        <v>12059</v>
      </c>
      <c r="B2003" s="108" t="s">
        <v>7509</v>
      </c>
      <c r="C2003" s="110" t="s">
        <v>5767</v>
      </c>
      <c r="D2003" s="111">
        <v>6.53</v>
      </c>
    </row>
    <row r="2004" spans="1:4" x14ac:dyDescent="0.25">
      <c r="A2004" s="106">
        <v>12058</v>
      </c>
      <c r="B2004" s="108" t="s">
        <v>7510</v>
      </c>
      <c r="C2004" s="110" t="s">
        <v>5767</v>
      </c>
      <c r="D2004" s="111">
        <v>11.61</v>
      </c>
    </row>
    <row r="2005" spans="1:4" x14ac:dyDescent="0.25">
      <c r="A2005" s="106">
        <v>12060</v>
      </c>
      <c r="B2005" s="108" t="s">
        <v>7511</v>
      </c>
      <c r="C2005" s="110" t="s">
        <v>5767</v>
      </c>
      <c r="D2005" s="111">
        <v>48.38</v>
      </c>
    </row>
    <row r="2006" spans="1:4" x14ac:dyDescent="0.25">
      <c r="A2006" s="106">
        <v>12061</v>
      </c>
      <c r="B2006" s="108" t="s">
        <v>7512</v>
      </c>
      <c r="C2006" s="110" t="s">
        <v>5767</v>
      </c>
      <c r="D2006" s="111">
        <v>29.54</v>
      </c>
    </row>
    <row r="2007" spans="1:4" x14ac:dyDescent="0.25">
      <c r="A2007" s="106">
        <v>12062</v>
      </c>
      <c r="B2007" s="108" t="s">
        <v>7513</v>
      </c>
      <c r="C2007" s="110" t="s">
        <v>5767</v>
      </c>
      <c r="D2007" s="111">
        <v>54.48</v>
      </c>
    </row>
    <row r="2008" spans="1:4" ht="25.5" x14ac:dyDescent="0.25">
      <c r="A2008" s="106">
        <v>21137</v>
      </c>
      <c r="B2008" s="108" t="s">
        <v>7514</v>
      </c>
      <c r="C2008" s="110" t="s">
        <v>5767</v>
      </c>
      <c r="D2008" s="111">
        <v>9.4700000000000006</v>
      </c>
    </row>
    <row r="2009" spans="1:4" x14ac:dyDescent="0.25">
      <c r="A2009" s="106">
        <v>2687</v>
      </c>
      <c r="B2009" s="108" t="s">
        <v>7515</v>
      </c>
      <c r="C2009" s="110" t="s">
        <v>5767</v>
      </c>
      <c r="D2009" s="111">
        <v>1.0900000000000001</v>
      </c>
    </row>
    <row r="2010" spans="1:4" x14ac:dyDescent="0.25">
      <c r="A2010" s="106">
        <v>2689</v>
      </c>
      <c r="B2010" s="108" t="s">
        <v>7516</v>
      </c>
      <c r="C2010" s="110" t="s">
        <v>5767</v>
      </c>
      <c r="D2010" s="111">
        <v>1.3</v>
      </c>
    </row>
    <row r="2011" spans="1:4" x14ac:dyDescent="0.25">
      <c r="A2011" s="106">
        <v>2688</v>
      </c>
      <c r="B2011" s="108" t="s">
        <v>7517</v>
      </c>
      <c r="C2011" s="110" t="s">
        <v>5767</v>
      </c>
      <c r="D2011" s="111">
        <v>1.4</v>
      </c>
    </row>
    <row r="2012" spans="1:4" x14ac:dyDescent="0.25">
      <c r="A2012" s="106">
        <v>2690</v>
      </c>
      <c r="B2012" s="108" t="s">
        <v>7518</v>
      </c>
      <c r="C2012" s="110" t="s">
        <v>5767</v>
      </c>
      <c r="D2012" s="111">
        <v>2.41</v>
      </c>
    </row>
    <row r="2013" spans="1:4" ht="25.5" x14ac:dyDescent="0.25">
      <c r="A2013" s="106">
        <v>39243</v>
      </c>
      <c r="B2013" s="108" t="s">
        <v>7519</v>
      </c>
      <c r="C2013" s="110" t="s">
        <v>5767</v>
      </c>
      <c r="D2013" s="111">
        <v>1.58</v>
      </c>
    </row>
    <row r="2014" spans="1:4" ht="25.5" x14ac:dyDescent="0.25">
      <c r="A2014" s="106">
        <v>39244</v>
      </c>
      <c r="B2014" s="108" t="s">
        <v>7520</v>
      </c>
      <c r="C2014" s="110" t="s">
        <v>5767</v>
      </c>
      <c r="D2014" s="111">
        <v>2.14</v>
      </c>
    </row>
    <row r="2015" spans="1:4" ht="25.5" x14ac:dyDescent="0.25">
      <c r="A2015" s="106">
        <v>39245</v>
      </c>
      <c r="B2015" s="108" t="s">
        <v>7521</v>
      </c>
      <c r="C2015" s="110" t="s">
        <v>5767</v>
      </c>
      <c r="D2015" s="111">
        <v>4.13</v>
      </c>
    </row>
    <row r="2016" spans="1:4" ht="25.5" x14ac:dyDescent="0.25">
      <c r="A2016" s="106">
        <v>39254</v>
      </c>
      <c r="B2016" s="108" t="s">
        <v>7522</v>
      </c>
      <c r="C2016" s="110" t="s">
        <v>5767</v>
      </c>
      <c r="D2016" s="111">
        <v>6.17</v>
      </c>
    </row>
    <row r="2017" spans="1:4" ht="25.5" x14ac:dyDescent="0.25">
      <c r="A2017" s="106">
        <v>39255</v>
      </c>
      <c r="B2017" s="108" t="s">
        <v>7523</v>
      </c>
      <c r="C2017" s="110" t="s">
        <v>5767</v>
      </c>
      <c r="D2017" s="111">
        <v>11.42</v>
      </c>
    </row>
    <row r="2018" spans="1:4" ht="25.5" x14ac:dyDescent="0.25">
      <c r="A2018" s="106">
        <v>39253</v>
      </c>
      <c r="B2018" s="108" t="s">
        <v>7524</v>
      </c>
      <c r="C2018" s="110" t="s">
        <v>5767</v>
      </c>
      <c r="D2018" s="111">
        <v>7.87</v>
      </c>
    </row>
    <row r="2019" spans="1:4" ht="38.25" x14ac:dyDescent="0.25">
      <c r="A2019" s="106">
        <v>2446</v>
      </c>
      <c r="B2019" s="108" t="s">
        <v>7525</v>
      </c>
      <c r="C2019" s="110" t="s">
        <v>5767</v>
      </c>
      <c r="D2019" s="111">
        <v>5.21</v>
      </c>
    </row>
    <row r="2020" spans="1:4" ht="38.25" x14ac:dyDescent="0.25">
      <c r="A2020" s="106">
        <v>2442</v>
      </c>
      <c r="B2020" s="108" t="s">
        <v>7526</v>
      </c>
      <c r="C2020" s="110" t="s">
        <v>5767</v>
      </c>
      <c r="D2020" s="111">
        <v>7.3</v>
      </c>
    </row>
    <row r="2021" spans="1:4" ht="38.25" x14ac:dyDescent="0.25">
      <c r="A2021" s="106">
        <v>39246</v>
      </c>
      <c r="B2021" s="108" t="s">
        <v>7527</v>
      </c>
      <c r="C2021" s="110" t="s">
        <v>5767</v>
      </c>
      <c r="D2021" s="111">
        <v>3.63</v>
      </c>
    </row>
    <row r="2022" spans="1:4" ht="38.25" x14ac:dyDescent="0.25">
      <c r="A2022" s="106">
        <v>39247</v>
      </c>
      <c r="B2022" s="108" t="s">
        <v>7528</v>
      </c>
      <c r="C2022" s="110" t="s">
        <v>5767</v>
      </c>
      <c r="D2022" s="111">
        <v>3.16</v>
      </c>
    </row>
    <row r="2023" spans="1:4" ht="38.25" x14ac:dyDescent="0.25">
      <c r="A2023" s="106">
        <v>39248</v>
      </c>
      <c r="B2023" s="108" t="s">
        <v>7529</v>
      </c>
      <c r="C2023" s="110" t="s">
        <v>5767</v>
      </c>
      <c r="D2023" s="111">
        <v>10.17</v>
      </c>
    </row>
    <row r="2024" spans="1:4" x14ac:dyDescent="0.25">
      <c r="A2024" s="106">
        <v>2438</v>
      </c>
      <c r="B2024" s="108" t="s">
        <v>7530</v>
      </c>
      <c r="C2024" s="110" t="s">
        <v>5759</v>
      </c>
      <c r="D2024" s="111">
        <v>13.36</v>
      </c>
    </row>
    <row r="2025" spans="1:4" x14ac:dyDescent="0.25">
      <c r="A2025" s="106">
        <v>40922</v>
      </c>
      <c r="B2025" s="108" t="s">
        <v>7531</v>
      </c>
      <c r="C2025" s="110" t="s">
        <v>5906</v>
      </c>
      <c r="D2025" s="111">
        <v>2370.7600000000002</v>
      </c>
    </row>
    <row r="2026" spans="1:4" ht="51" x14ac:dyDescent="0.25">
      <c r="A2026" s="106">
        <v>36486</v>
      </c>
      <c r="B2026" s="108" t="s">
        <v>7532</v>
      </c>
      <c r="C2026" s="110" t="s">
        <v>5755</v>
      </c>
      <c r="D2026" s="111">
        <v>36823.49</v>
      </c>
    </row>
    <row r="2027" spans="1:4" ht="38.25" x14ac:dyDescent="0.25">
      <c r="A2027" s="106">
        <v>37777</v>
      </c>
      <c r="B2027" s="108" t="s">
        <v>7533</v>
      </c>
      <c r="C2027" s="110" t="s">
        <v>5755</v>
      </c>
      <c r="D2027" s="111">
        <v>173364.31</v>
      </c>
    </row>
    <row r="2028" spans="1:4" ht="25.5" x14ac:dyDescent="0.25">
      <c r="A2028" s="106">
        <v>12624</v>
      </c>
      <c r="B2028" s="108" t="s">
        <v>7534</v>
      </c>
      <c r="C2028" s="110" t="s">
        <v>5755</v>
      </c>
      <c r="D2028" s="111">
        <v>9.1999999999999993</v>
      </c>
    </row>
    <row r="2029" spans="1:4" ht="38.25" x14ac:dyDescent="0.25">
      <c r="A2029" s="106">
        <v>10638</v>
      </c>
      <c r="B2029" s="108" t="s">
        <v>7535</v>
      </c>
      <c r="C2029" s="110" t="s">
        <v>5755</v>
      </c>
      <c r="D2029" s="111">
        <v>331496.96999999997</v>
      </c>
    </row>
    <row r="2030" spans="1:4" ht="38.25" x14ac:dyDescent="0.25">
      <c r="A2030" s="106">
        <v>10635</v>
      </c>
      <c r="B2030" s="108" t="s">
        <v>7536</v>
      </c>
      <c r="C2030" s="110" t="s">
        <v>5755</v>
      </c>
      <c r="D2030" s="111">
        <v>114582.21</v>
      </c>
    </row>
    <row r="2031" spans="1:4" ht="38.25" x14ac:dyDescent="0.25">
      <c r="A2031" s="106">
        <v>10634</v>
      </c>
      <c r="B2031" s="108" t="s">
        <v>7537</v>
      </c>
      <c r="C2031" s="110" t="s">
        <v>5755</v>
      </c>
      <c r="D2031" s="111">
        <v>98117.5</v>
      </c>
    </row>
    <row r="2032" spans="1:4" ht="38.25" x14ac:dyDescent="0.25">
      <c r="A2032" s="106">
        <v>10636</v>
      </c>
      <c r="B2032" s="108" t="s">
        <v>7538</v>
      </c>
      <c r="C2032" s="110" t="s">
        <v>5755</v>
      </c>
      <c r="D2032" s="111">
        <v>216078.76</v>
      </c>
    </row>
    <row r="2033" spans="1:4" ht="38.25" x14ac:dyDescent="0.25">
      <c r="A2033" s="106">
        <v>10637</v>
      </c>
      <c r="B2033" s="108" t="s">
        <v>7539</v>
      </c>
      <c r="C2033" s="110" t="s">
        <v>5755</v>
      </c>
      <c r="D2033" s="111">
        <v>226020.66</v>
      </c>
    </row>
    <row r="2034" spans="1:4" x14ac:dyDescent="0.25">
      <c r="A2034" s="106">
        <v>517</v>
      </c>
      <c r="B2034" s="108" t="s">
        <v>7540</v>
      </c>
      <c r="C2034" s="110" t="s">
        <v>5818</v>
      </c>
      <c r="D2034" s="111">
        <v>8.26</v>
      </c>
    </row>
    <row r="2035" spans="1:4" ht="25.5" x14ac:dyDescent="0.25">
      <c r="A2035" s="106">
        <v>41904</v>
      </c>
      <c r="B2035" s="108" t="s">
        <v>7541</v>
      </c>
      <c r="C2035" s="110" t="s">
        <v>6700</v>
      </c>
      <c r="D2035" s="111">
        <v>2244.37</v>
      </c>
    </row>
    <row r="2036" spans="1:4" ht="25.5" x14ac:dyDescent="0.25">
      <c r="A2036" s="106">
        <v>41905</v>
      </c>
      <c r="B2036" s="108" t="s">
        <v>7542</v>
      </c>
      <c r="C2036" s="110" t="s">
        <v>5816</v>
      </c>
      <c r="D2036" s="111">
        <v>2.35</v>
      </c>
    </row>
    <row r="2037" spans="1:4" ht="25.5" x14ac:dyDescent="0.25">
      <c r="A2037" s="106">
        <v>41903</v>
      </c>
      <c r="B2037" s="108" t="s">
        <v>7543</v>
      </c>
      <c r="C2037" s="110" t="s">
        <v>5816</v>
      </c>
      <c r="D2037" s="111">
        <v>2.2400000000000002</v>
      </c>
    </row>
    <row r="2038" spans="1:4" ht="25.5" x14ac:dyDescent="0.25">
      <c r="A2038" s="106">
        <v>37534</v>
      </c>
      <c r="B2038" s="108" t="s">
        <v>7544</v>
      </c>
      <c r="C2038" s="110" t="s">
        <v>5816</v>
      </c>
      <c r="D2038" s="111">
        <v>15.19</v>
      </c>
    </row>
    <row r="2039" spans="1:4" ht="25.5" x14ac:dyDescent="0.25">
      <c r="A2039" s="106">
        <v>37535</v>
      </c>
      <c r="B2039" s="108" t="s">
        <v>7545</v>
      </c>
      <c r="C2039" s="110" t="s">
        <v>5816</v>
      </c>
      <c r="D2039" s="111">
        <v>15.19</v>
      </c>
    </row>
    <row r="2040" spans="1:4" ht="25.5" x14ac:dyDescent="0.25">
      <c r="A2040" s="106">
        <v>37533</v>
      </c>
      <c r="B2040" s="108" t="s">
        <v>7546</v>
      </c>
      <c r="C2040" s="110" t="s">
        <v>5816</v>
      </c>
      <c r="D2040" s="111">
        <v>15.19</v>
      </c>
    </row>
    <row r="2041" spans="1:4" ht="25.5" x14ac:dyDescent="0.25">
      <c r="A2041" s="106">
        <v>37537</v>
      </c>
      <c r="B2041" s="108" t="s">
        <v>7547</v>
      </c>
      <c r="C2041" s="110" t="s">
        <v>5816</v>
      </c>
      <c r="D2041" s="111">
        <v>11.5</v>
      </c>
    </row>
    <row r="2042" spans="1:4" ht="25.5" x14ac:dyDescent="0.25">
      <c r="A2042" s="106">
        <v>37536</v>
      </c>
      <c r="B2042" s="108" t="s">
        <v>7548</v>
      </c>
      <c r="C2042" s="110" t="s">
        <v>5816</v>
      </c>
      <c r="D2042" s="111">
        <v>11.5</v>
      </c>
    </row>
    <row r="2043" spans="1:4" ht="25.5" x14ac:dyDescent="0.25">
      <c r="A2043" s="106">
        <v>37532</v>
      </c>
      <c r="B2043" s="108" t="s">
        <v>7549</v>
      </c>
      <c r="C2043" s="110" t="s">
        <v>5816</v>
      </c>
      <c r="D2043" s="111">
        <v>11.5</v>
      </c>
    </row>
    <row r="2044" spans="1:4" x14ac:dyDescent="0.25">
      <c r="A2044" s="106">
        <v>2696</v>
      </c>
      <c r="B2044" s="108" t="s">
        <v>7550</v>
      </c>
      <c r="C2044" s="110" t="s">
        <v>5759</v>
      </c>
      <c r="D2044" s="111">
        <v>13.23</v>
      </c>
    </row>
    <row r="2045" spans="1:4" x14ac:dyDescent="0.25">
      <c r="A2045" s="106">
        <v>40928</v>
      </c>
      <c r="B2045" s="108" t="s">
        <v>7551</v>
      </c>
      <c r="C2045" s="110" t="s">
        <v>5906</v>
      </c>
      <c r="D2045" s="111">
        <v>2344.6999999999998</v>
      </c>
    </row>
    <row r="2046" spans="1:4" x14ac:dyDescent="0.25">
      <c r="A2046" s="106">
        <v>4083</v>
      </c>
      <c r="B2046" s="108" t="s">
        <v>7552</v>
      </c>
      <c r="C2046" s="110" t="s">
        <v>5759</v>
      </c>
      <c r="D2046" s="111">
        <v>17.13</v>
      </c>
    </row>
    <row r="2047" spans="1:4" x14ac:dyDescent="0.25">
      <c r="A2047" s="106">
        <v>40818</v>
      </c>
      <c r="B2047" s="108" t="s">
        <v>7553</v>
      </c>
      <c r="C2047" s="110" t="s">
        <v>5906</v>
      </c>
      <c r="D2047" s="111">
        <v>3036.04</v>
      </c>
    </row>
    <row r="2048" spans="1:4" x14ac:dyDescent="0.25">
      <c r="A2048" s="106">
        <v>43146</v>
      </c>
      <c r="B2048" s="108" t="s">
        <v>10673</v>
      </c>
      <c r="C2048" s="110" t="s">
        <v>5816</v>
      </c>
      <c r="D2048" s="111">
        <v>6.2</v>
      </c>
    </row>
    <row r="2049" spans="1:4" x14ac:dyDescent="0.25">
      <c r="A2049" s="106">
        <v>2705</v>
      </c>
      <c r="B2049" s="108" t="s">
        <v>7554</v>
      </c>
      <c r="C2049" s="110" t="s">
        <v>7555</v>
      </c>
      <c r="D2049" s="111">
        <v>0.81</v>
      </c>
    </row>
    <row r="2050" spans="1:4" ht="25.5" x14ac:dyDescent="0.25">
      <c r="A2050" s="106">
        <v>14250</v>
      </c>
      <c r="B2050" s="108" t="s">
        <v>7556</v>
      </c>
      <c r="C2050" s="110" t="s">
        <v>7555</v>
      </c>
      <c r="D2050" s="111">
        <v>0.83</v>
      </c>
    </row>
    <row r="2051" spans="1:4" x14ac:dyDescent="0.25">
      <c r="A2051" s="106">
        <v>11683</v>
      </c>
      <c r="B2051" s="108" t="s">
        <v>7557</v>
      </c>
      <c r="C2051" s="110" t="s">
        <v>5755</v>
      </c>
      <c r="D2051" s="111">
        <v>34.31</v>
      </c>
    </row>
    <row r="2052" spans="1:4" x14ac:dyDescent="0.25">
      <c r="A2052" s="106">
        <v>11684</v>
      </c>
      <c r="B2052" s="108" t="s">
        <v>7558</v>
      </c>
      <c r="C2052" s="110" t="s">
        <v>5755</v>
      </c>
      <c r="D2052" s="111">
        <v>37.56</v>
      </c>
    </row>
    <row r="2053" spans="1:4" ht="25.5" x14ac:dyDescent="0.25">
      <c r="A2053" s="106">
        <v>6141</v>
      </c>
      <c r="B2053" s="108" t="s">
        <v>7559</v>
      </c>
      <c r="C2053" s="110" t="s">
        <v>5755</v>
      </c>
      <c r="D2053" s="111">
        <v>3.6</v>
      </c>
    </row>
    <row r="2054" spans="1:4" ht="25.5" x14ac:dyDescent="0.25">
      <c r="A2054" s="106">
        <v>11681</v>
      </c>
      <c r="B2054" s="108" t="s">
        <v>465</v>
      </c>
      <c r="C2054" s="110" t="s">
        <v>5755</v>
      </c>
      <c r="D2054" s="111">
        <v>6.02</v>
      </c>
    </row>
    <row r="2055" spans="1:4" x14ac:dyDescent="0.25">
      <c r="A2055" s="106">
        <v>2706</v>
      </c>
      <c r="B2055" s="108" t="s">
        <v>7560</v>
      </c>
      <c r="C2055" s="110" t="s">
        <v>5759</v>
      </c>
      <c r="D2055" s="111">
        <v>77.39</v>
      </c>
    </row>
    <row r="2056" spans="1:4" x14ac:dyDescent="0.25">
      <c r="A2056" s="106">
        <v>40811</v>
      </c>
      <c r="B2056" s="108" t="s">
        <v>7561</v>
      </c>
      <c r="C2056" s="110" t="s">
        <v>5906</v>
      </c>
      <c r="D2056" s="111">
        <v>13712.75</v>
      </c>
    </row>
    <row r="2057" spans="1:4" x14ac:dyDescent="0.25">
      <c r="A2057" s="106">
        <v>2707</v>
      </c>
      <c r="B2057" s="108" t="s">
        <v>7562</v>
      </c>
      <c r="C2057" s="110" t="s">
        <v>5759</v>
      </c>
      <c r="D2057" s="111">
        <v>88.09</v>
      </c>
    </row>
    <row r="2058" spans="1:4" x14ac:dyDescent="0.25">
      <c r="A2058" s="106">
        <v>40813</v>
      </c>
      <c r="B2058" s="108" t="s">
        <v>7563</v>
      </c>
      <c r="C2058" s="110" t="s">
        <v>5906</v>
      </c>
      <c r="D2058" s="111">
        <v>15607.93</v>
      </c>
    </row>
    <row r="2059" spans="1:4" x14ac:dyDescent="0.25">
      <c r="A2059" s="106">
        <v>2708</v>
      </c>
      <c r="B2059" s="108" t="s">
        <v>7564</v>
      </c>
      <c r="C2059" s="110" t="s">
        <v>5759</v>
      </c>
      <c r="D2059" s="111">
        <v>120.41</v>
      </c>
    </row>
    <row r="2060" spans="1:4" x14ac:dyDescent="0.25">
      <c r="A2060" s="106">
        <v>40814</v>
      </c>
      <c r="B2060" s="108" t="s">
        <v>7565</v>
      </c>
      <c r="C2060" s="110" t="s">
        <v>5906</v>
      </c>
      <c r="D2060" s="111">
        <v>21335.63</v>
      </c>
    </row>
    <row r="2061" spans="1:4" x14ac:dyDescent="0.25">
      <c r="A2061" s="106">
        <v>34779</v>
      </c>
      <c r="B2061" s="108" t="s">
        <v>7566</v>
      </c>
      <c r="C2061" s="110" t="s">
        <v>5759</v>
      </c>
      <c r="D2061" s="111">
        <v>78.510000000000005</v>
      </c>
    </row>
    <row r="2062" spans="1:4" x14ac:dyDescent="0.25">
      <c r="A2062" s="106">
        <v>40936</v>
      </c>
      <c r="B2062" s="108" t="s">
        <v>7567</v>
      </c>
      <c r="C2062" s="110" t="s">
        <v>5906</v>
      </c>
      <c r="D2062" s="111">
        <v>13912.79</v>
      </c>
    </row>
    <row r="2063" spans="1:4" x14ac:dyDescent="0.25">
      <c r="A2063" s="106">
        <v>34780</v>
      </c>
      <c r="B2063" s="108" t="s">
        <v>7568</v>
      </c>
      <c r="C2063" s="110" t="s">
        <v>5759</v>
      </c>
      <c r="D2063" s="111">
        <v>88.58</v>
      </c>
    </row>
    <row r="2064" spans="1:4" x14ac:dyDescent="0.25">
      <c r="A2064" s="106">
        <v>40937</v>
      </c>
      <c r="B2064" s="108" t="s">
        <v>7569</v>
      </c>
      <c r="C2064" s="110" t="s">
        <v>5906</v>
      </c>
      <c r="D2064" s="111">
        <v>15696.38</v>
      </c>
    </row>
    <row r="2065" spans="1:4" x14ac:dyDescent="0.25">
      <c r="A2065" s="106">
        <v>34782</v>
      </c>
      <c r="B2065" s="108" t="s">
        <v>7570</v>
      </c>
      <c r="C2065" s="110" t="s">
        <v>5759</v>
      </c>
      <c r="D2065" s="111">
        <v>121.4</v>
      </c>
    </row>
    <row r="2066" spans="1:4" x14ac:dyDescent="0.25">
      <c r="A2066" s="106">
        <v>40938</v>
      </c>
      <c r="B2066" s="108" t="s">
        <v>7571</v>
      </c>
      <c r="C2066" s="110" t="s">
        <v>5906</v>
      </c>
      <c r="D2066" s="111">
        <v>21510.41</v>
      </c>
    </row>
    <row r="2067" spans="1:4" x14ac:dyDescent="0.25">
      <c r="A2067" s="106">
        <v>34783</v>
      </c>
      <c r="B2067" s="108" t="s">
        <v>7572</v>
      </c>
      <c r="C2067" s="110" t="s">
        <v>5759</v>
      </c>
      <c r="D2067" s="111">
        <v>73.8</v>
      </c>
    </row>
    <row r="2068" spans="1:4" x14ac:dyDescent="0.25">
      <c r="A2068" s="106">
        <v>40939</v>
      </c>
      <c r="B2068" s="108" t="s">
        <v>7573</v>
      </c>
      <c r="C2068" s="110" t="s">
        <v>5906</v>
      </c>
      <c r="D2068" s="111">
        <v>13079.74</v>
      </c>
    </row>
    <row r="2069" spans="1:4" x14ac:dyDescent="0.25">
      <c r="A2069" s="106">
        <v>34785</v>
      </c>
      <c r="B2069" s="108" t="s">
        <v>7574</v>
      </c>
      <c r="C2069" s="110" t="s">
        <v>5759</v>
      </c>
      <c r="D2069" s="111">
        <v>73.09</v>
      </c>
    </row>
    <row r="2070" spans="1:4" x14ac:dyDescent="0.25">
      <c r="A2070" s="106">
        <v>40940</v>
      </c>
      <c r="B2070" s="108" t="s">
        <v>7575</v>
      </c>
      <c r="C2070" s="110" t="s">
        <v>5906</v>
      </c>
      <c r="D2070" s="111">
        <v>12950.92</v>
      </c>
    </row>
    <row r="2071" spans="1:4" x14ac:dyDescent="0.25">
      <c r="A2071" s="106">
        <v>38403</v>
      </c>
      <c r="B2071" s="108" t="s">
        <v>7576</v>
      </c>
      <c r="C2071" s="110" t="s">
        <v>5755</v>
      </c>
      <c r="D2071" s="111">
        <v>28.71</v>
      </c>
    </row>
    <row r="2072" spans="1:4" ht="25.5" x14ac:dyDescent="0.25">
      <c r="A2072" s="106">
        <v>43482</v>
      </c>
      <c r="B2072" s="108" t="s">
        <v>10457</v>
      </c>
      <c r="C2072" s="110" t="s">
        <v>5759</v>
      </c>
      <c r="D2072" s="111">
        <v>0.61</v>
      </c>
    </row>
    <row r="2073" spans="1:4" ht="25.5" x14ac:dyDescent="0.25">
      <c r="A2073" s="106">
        <v>43494</v>
      </c>
      <c r="B2073" s="108" t="s">
        <v>10674</v>
      </c>
      <c r="C2073" s="110" t="s">
        <v>5906</v>
      </c>
      <c r="D2073" s="111">
        <v>114.12</v>
      </c>
    </row>
    <row r="2074" spans="1:4" ht="25.5" x14ac:dyDescent="0.25">
      <c r="A2074" s="106">
        <v>43483</v>
      </c>
      <c r="B2074" s="108" t="s">
        <v>10458</v>
      </c>
      <c r="C2074" s="110" t="s">
        <v>5759</v>
      </c>
      <c r="D2074" s="111">
        <v>1.08</v>
      </c>
    </row>
    <row r="2075" spans="1:4" ht="25.5" x14ac:dyDescent="0.25">
      <c r="A2075" s="106">
        <v>43495</v>
      </c>
      <c r="B2075" s="108" t="s">
        <v>10459</v>
      </c>
      <c r="C2075" s="110" t="s">
        <v>5906</v>
      </c>
      <c r="D2075" s="111">
        <v>203.86</v>
      </c>
    </row>
    <row r="2076" spans="1:4" ht="25.5" x14ac:dyDescent="0.25">
      <c r="A2076" s="106">
        <v>43484</v>
      </c>
      <c r="B2076" s="108" t="s">
        <v>10460</v>
      </c>
      <c r="C2076" s="110" t="s">
        <v>5759</v>
      </c>
      <c r="D2076" s="111">
        <v>0.93</v>
      </c>
    </row>
    <row r="2077" spans="1:4" ht="25.5" x14ac:dyDescent="0.25">
      <c r="A2077" s="106">
        <v>43496</v>
      </c>
      <c r="B2077" s="108" t="s">
        <v>10461</v>
      </c>
      <c r="C2077" s="110" t="s">
        <v>5906</v>
      </c>
      <c r="D2077" s="111">
        <v>175.1</v>
      </c>
    </row>
    <row r="2078" spans="1:4" ht="25.5" x14ac:dyDescent="0.25">
      <c r="A2078" s="106">
        <v>43485</v>
      </c>
      <c r="B2078" s="108" t="s">
        <v>10462</v>
      </c>
      <c r="C2078" s="110" t="s">
        <v>5759</v>
      </c>
      <c r="D2078" s="111">
        <v>0.83</v>
      </c>
    </row>
    <row r="2079" spans="1:4" ht="25.5" x14ac:dyDescent="0.25">
      <c r="A2079" s="106">
        <v>43497</v>
      </c>
      <c r="B2079" s="108" t="s">
        <v>10463</v>
      </c>
      <c r="C2079" s="110" t="s">
        <v>5906</v>
      </c>
      <c r="D2079" s="111">
        <v>156.65</v>
      </c>
    </row>
    <row r="2080" spans="1:4" ht="25.5" x14ac:dyDescent="0.25">
      <c r="A2080" s="106">
        <v>43487</v>
      </c>
      <c r="B2080" s="108" t="s">
        <v>10464</v>
      </c>
      <c r="C2080" s="110" t="s">
        <v>5759</v>
      </c>
      <c r="D2080" s="111">
        <v>0.95</v>
      </c>
    </row>
    <row r="2081" spans="1:4" ht="25.5" x14ac:dyDescent="0.25">
      <c r="A2081" s="106">
        <v>43499</v>
      </c>
      <c r="B2081" s="108" t="s">
        <v>10675</v>
      </c>
      <c r="C2081" s="110" t="s">
        <v>5906</v>
      </c>
      <c r="D2081" s="111">
        <v>179.44</v>
      </c>
    </row>
    <row r="2082" spans="1:4" ht="25.5" x14ac:dyDescent="0.25">
      <c r="A2082" s="106">
        <v>43486</v>
      </c>
      <c r="B2082" s="108" t="s">
        <v>10465</v>
      </c>
      <c r="C2082" s="110" t="s">
        <v>5759</v>
      </c>
      <c r="D2082" s="111">
        <v>0.56999999999999995</v>
      </c>
    </row>
    <row r="2083" spans="1:4" ht="25.5" x14ac:dyDescent="0.25">
      <c r="A2083" s="106">
        <v>43498</v>
      </c>
      <c r="B2083" s="108" t="s">
        <v>10466</v>
      </c>
      <c r="C2083" s="110" t="s">
        <v>5906</v>
      </c>
      <c r="D2083" s="111">
        <v>108.24</v>
      </c>
    </row>
    <row r="2084" spans="1:4" ht="25.5" x14ac:dyDescent="0.25">
      <c r="A2084" s="106">
        <v>43488</v>
      </c>
      <c r="B2084" s="108" t="s">
        <v>10467</v>
      </c>
      <c r="C2084" s="110" t="s">
        <v>5759</v>
      </c>
      <c r="D2084" s="111">
        <v>0.66</v>
      </c>
    </row>
    <row r="2085" spans="1:4" ht="25.5" x14ac:dyDescent="0.25">
      <c r="A2085" s="106">
        <v>43500</v>
      </c>
      <c r="B2085" s="108" t="s">
        <v>10468</v>
      </c>
      <c r="C2085" s="110" t="s">
        <v>5906</v>
      </c>
      <c r="D2085" s="111">
        <v>125.38</v>
      </c>
    </row>
    <row r="2086" spans="1:4" ht="25.5" x14ac:dyDescent="0.25">
      <c r="A2086" s="106">
        <v>43489</v>
      </c>
      <c r="B2086" s="108" t="s">
        <v>10469</v>
      </c>
      <c r="C2086" s="110" t="s">
        <v>5759</v>
      </c>
      <c r="D2086" s="111">
        <v>0.96</v>
      </c>
    </row>
    <row r="2087" spans="1:4" ht="25.5" x14ac:dyDescent="0.25">
      <c r="A2087" s="106">
        <v>43501</v>
      </c>
      <c r="B2087" s="108" t="s">
        <v>10470</v>
      </c>
      <c r="C2087" s="110" t="s">
        <v>5906</v>
      </c>
      <c r="D2087" s="111">
        <v>181.88</v>
      </c>
    </row>
    <row r="2088" spans="1:4" ht="25.5" x14ac:dyDescent="0.25">
      <c r="A2088" s="106">
        <v>43490</v>
      </c>
      <c r="B2088" s="108" t="s">
        <v>10471</v>
      </c>
      <c r="C2088" s="110" t="s">
        <v>5759</v>
      </c>
      <c r="D2088" s="111">
        <v>1.46</v>
      </c>
    </row>
    <row r="2089" spans="1:4" ht="25.5" x14ac:dyDescent="0.25">
      <c r="A2089" s="106">
        <v>43502</v>
      </c>
      <c r="B2089" s="108" t="s">
        <v>10472</v>
      </c>
      <c r="C2089" s="110" t="s">
        <v>5906</v>
      </c>
      <c r="D2089" s="111">
        <v>275.92</v>
      </c>
    </row>
    <row r="2090" spans="1:4" ht="25.5" x14ac:dyDescent="0.25">
      <c r="A2090" s="106">
        <v>43491</v>
      </c>
      <c r="B2090" s="108" t="s">
        <v>10473</v>
      </c>
      <c r="C2090" s="110" t="s">
        <v>5759</v>
      </c>
      <c r="D2090" s="111">
        <v>1.02</v>
      </c>
    </row>
    <row r="2091" spans="1:4" ht="25.5" x14ac:dyDescent="0.25">
      <c r="A2091" s="106">
        <v>43503</v>
      </c>
      <c r="B2091" s="108" t="s">
        <v>10474</v>
      </c>
      <c r="C2091" s="110" t="s">
        <v>5906</v>
      </c>
      <c r="D2091" s="111">
        <v>192.76</v>
      </c>
    </row>
    <row r="2092" spans="1:4" ht="25.5" x14ac:dyDescent="0.25">
      <c r="A2092" s="106">
        <v>43492</v>
      </c>
      <c r="B2092" s="108" t="s">
        <v>10475</v>
      </c>
      <c r="C2092" s="110" t="s">
        <v>5759</v>
      </c>
      <c r="D2092" s="111">
        <v>1.36</v>
      </c>
    </row>
    <row r="2093" spans="1:4" ht="25.5" x14ac:dyDescent="0.25">
      <c r="A2093" s="106">
        <v>43504</v>
      </c>
      <c r="B2093" s="108" t="s">
        <v>10476</v>
      </c>
      <c r="C2093" s="110" t="s">
        <v>5906</v>
      </c>
      <c r="D2093" s="111">
        <v>255.78</v>
      </c>
    </row>
    <row r="2094" spans="1:4" ht="25.5" x14ac:dyDescent="0.25">
      <c r="A2094" s="106">
        <v>43493</v>
      </c>
      <c r="B2094" s="108" t="s">
        <v>10477</v>
      </c>
      <c r="C2094" s="110" t="s">
        <v>5759</v>
      </c>
      <c r="D2094" s="111">
        <v>0.54</v>
      </c>
    </row>
    <row r="2095" spans="1:4" ht="25.5" x14ac:dyDescent="0.25">
      <c r="A2095" s="106">
        <v>43505</v>
      </c>
      <c r="B2095" s="108" t="s">
        <v>10478</v>
      </c>
      <c r="C2095" s="110" t="s">
        <v>5906</v>
      </c>
      <c r="D2095" s="111">
        <v>102.76</v>
      </c>
    </row>
    <row r="2096" spans="1:4" ht="51" x14ac:dyDescent="0.25">
      <c r="A2096" s="106">
        <v>37774</v>
      </c>
      <c r="B2096" s="108" t="s">
        <v>7577</v>
      </c>
      <c r="C2096" s="110" t="s">
        <v>5755</v>
      </c>
      <c r="D2096" s="111">
        <v>188694.18</v>
      </c>
    </row>
    <row r="2097" spans="1:4" ht="51" x14ac:dyDescent="0.25">
      <c r="A2097" s="106">
        <v>38630</v>
      </c>
      <c r="B2097" s="108" t="s">
        <v>7578</v>
      </c>
      <c r="C2097" s="110" t="s">
        <v>5755</v>
      </c>
      <c r="D2097" s="111">
        <v>1079521.8700000001</v>
      </c>
    </row>
    <row r="2098" spans="1:4" ht="63.75" x14ac:dyDescent="0.25">
      <c r="A2098" s="106">
        <v>38629</v>
      </c>
      <c r="B2098" s="108" t="s">
        <v>7579</v>
      </c>
      <c r="C2098" s="110" t="s">
        <v>5755</v>
      </c>
      <c r="D2098" s="111">
        <v>1606921.87</v>
      </c>
    </row>
    <row r="2099" spans="1:4" x14ac:dyDescent="0.25">
      <c r="A2099" s="106">
        <v>38476</v>
      </c>
      <c r="B2099" s="108" t="s">
        <v>7580</v>
      </c>
      <c r="C2099" s="110" t="s">
        <v>5755</v>
      </c>
      <c r="D2099" s="111">
        <v>215.78</v>
      </c>
    </row>
    <row r="2100" spans="1:4" x14ac:dyDescent="0.25">
      <c r="A2100" s="106">
        <v>38477</v>
      </c>
      <c r="B2100" s="108" t="s">
        <v>7581</v>
      </c>
      <c r="C2100" s="110" t="s">
        <v>5755</v>
      </c>
      <c r="D2100" s="111">
        <v>611.11</v>
      </c>
    </row>
    <row r="2101" spans="1:4" ht="38.25" x14ac:dyDescent="0.25">
      <c r="A2101" s="106">
        <v>40635</v>
      </c>
      <c r="B2101" s="108" t="s">
        <v>7582</v>
      </c>
      <c r="C2101" s="110" t="s">
        <v>5755</v>
      </c>
      <c r="D2101" s="111">
        <v>527638.5</v>
      </c>
    </row>
    <row r="2102" spans="1:4" ht="25.5" x14ac:dyDescent="0.25">
      <c r="A2102" s="106">
        <v>36483</v>
      </c>
      <c r="B2102" s="108" t="s">
        <v>7583</v>
      </c>
      <c r="C2102" s="110" t="s">
        <v>5755</v>
      </c>
      <c r="D2102" s="111">
        <v>478125</v>
      </c>
    </row>
    <row r="2103" spans="1:4" ht="25.5" x14ac:dyDescent="0.25">
      <c r="A2103" s="106">
        <v>14525</v>
      </c>
      <c r="B2103" s="108" t="s">
        <v>7584</v>
      </c>
      <c r="C2103" s="110" t="s">
        <v>5755</v>
      </c>
      <c r="D2103" s="111">
        <v>500625</v>
      </c>
    </row>
    <row r="2104" spans="1:4" ht="25.5" x14ac:dyDescent="0.25">
      <c r="A2104" s="106">
        <v>36482</v>
      </c>
      <c r="B2104" s="108" t="s">
        <v>7585</v>
      </c>
      <c r="C2104" s="110" t="s">
        <v>5755</v>
      </c>
      <c r="D2104" s="111">
        <v>429355.66</v>
      </c>
    </row>
    <row r="2105" spans="1:4" ht="25.5" x14ac:dyDescent="0.25">
      <c r="A2105" s="106">
        <v>36408</v>
      </c>
      <c r="B2105" s="108" t="s">
        <v>7586</v>
      </c>
      <c r="C2105" s="110" t="s">
        <v>5755</v>
      </c>
      <c r="D2105" s="111">
        <v>513000</v>
      </c>
    </row>
    <row r="2106" spans="1:4" ht="25.5" x14ac:dyDescent="0.25">
      <c r="A2106" s="106">
        <v>2723</v>
      </c>
      <c r="B2106" s="108" t="s">
        <v>7587</v>
      </c>
      <c r="C2106" s="110" t="s">
        <v>5755</v>
      </c>
      <c r="D2106" s="111">
        <v>393750</v>
      </c>
    </row>
    <row r="2107" spans="1:4" ht="25.5" x14ac:dyDescent="0.25">
      <c r="A2107" s="106">
        <v>36481</v>
      </c>
      <c r="B2107" s="108" t="s">
        <v>7588</v>
      </c>
      <c r="C2107" s="110" t="s">
        <v>5755</v>
      </c>
      <c r="D2107" s="111">
        <v>469687.5</v>
      </c>
    </row>
    <row r="2108" spans="1:4" ht="25.5" x14ac:dyDescent="0.25">
      <c r="A2108" s="106">
        <v>10685</v>
      </c>
      <c r="B2108" s="108" t="s">
        <v>7589</v>
      </c>
      <c r="C2108" s="110" t="s">
        <v>5755</v>
      </c>
      <c r="D2108" s="111">
        <v>450000</v>
      </c>
    </row>
    <row r="2109" spans="1:4" ht="38.25" x14ac:dyDescent="0.25">
      <c r="A2109" s="106">
        <v>40636</v>
      </c>
      <c r="B2109" s="108" t="s">
        <v>7590</v>
      </c>
      <c r="C2109" s="110" t="s">
        <v>5755</v>
      </c>
      <c r="D2109" s="111">
        <v>507951</v>
      </c>
    </row>
    <row r="2110" spans="1:4" x14ac:dyDescent="0.25">
      <c r="A2110" s="106">
        <v>4111</v>
      </c>
      <c r="B2110" s="108" t="s">
        <v>7591</v>
      </c>
      <c r="C2110" s="110" t="s">
        <v>5755</v>
      </c>
      <c r="D2110" s="111">
        <v>34.65</v>
      </c>
    </row>
    <row r="2111" spans="1:4" ht="25.5" x14ac:dyDescent="0.25">
      <c r="A2111" s="106">
        <v>26021</v>
      </c>
      <c r="B2111" s="108" t="s">
        <v>7592</v>
      </c>
      <c r="C2111" s="110" t="s">
        <v>5755</v>
      </c>
      <c r="D2111" s="111">
        <v>67.08</v>
      </c>
    </row>
    <row r="2112" spans="1:4" x14ac:dyDescent="0.25">
      <c r="A2112" s="106">
        <v>12</v>
      </c>
      <c r="B2112" s="108" t="s">
        <v>7593</v>
      </c>
      <c r="C2112" s="110" t="s">
        <v>5755</v>
      </c>
      <c r="D2112" s="111">
        <v>10.99</v>
      </c>
    </row>
    <row r="2113" spans="1:4" ht="25.5" x14ac:dyDescent="0.25">
      <c r="A2113" s="106">
        <v>37554</v>
      </c>
      <c r="B2113" s="108" t="s">
        <v>7594</v>
      </c>
      <c r="C2113" s="110" t="s">
        <v>5755</v>
      </c>
      <c r="D2113" s="111">
        <v>152.97</v>
      </c>
    </row>
    <row r="2114" spans="1:4" ht="25.5" x14ac:dyDescent="0.25">
      <c r="A2114" s="106">
        <v>37555</v>
      </c>
      <c r="B2114" s="108" t="s">
        <v>7595</v>
      </c>
      <c r="C2114" s="110" t="s">
        <v>5755</v>
      </c>
      <c r="D2114" s="111">
        <v>186.08</v>
      </c>
    </row>
    <row r="2115" spans="1:4" ht="25.5" x14ac:dyDescent="0.25">
      <c r="A2115" s="106">
        <v>10902</v>
      </c>
      <c r="B2115" s="108" t="s">
        <v>629</v>
      </c>
      <c r="C2115" s="110" t="s">
        <v>5755</v>
      </c>
      <c r="D2115" s="111">
        <v>46.69</v>
      </c>
    </row>
    <row r="2116" spans="1:4" ht="25.5" x14ac:dyDescent="0.25">
      <c r="A2116" s="106">
        <v>20965</v>
      </c>
      <c r="B2116" s="108" t="s">
        <v>7596</v>
      </c>
      <c r="C2116" s="110" t="s">
        <v>5755</v>
      </c>
      <c r="D2116" s="111">
        <v>47.12</v>
      </c>
    </row>
    <row r="2117" spans="1:4" ht="25.5" x14ac:dyDescent="0.25">
      <c r="A2117" s="106">
        <v>20966</v>
      </c>
      <c r="B2117" s="108" t="s">
        <v>7597</v>
      </c>
      <c r="C2117" s="110" t="s">
        <v>5755</v>
      </c>
      <c r="D2117" s="111">
        <v>50.74</v>
      </c>
    </row>
    <row r="2118" spans="1:4" ht="25.5" x14ac:dyDescent="0.25">
      <c r="A2118" s="106">
        <v>10903</v>
      </c>
      <c r="B2118" s="108" t="s">
        <v>7598</v>
      </c>
      <c r="C2118" s="110" t="s">
        <v>5755</v>
      </c>
      <c r="D2118" s="111">
        <v>76.91</v>
      </c>
    </row>
    <row r="2119" spans="1:4" ht="25.5" x14ac:dyDescent="0.25">
      <c r="A2119" s="106">
        <v>20967</v>
      </c>
      <c r="B2119" s="108" t="s">
        <v>7599</v>
      </c>
      <c r="C2119" s="110" t="s">
        <v>5755</v>
      </c>
      <c r="D2119" s="111">
        <v>76.91</v>
      </c>
    </row>
    <row r="2120" spans="1:4" ht="25.5" x14ac:dyDescent="0.25">
      <c r="A2120" s="106">
        <v>20968</v>
      </c>
      <c r="B2120" s="108" t="s">
        <v>7600</v>
      </c>
      <c r="C2120" s="110" t="s">
        <v>5755</v>
      </c>
      <c r="D2120" s="111">
        <v>84.35</v>
      </c>
    </row>
    <row r="2121" spans="1:4" ht="25.5" x14ac:dyDescent="0.25">
      <c r="A2121" s="106">
        <v>11359</v>
      </c>
      <c r="B2121" s="108" t="s">
        <v>7601</v>
      </c>
      <c r="C2121" s="110" t="s">
        <v>5755</v>
      </c>
      <c r="D2121" s="111">
        <v>829.4</v>
      </c>
    </row>
    <row r="2122" spans="1:4" ht="25.5" x14ac:dyDescent="0.25">
      <c r="A2122" s="106">
        <v>39017</v>
      </c>
      <c r="B2122" s="108" t="s">
        <v>663</v>
      </c>
      <c r="C2122" s="110" t="s">
        <v>5755</v>
      </c>
      <c r="D2122" s="111">
        <v>0.13</v>
      </c>
    </row>
    <row r="2123" spans="1:4" ht="25.5" x14ac:dyDescent="0.25">
      <c r="A2123" s="106">
        <v>39315</v>
      </c>
      <c r="B2123" s="108" t="s">
        <v>7602</v>
      </c>
      <c r="C2123" s="110" t="s">
        <v>5755</v>
      </c>
      <c r="D2123" s="111">
        <v>0.22</v>
      </c>
    </row>
    <row r="2124" spans="1:4" ht="25.5" x14ac:dyDescent="0.25">
      <c r="A2124" s="106">
        <v>39016</v>
      </c>
      <c r="B2124" s="108" t="s">
        <v>7603</v>
      </c>
      <c r="C2124" s="110" t="s">
        <v>5755</v>
      </c>
      <c r="D2124" s="111">
        <v>0.22</v>
      </c>
    </row>
    <row r="2125" spans="1:4" ht="25.5" x14ac:dyDescent="0.25">
      <c r="A2125" s="106">
        <v>40432</v>
      </c>
      <c r="B2125" s="108" t="s">
        <v>7604</v>
      </c>
      <c r="C2125" s="110" t="s">
        <v>5755</v>
      </c>
      <c r="D2125" s="111">
        <v>1.71</v>
      </c>
    </row>
    <row r="2126" spans="1:4" ht="38.25" x14ac:dyDescent="0.25">
      <c r="A2126" s="106">
        <v>39481</v>
      </c>
      <c r="B2126" s="108" t="s">
        <v>7605</v>
      </c>
      <c r="C2126" s="110" t="s">
        <v>5755</v>
      </c>
      <c r="D2126" s="111">
        <v>1.07</v>
      </c>
    </row>
    <row r="2127" spans="1:4" ht="25.5" x14ac:dyDescent="0.25">
      <c r="A2127" s="106">
        <v>40433</v>
      </c>
      <c r="B2127" s="108" t="s">
        <v>7606</v>
      </c>
      <c r="C2127" s="110" t="s">
        <v>5755</v>
      </c>
      <c r="D2127" s="111">
        <v>0.95</v>
      </c>
    </row>
    <row r="2128" spans="1:4" ht="25.5" x14ac:dyDescent="0.25">
      <c r="A2128" s="106">
        <v>20219</v>
      </c>
      <c r="B2128" s="108" t="s">
        <v>7607</v>
      </c>
      <c r="C2128" s="110" t="s">
        <v>5755</v>
      </c>
      <c r="D2128" s="111">
        <v>74000</v>
      </c>
    </row>
    <row r="2129" spans="1:4" ht="38.25" x14ac:dyDescent="0.25">
      <c r="A2129" s="106">
        <v>36484</v>
      </c>
      <c r="B2129" s="108" t="s">
        <v>7608</v>
      </c>
      <c r="C2129" s="110" t="s">
        <v>5755</v>
      </c>
      <c r="D2129" s="111">
        <v>157088.51999999999</v>
      </c>
    </row>
    <row r="2130" spans="1:4" x14ac:dyDescent="0.25">
      <c r="A2130" s="106">
        <v>38367</v>
      </c>
      <c r="B2130" s="108" t="s">
        <v>7609</v>
      </c>
      <c r="C2130" s="110" t="s">
        <v>5755</v>
      </c>
      <c r="D2130" s="111">
        <v>11.59</v>
      </c>
    </row>
    <row r="2131" spans="1:4" x14ac:dyDescent="0.25">
      <c r="A2131" s="106">
        <v>38368</v>
      </c>
      <c r="B2131" s="108" t="s">
        <v>7610</v>
      </c>
      <c r="C2131" s="110" t="s">
        <v>5755</v>
      </c>
      <c r="D2131" s="111">
        <v>7.16</v>
      </c>
    </row>
    <row r="2132" spans="1:4" ht="25.5" x14ac:dyDescent="0.25">
      <c r="A2132" s="106">
        <v>38091</v>
      </c>
      <c r="B2132" s="108" t="s">
        <v>7611</v>
      </c>
      <c r="C2132" s="110" t="s">
        <v>5755</v>
      </c>
      <c r="D2132" s="111">
        <v>1.45</v>
      </c>
    </row>
    <row r="2133" spans="1:4" ht="25.5" x14ac:dyDescent="0.25">
      <c r="A2133" s="106">
        <v>38095</v>
      </c>
      <c r="B2133" s="108" t="s">
        <v>7612</v>
      </c>
      <c r="C2133" s="110" t="s">
        <v>5755</v>
      </c>
      <c r="D2133" s="111">
        <v>3.07</v>
      </c>
    </row>
    <row r="2134" spans="1:4" ht="25.5" x14ac:dyDescent="0.25">
      <c r="A2134" s="106">
        <v>38092</v>
      </c>
      <c r="B2134" s="108" t="s">
        <v>7613</v>
      </c>
      <c r="C2134" s="110" t="s">
        <v>5755</v>
      </c>
      <c r="D2134" s="111">
        <v>1.37</v>
      </c>
    </row>
    <row r="2135" spans="1:4" ht="25.5" x14ac:dyDescent="0.25">
      <c r="A2135" s="106">
        <v>38093</v>
      </c>
      <c r="B2135" s="108" t="s">
        <v>7614</v>
      </c>
      <c r="C2135" s="110" t="s">
        <v>5755</v>
      </c>
      <c r="D2135" s="111">
        <v>1.42</v>
      </c>
    </row>
    <row r="2136" spans="1:4" ht="25.5" x14ac:dyDescent="0.25">
      <c r="A2136" s="106">
        <v>38096</v>
      </c>
      <c r="B2136" s="108" t="s">
        <v>7615</v>
      </c>
      <c r="C2136" s="110" t="s">
        <v>5755</v>
      </c>
      <c r="D2136" s="111">
        <v>3.3</v>
      </c>
    </row>
    <row r="2137" spans="1:4" ht="25.5" x14ac:dyDescent="0.25">
      <c r="A2137" s="106">
        <v>38094</v>
      </c>
      <c r="B2137" s="108" t="s">
        <v>7616</v>
      </c>
      <c r="C2137" s="110" t="s">
        <v>5755</v>
      </c>
      <c r="D2137" s="111">
        <v>1.74</v>
      </c>
    </row>
    <row r="2138" spans="1:4" ht="25.5" x14ac:dyDescent="0.25">
      <c r="A2138" s="106">
        <v>38097</v>
      </c>
      <c r="B2138" s="108" t="s">
        <v>7617</v>
      </c>
      <c r="C2138" s="110" t="s">
        <v>5755</v>
      </c>
      <c r="D2138" s="111">
        <v>3.54</v>
      </c>
    </row>
    <row r="2139" spans="1:4" ht="25.5" x14ac:dyDescent="0.25">
      <c r="A2139" s="106">
        <v>38098</v>
      </c>
      <c r="B2139" s="108" t="s">
        <v>7618</v>
      </c>
      <c r="C2139" s="110" t="s">
        <v>5755</v>
      </c>
      <c r="D2139" s="111">
        <v>3.54</v>
      </c>
    </row>
    <row r="2140" spans="1:4" x14ac:dyDescent="0.25">
      <c r="A2140" s="106">
        <v>11186</v>
      </c>
      <c r="B2140" s="108" t="s">
        <v>7619</v>
      </c>
      <c r="C2140" s="110" t="s">
        <v>5757</v>
      </c>
      <c r="D2140" s="111">
        <v>318.58</v>
      </c>
    </row>
    <row r="2141" spans="1:4" ht="25.5" x14ac:dyDescent="0.25">
      <c r="A2141" s="106">
        <v>11558</v>
      </c>
      <c r="B2141" s="108" t="s">
        <v>7620</v>
      </c>
      <c r="C2141" s="110" t="s">
        <v>6130</v>
      </c>
      <c r="D2141" s="111">
        <v>11.88</v>
      </c>
    </row>
    <row r="2142" spans="1:4" ht="38.25" x14ac:dyDescent="0.25">
      <c r="A2142" s="106">
        <v>11557</v>
      </c>
      <c r="B2142" s="108" t="s">
        <v>7621</v>
      </c>
      <c r="C2142" s="110" t="s">
        <v>6130</v>
      </c>
      <c r="D2142" s="111">
        <v>30.09</v>
      </c>
    </row>
    <row r="2143" spans="1:4" x14ac:dyDescent="0.25">
      <c r="A2143" s="106">
        <v>2759</v>
      </c>
      <c r="B2143" s="108" t="s">
        <v>7622</v>
      </c>
      <c r="C2143" s="110" t="s">
        <v>5755</v>
      </c>
      <c r="D2143" s="111">
        <v>5.8</v>
      </c>
    </row>
    <row r="2144" spans="1:4" x14ac:dyDescent="0.25">
      <c r="A2144" s="106">
        <v>38124</v>
      </c>
      <c r="B2144" s="108" t="s">
        <v>7623</v>
      </c>
      <c r="C2144" s="110" t="s">
        <v>5755</v>
      </c>
      <c r="D2144" s="111">
        <v>29.42</v>
      </c>
    </row>
    <row r="2145" spans="1:4" x14ac:dyDescent="0.25">
      <c r="A2145" s="106">
        <v>38380</v>
      </c>
      <c r="B2145" s="108" t="s">
        <v>7624</v>
      </c>
      <c r="C2145" s="110" t="s">
        <v>5755</v>
      </c>
      <c r="D2145" s="111">
        <v>18.420000000000002</v>
      </c>
    </row>
    <row r="2146" spans="1:4" ht="25.5" x14ac:dyDescent="0.25">
      <c r="A2146" s="106">
        <v>20059</v>
      </c>
      <c r="B2146" s="108" t="s">
        <v>7625</v>
      </c>
      <c r="C2146" s="110" t="s">
        <v>5755</v>
      </c>
      <c r="D2146" s="111">
        <v>13.05</v>
      </c>
    </row>
    <row r="2147" spans="1:4" ht="38.25" x14ac:dyDescent="0.25">
      <c r="A2147" s="106">
        <v>42429</v>
      </c>
      <c r="B2147" s="108" t="s">
        <v>7626</v>
      </c>
      <c r="C2147" s="110" t="s">
        <v>5755</v>
      </c>
      <c r="D2147" s="111">
        <v>3422.44</v>
      </c>
    </row>
    <row r="2148" spans="1:4" x14ac:dyDescent="0.25">
      <c r="A2148" s="106">
        <v>39616</v>
      </c>
      <c r="B2148" s="108" t="s">
        <v>10676</v>
      </c>
      <c r="C2148" s="110" t="s">
        <v>5755</v>
      </c>
      <c r="D2148" s="111">
        <v>365.2</v>
      </c>
    </row>
    <row r="2149" spans="1:4" x14ac:dyDescent="0.25">
      <c r="A2149" s="106">
        <v>39618</v>
      </c>
      <c r="B2149" s="108" t="s">
        <v>10677</v>
      </c>
      <c r="C2149" s="110" t="s">
        <v>5755</v>
      </c>
      <c r="D2149" s="111">
        <v>662.41</v>
      </c>
    </row>
    <row r="2150" spans="1:4" x14ac:dyDescent="0.25">
      <c r="A2150" s="106">
        <v>39619</v>
      </c>
      <c r="B2150" s="108" t="s">
        <v>10678</v>
      </c>
      <c r="C2150" s="110" t="s">
        <v>5755</v>
      </c>
      <c r="D2150" s="111">
        <v>907.23</v>
      </c>
    </row>
    <row r="2151" spans="1:4" x14ac:dyDescent="0.25">
      <c r="A2151" s="106">
        <v>39613</v>
      </c>
      <c r="B2151" s="108" t="s">
        <v>10679</v>
      </c>
      <c r="C2151" s="110" t="s">
        <v>5755</v>
      </c>
      <c r="D2151" s="111">
        <v>145.06</v>
      </c>
    </row>
    <row r="2152" spans="1:4" x14ac:dyDescent="0.25">
      <c r="A2152" s="106">
        <v>39614</v>
      </c>
      <c r="B2152" s="108" t="s">
        <v>10680</v>
      </c>
      <c r="C2152" s="110" t="s">
        <v>5755</v>
      </c>
      <c r="D2152" s="111">
        <v>211.64</v>
      </c>
    </row>
    <row r="2153" spans="1:4" ht="38.25" x14ac:dyDescent="0.25">
      <c r="A2153" s="106">
        <v>38538</v>
      </c>
      <c r="B2153" s="108" t="s">
        <v>7627</v>
      </c>
      <c r="C2153" s="110" t="s">
        <v>5767</v>
      </c>
      <c r="D2153" s="111">
        <v>46</v>
      </c>
    </row>
    <row r="2154" spans="1:4" ht="38.25" x14ac:dyDescent="0.25">
      <c r="A2154" s="106">
        <v>38539</v>
      </c>
      <c r="B2154" s="108" t="s">
        <v>7628</v>
      </c>
      <c r="C2154" s="110" t="s">
        <v>5767</v>
      </c>
      <c r="D2154" s="111">
        <v>62.55</v>
      </c>
    </row>
    <row r="2155" spans="1:4" ht="38.25" x14ac:dyDescent="0.25">
      <c r="A2155" s="106">
        <v>38540</v>
      </c>
      <c r="B2155" s="108" t="s">
        <v>7629</v>
      </c>
      <c r="C2155" s="110" t="s">
        <v>5767</v>
      </c>
      <c r="D2155" s="111">
        <v>160.31</v>
      </c>
    </row>
    <row r="2156" spans="1:4" x14ac:dyDescent="0.25">
      <c r="A2156" s="106">
        <v>38384</v>
      </c>
      <c r="B2156" s="108" t="s">
        <v>7630</v>
      </c>
      <c r="C2156" s="110" t="s">
        <v>5755</v>
      </c>
      <c r="D2156" s="111">
        <v>18.57</v>
      </c>
    </row>
    <row r="2157" spans="1:4" x14ac:dyDescent="0.25">
      <c r="A2157" s="106">
        <v>13</v>
      </c>
      <c r="B2157" s="108" t="s">
        <v>600</v>
      </c>
      <c r="C2157" s="110" t="s">
        <v>5816</v>
      </c>
      <c r="D2157" s="111">
        <v>16.920000000000002</v>
      </c>
    </row>
    <row r="2158" spans="1:4" x14ac:dyDescent="0.25">
      <c r="A2158" s="106">
        <v>2762</v>
      </c>
      <c r="B2158" s="108" t="s">
        <v>7631</v>
      </c>
      <c r="C2158" s="110" t="s">
        <v>5767</v>
      </c>
      <c r="D2158" s="111">
        <v>7.25</v>
      </c>
    </row>
    <row r="2159" spans="1:4" ht="25.5" x14ac:dyDescent="0.25">
      <c r="A2159" s="106">
        <v>21142</v>
      </c>
      <c r="B2159" s="108" t="s">
        <v>7632</v>
      </c>
      <c r="C2159" s="110" t="s">
        <v>5755</v>
      </c>
      <c r="D2159" s="111">
        <v>18.62</v>
      </c>
    </row>
    <row r="2160" spans="1:4" x14ac:dyDescent="0.25">
      <c r="A2160" s="106">
        <v>12865</v>
      </c>
      <c r="B2160" s="108" t="s">
        <v>7633</v>
      </c>
      <c r="C2160" s="110" t="s">
        <v>5759</v>
      </c>
      <c r="D2160" s="111">
        <v>13.41</v>
      </c>
    </row>
    <row r="2161" spans="1:4" x14ac:dyDescent="0.25">
      <c r="A2161" s="106">
        <v>41074</v>
      </c>
      <c r="B2161" s="108" t="s">
        <v>7634</v>
      </c>
      <c r="C2161" s="110" t="s">
        <v>5906</v>
      </c>
      <c r="D2161" s="111">
        <v>2377.9699999999998</v>
      </c>
    </row>
    <row r="2162" spans="1:4" x14ac:dyDescent="0.25">
      <c r="A2162" s="106">
        <v>4223</v>
      </c>
      <c r="B2162" s="108" t="s">
        <v>7635</v>
      </c>
      <c r="C2162" s="110" t="s">
        <v>5818</v>
      </c>
      <c r="D2162" s="111">
        <v>2.4</v>
      </c>
    </row>
    <row r="2163" spans="1:4" x14ac:dyDescent="0.25">
      <c r="A2163" s="106">
        <v>37372</v>
      </c>
      <c r="B2163" s="108" t="s">
        <v>7636</v>
      </c>
      <c r="C2163" s="110" t="s">
        <v>5759</v>
      </c>
      <c r="D2163" s="111">
        <v>0.35</v>
      </c>
    </row>
    <row r="2164" spans="1:4" x14ac:dyDescent="0.25">
      <c r="A2164" s="106">
        <v>40863</v>
      </c>
      <c r="B2164" s="108" t="s">
        <v>7637</v>
      </c>
      <c r="C2164" s="110" t="s">
        <v>5906</v>
      </c>
      <c r="D2164" s="111">
        <v>65.94</v>
      </c>
    </row>
    <row r="2165" spans="1:4" x14ac:dyDescent="0.25">
      <c r="A2165" s="106">
        <v>38475</v>
      </c>
      <c r="B2165" s="108" t="s">
        <v>7638</v>
      </c>
      <c r="C2165" s="110" t="s">
        <v>5755</v>
      </c>
      <c r="D2165" s="111">
        <v>31.92</v>
      </c>
    </row>
    <row r="2166" spans="1:4" x14ac:dyDescent="0.25">
      <c r="A2166" s="106">
        <v>38474</v>
      </c>
      <c r="B2166" s="108" t="s">
        <v>7639</v>
      </c>
      <c r="C2166" s="110" t="s">
        <v>5755</v>
      </c>
      <c r="D2166" s="111">
        <v>39.46</v>
      </c>
    </row>
    <row r="2167" spans="1:4" ht="25.5" x14ac:dyDescent="0.25">
      <c r="A2167" s="106">
        <v>10886</v>
      </c>
      <c r="B2167" s="108" t="s">
        <v>7640</v>
      </c>
      <c r="C2167" s="110" t="s">
        <v>5755</v>
      </c>
      <c r="D2167" s="111">
        <v>139.12</v>
      </c>
    </row>
    <row r="2168" spans="1:4" ht="25.5" x14ac:dyDescent="0.25">
      <c r="A2168" s="106">
        <v>10888</v>
      </c>
      <c r="B2168" s="108" t="s">
        <v>7641</v>
      </c>
      <c r="C2168" s="110" t="s">
        <v>5755</v>
      </c>
      <c r="D2168" s="111">
        <v>440.3</v>
      </c>
    </row>
    <row r="2169" spans="1:4" ht="25.5" x14ac:dyDescent="0.25">
      <c r="A2169" s="106">
        <v>10889</v>
      </c>
      <c r="B2169" s="108" t="s">
        <v>7642</v>
      </c>
      <c r="C2169" s="110" t="s">
        <v>5755</v>
      </c>
      <c r="D2169" s="111">
        <v>477</v>
      </c>
    </row>
    <row r="2170" spans="1:4" ht="25.5" x14ac:dyDescent="0.25">
      <c r="A2170" s="106">
        <v>10890</v>
      </c>
      <c r="B2170" s="108" t="s">
        <v>7643</v>
      </c>
      <c r="C2170" s="110" t="s">
        <v>5755</v>
      </c>
      <c r="D2170" s="111">
        <v>220.15</v>
      </c>
    </row>
    <row r="2171" spans="1:4" ht="25.5" x14ac:dyDescent="0.25">
      <c r="A2171" s="106">
        <v>10891</v>
      </c>
      <c r="B2171" s="108" t="s">
        <v>7644</v>
      </c>
      <c r="C2171" s="110" t="s">
        <v>5755</v>
      </c>
      <c r="D2171" s="111">
        <v>134.53</v>
      </c>
    </row>
    <row r="2172" spans="1:4" ht="25.5" x14ac:dyDescent="0.25">
      <c r="A2172" s="106">
        <v>10892</v>
      </c>
      <c r="B2172" s="108" t="s">
        <v>7645</v>
      </c>
      <c r="C2172" s="110" t="s">
        <v>5755</v>
      </c>
      <c r="D2172" s="111">
        <v>159</v>
      </c>
    </row>
    <row r="2173" spans="1:4" ht="25.5" x14ac:dyDescent="0.25">
      <c r="A2173" s="106">
        <v>20977</v>
      </c>
      <c r="B2173" s="108" t="s">
        <v>7646</v>
      </c>
      <c r="C2173" s="110" t="s">
        <v>5755</v>
      </c>
      <c r="D2173" s="111">
        <v>189.57</v>
      </c>
    </row>
    <row r="2174" spans="1:4" x14ac:dyDescent="0.25">
      <c r="A2174" s="106">
        <v>3073</v>
      </c>
      <c r="B2174" s="108" t="s">
        <v>7647</v>
      </c>
      <c r="C2174" s="110" t="s">
        <v>5755</v>
      </c>
      <c r="D2174" s="111">
        <v>150.31</v>
      </c>
    </row>
    <row r="2175" spans="1:4" x14ac:dyDescent="0.25">
      <c r="A2175" s="106">
        <v>3068</v>
      </c>
      <c r="B2175" s="108" t="s">
        <v>7648</v>
      </c>
      <c r="C2175" s="110" t="s">
        <v>5755</v>
      </c>
      <c r="D2175" s="111">
        <v>30.05</v>
      </c>
    </row>
    <row r="2176" spans="1:4" x14ac:dyDescent="0.25">
      <c r="A2176" s="106">
        <v>3074</v>
      </c>
      <c r="B2176" s="108" t="s">
        <v>7649</v>
      </c>
      <c r="C2176" s="110" t="s">
        <v>5755</v>
      </c>
      <c r="D2176" s="111">
        <v>94.89</v>
      </c>
    </row>
    <row r="2177" spans="1:4" x14ac:dyDescent="0.25">
      <c r="A2177" s="106">
        <v>3076</v>
      </c>
      <c r="B2177" s="108" t="s">
        <v>7650</v>
      </c>
      <c r="C2177" s="110" t="s">
        <v>5755</v>
      </c>
      <c r="D2177" s="111">
        <v>123.57</v>
      </c>
    </row>
    <row r="2178" spans="1:4" x14ac:dyDescent="0.25">
      <c r="A2178" s="106">
        <v>3072</v>
      </c>
      <c r="B2178" s="108" t="s">
        <v>7651</v>
      </c>
      <c r="C2178" s="110" t="s">
        <v>5755</v>
      </c>
      <c r="D2178" s="111">
        <v>31.13</v>
      </c>
    </row>
    <row r="2179" spans="1:4" x14ac:dyDescent="0.25">
      <c r="A2179" s="106">
        <v>3075</v>
      </c>
      <c r="B2179" s="108" t="s">
        <v>7652</v>
      </c>
      <c r="C2179" s="110" t="s">
        <v>5755</v>
      </c>
      <c r="D2179" s="111">
        <v>78.09</v>
      </c>
    </row>
    <row r="2180" spans="1:4" ht="25.5" x14ac:dyDescent="0.25">
      <c r="A2180" s="106">
        <v>10780</v>
      </c>
      <c r="B2180" s="108" t="s">
        <v>7653</v>
      </c>
      <c r="C2180" s="110" t="s">
        <v>5755</v>
      </c>
      <c r="D2180" s="111">
        <v>6.6</v>
      </c>
    </row>
    <row r="2181" spans="1:4" ht="25.5" x14ac:dyDescent="0.25">
      <c r="A2181" s="106">
        <v>10781</v>
      </c>
      <c r="B2181" s="108" t="s">
        <v>7654</v>
      </c>
      <c r="C2181" s="110" t="s">
        <v>5755</v>
      </c>
      <c r="D2181" s="111">
        <v>10.59</v>
      </c>
    </row>
    <row r="2182" spans="1:4" ht="25.5" x14ac:dyDescent="0.25">
      <c r="A2182" s="106">
        <v>20106</v>
      </c>
      <c r="B2182" s="108" t="s">
        <v>7655</v>
      </c>
      <c r="C2182" s="110" t="s">
        <v>5755</v>
      </c>
      <c r="D2182" s="111">
        <v>3.49</v>
      </c>
    </row>
    <row r="2183" spans="1:4" ht="25.5" x14ac:dyDescent="0.25">
      <c r="A2183" s="106">
        <v>20107</v>
      </c>
      <c r="B2183" s="108" t="s">
        <v>7656</v>
      </c>
      <c r="C2183" s="110" t="s">
        <v>5755</v>
      </c>
      <c r="D2183" s="111">
        <v>3.99</v>
      </c>
    </row>
    <row r="2184" spans="1:4" ht="25.5" x14ac:dyDescent="0.25">
      <c r="A2184" s="106">
        <v>20108</v>
      </c>
      <c r="B2184" s="108" t="s">
        <v>7657</v>
      </c>
      <c r="C2184" s="110" t="s">
        <v>5755</v>
      </c>
      <c r="D2184" s="111">
        <v>5.28</v>
      </c>
    </row>
    <row r="2185" spans="1:4" ht="25.5" x14ac:dyDescent="0.25">
      <c r="A2185" s="106">
        <v>20109</v>
      </c>
      <c r="B2185" s="108" t="s">
        <v>7658</v>
      </c>
      <c r="C2185" s="110" t="s">
        <v>5755</v>
      </c>
      <c r="D2185" s="111">
        <v>6.6</v>
      </c>
    </row>
    <row r="2186" spans="1:4" x14ac:dyDescent="0.25">
      <c r="A2186" s="106">
        <v>34795</v>
      </c>
      <c r="B2186" s="108" t="s">
        <v>7659</v>
      </c>
      <c r="C2186" s="110" t="s">
        <v>5757</v>
      </c>
      <c r="D2186" s="111">
        <v>237.17</v>
      </c>
    </row>
    <row r="2187" spans="1:4" ht="25.5" x14ac:dyDescent="0.25">
      <c r="A2187" s="106">
        <v>34796</v>
      </c>
      <c r="B2187" s="108" t="s">
        <v>7660</v>
      </c>
      <c r="C2187" s="110" t="s">
        <v>5767</v>
      </c>
      <c r="D2187" s="111">
        <v>10.41</v>
      </c>
    </row>
    <row r="2188" spans="1:4" ht="38.25" x14ac:dyDescent="0.25">
      <c r="A2188" s="106">
        <v>11480</v>
      </c>
      <c r="B2188" s="108" t="s">
        <v>7661</v>
      </c>
      <c r="C2188" s="110" t="s">
        <v>7020</v>
      </c>
      <c r="D2188" s="111">
        <v>50.9</v>
      </c>
    </row>
    <row r="2189" spans="1:4" ht="25.5" x14ac:dyDescent="0.25">
      <c r="A2189" s="106">
        <v>3103</v>
      </c>
      <c r="B2189" s="108" t="s">
        <v>7662</v>
      </c>
      <c r="C2189" s="110" t="s">
        <v>5755</v>
      </c>
      <c r="D2189" s="111">
        <v>53.13</v>
      </c>
    </row>
    <row r="2190" spans="1:4" ht="38.25" x14ac:dyDescent="0.25">
      <c r="A2190" s="106">
        <v>11481</v>
      </c>
      <c r="B2190" s="108" t="s">
        <v>7663</v>
      </c>
      <c r="C2190" s="110" t="s">
        <v>5755</v>
      </c>
      <c r="D2190" s="111">
        <v>16.03</v>
      </c>
    </row>
    <row r="2191" spans="1:4" ht="38.25" x14ac:dyDescent="0.25">
      <c r="A2191" s="106">
        <v>3097</v>
      </c>
      <c r="B2191" s="108" t="s">
        <v>7664</v>
      </c>
      <c r="C2191" s="110" t="s">
        <v>7020</v>
      </c>
      <c r="D2191" s="111">
        <v>32.92</v>
      </c>
    </row>
    <row r="2192" spans="1:4" ht="38.25" x14ac:dyDescent="0.25">
      <c r="A2192" s="106">
        <v>38153</v>
      </c>
      <c r="B2192" s="108" t="s">
        <v>7665</v>
      </c>
      <c r="C2192" s="110" t="s">
        <v>7020</v>
      </c>
      <c r="D2192" s="111">
        <v>30.19</v>
      </c>
    </row>
    <row r="2193" spans="1:4" ht="38.25" x14ac:dyDescent="0.25">
      <c r="A2193" s="106">
        <v>3099</v>
      </c>
      <c r="B2193" s="108" t="s">
        <v>7666</v>
      </c>
      <c r="C2193" s="110" t="s">
        <v>7020</v>
      </c>
      <c r="D2193" s="111">
        <v>52.66</v>
      </c>
    </row>
    <row r="2194" spans="1:4" ht="38.25" x14ac:dyDescent="0.25">
      <c r="A2194" s="106">
        <v>3080</v>
      </c>
      <c r="B2194" s="108" t="s">
        <v>7667</v>
      </c>
      <c r="C2194" s="110" t="s">
        <v>7020</v>
      </c>
      <c r="D2194" s="111">
        <v>44</v>
      </c>
    </row>
    <row r="2195" spans="1:4" ht="38.25" x14ac:dyDescent="0.25">
      <c r="A2195" s="106">
        <v>3081</v>
      </c>
      <c r="B2195" s="108" t="s">
        <v>7668</v>
      </c>
      <c r="C2195" s="110" t="s">
        <v>7020</v>
      </c>
      <c r="D2195" s="111">
        <v>66.59</v>
      </c>
    </row>
    <row r="2196" spans="1:4" ht="38.25" x14ac:dyDescent="0.25">
      <c r="A2196" s="106">
        <v>38151</v>
      </c>
      <c r="B2196" s="108" t="s">
        <v>7669</v>
      </c>
      <c r="C2196" s="110" t="s">
        <v>7020</v>
      </c>
      <c r="D2196" s="111">
        <v>41.69</v>
      </c>
    </row>
    <row r="2197" spans="1:4" ht="38.25" x14ac:dyDescent="0.25">
      <c r="A2197" s="106">
        <v>11479</v>
      </c>
      <c r="B2197" s="108" t="s">
        <v>7670</v>
      </c>
      <c r="C2197" s="110" t="s">
        <v>5755</v>
      </c>
      <c r="D2197" s="111">
        <v>24.24</v>
      </c>
    </row>
    <row r="2198" spans="1:4" ht="38.25" x14ac:dyDescent="0.25">
      <c r="A2198" s="106">
        <v>38152</v>
      </c>
      <c r="B2198" s="108" t="s">
        <v>7671</v>
      </c>
      <c r="C2198" s="110" t="s">
        <v>7020</v>
      </c>
      <c r="D2198" s="111">
        <v>60.33</v>
      </c>
    </row>
    <row r="2199" spans="1:4" ht="38.25" x14ac:dyDescent="0.25">
      <c r="A2199" s="106">
        <v>11478</v>
      </c>
      <c r="B2199" s="108" t="s">
        <v>7672</v>
      </c>
      <c r="C2199" s="110" t="s">
        <v>5755</v>
      </c>
      <c r="D2199" s="111">
        <v>42.52</v>
      </c>
    </row>
    <row r="2200" spans="1:4" ht="38.25" x14ac:dyDescent="0.25">
      <c r="A2200" s="106">
        <v>3090</v>
      </c>
      <c r="B2200" s="108" t="s">
        <v>7673</v>
      </c>
      <c r="C2200" s="110" t="s">
        <v>7020</v>
      </c>
      <c r="D2200" s="111">
        <v>35.58</v>
      </c>
    </row>
    <row r="2201" spans="1:4" ht="51" x14ac:dyDescent="0.25">
      <c r="A2201" s="106">
        <v>3093</v>
      </c>
      <c r="B2201" s="108" t="s">
        <v>7674</v>
      </c>
      <c r="C2201" s="110" t="s">
        <v>7020</v>
      </c>
      <c r="D2201" s="111">
        <v>59.12</v>
      </c>
    </row>
    <row r="2202" spans="1:4" ht="38.25" x14ac:dyDescent="0.25">
      <c r="A2202" s="106">
        <v>11476</v>
      </c>
      <c r="B2202" s="108" t="s">
        <v>7675</v>
      </c>
      <c r="C2202" s="110" t="s">
        <v>5755</v>
      </c>
      <c r="D2202" s="111">
        <v>25.48</v>
      </c>
    </row>
    <row r="2203" spans="1:4" ht="38.25" x14ac:dyDescent="0.25">
      <c r="A2203" s="106">
        <v>11484</v>
      </c>
      <c r="B2203" s="108" t="s">
        <v>7676</v>
      </c>
      <c r="C2203" s="110" t="s">
        <v>5755</v>
      </c>
      <c r="D2203" s="111">
        <v>29.36</v>
      </c>
    </row>
    <row r="2204" spans="1:4" ht="38.25" x14ac:dyDescent="0.25">
      <c r="A2204" s="106">
        <v>38155</v>
      </c>
      <c r="B2204" s="108" t="s">
        <v>7677</v>
      </c>
      <c r="C2204" s="110" t="s">
        <v>5755</v>
      </c>
      <c r="D2204" s="111">
        <v>40.020000000000003</v>
      </c>
    </row>
    <row r="2205" spans="1:4" ht="38.25" x14ac:dyDescent="0.25">
      <c r="A2205" s="106">
        <v>11468</v>
      </c>
      <c r="B2205" s="108" t="s">
        <v>7678</v>
      </c>
      <c r="C2205" s="110" t="s">
        <v>5755</v>
      </c>
      <c r="D2205" s="111">
        <v>8.98</v>
      </c>
    </row>
    <row r="2206" spans="1:4" ht="38.25" x14ac:dyDescent="0.25">
      <c r="A2206" s="106">
        <v>11469</v>
      </c>
      <c r="B2206" s="108" t="s">
        <v>7679</v>
      </c>
      <c r="C2206" s="110" t="s">
        <v>5755</v>
      </c>
      <c r="D2206" s="111">
        <v>10.73</v>
      </c>
    </row>
    <row r="2207" spans="1:4" ht="38.25" x14ac:dyDescent="0.25">
      <c r="A2207" s="106">
        <v>38165</v>
      </c>
      <c r="B2207" s="108" t="s">
        <v>7680</v>
      </c>
      <c r="C2207" s="110" t="s">
        <v>7020</v>
      </c>
      <c r="D2207" s="111">
        <v>57.17</v>
      </c>
    </row>
    <row r="2208" spans="1:4" ht="25.5" x14ac:dyDescent="0.25">
      <c r="A2208" s="106">
        <v>11456</v>
      </c>
      <c r="B2208" s="108" t="s">
        <v>7681</v>
      </c>
      <c r="C2208" s="110" t="s">
        <v>5755</v>
      </c>
      <c r="D2208" s="111">
        <v>12.67</v>
      </c>
    </row>
    <row r="2209" spans="1:4" ht="25.5" x14ac:dyDescent="0.25">
      <c r="A2209" s="106">
        <v>3119</v>
      </c>
      <c r="B2209" s="108" t="s">
        <v>7682</v>
      </c>
      <c r="C2209" s="110" t="s">
        <v>5755</v>
      </c>
      <c r="D2209" s="111">
        <v>1.88</v>
      </c>
    </row>
    <row r="2210" spans="1:4" ht="25.5" x14ac:dyDescent="0.25">
      <c r="A2210" s="106">
        <v>3122</v>
      </c>
      <c r="B2210" s="108" t="s">
        <v>480</v>
      </c>
      <c r="C2210" s="110" t="s">
        <v>5755</v>
      </c>
      <c r="D2210" s="111">
        <v>2.64</v>
      </c>
    </row>
    <row r="2211" spans="1:4" ht="25.5" x14ac:dyDescent="0.25">
      <c r="A2211" s="106">
        <v>3121</v>
      </c>
      <c r="B2211" s="108" t="s">
        <v>7683</v>
      </c>
      <c r="C2211" s="110" t="s">
        <v>5755</v>
      </c>
      <c r="D2211" s="111">
        <v>4.0999999999999996</v>
      </c>
    </row>
    <row r="2212" spans="1:4" ht="25.5" x14ac:dyDescent="0.25">
      <c r="A2212" s="106">
        <v>3120</v>
      </c>
      <c r="B2212" s="108" t="s">
        <v>7684</v>
      </c>
      <c r="C2212" s="110" t="s">
        <v>5755</v>
      </c>
      <c r="D2212" s="111">
        <v>6.47</v>
      </c>
    </row>
    <row r="2213" spans="1:4" ht="25.5" x14ac:dyDescent="0.25">
      <c r="A2213" s="106">
        <v>11455</v>
      </c>
      <c r="B2213" s="108" t="s">
        <v>7685</v>
      </c>
      <c r="C2213" s="110" t="s">
        <v>5755</v>
      </c>
      <c r="D2213" s="111">
        <v>9.08</v>
      </c>
    </row>
    <row r="2214" spans="1:4" ht="25.5" x14ac:dyDescent="0.25">
      <c r="A2214" s="106">
        <v>3108</v>
      </c>
      <c r="B2214" s="108" t="s">
        <v>7686</v>
      </c>
      <c r="C2214" s="110" t="s">
        <v>5755</v>
      </c>
      <c r="D2214" s="111">
        <v>22.8</v>
      </c>
    </row>
    <row r="2215" spans="1:4" ht="25.5" x14ac:dyDescent="0.25">
      <c r="A2215" s="106">
        <v>3105</v>
      </c>
      <c r="B2215" s="108" t="s">
        <v>7687</v>
      </c>
      <c r="C2215" s="110" t="s">
        <v>5755</v>
      </c>
      <c r="D2215" s="111">
        <v>35.42</v>
      </c>
    </row>
    <row r="2216" spans="1:4" ht="25.5" x14ac:dyDescent="0.25">
      <c r="A2216" s="106">
        <v>38178</v>
      </c>
      <c r="B2216" s="108" t="s">
        <v>7688</v>
      </c>
      <c r="C2216" s="110" t="s">
        <v>5755</v>
      </c>
      <c r="D2216" s="111">
        <v>23.15</v>
      </c>
    </row>
    <row r="2217" spans="1:4" ht="25.5" x14ac:dyDescent="0.25">
      <c r="A2217" s="106">
        <v>11458</v>
      </c>
      <c r="B2217" s="108" t="s">
        <v>7689</v>
      </c>
      <c r="C2217" s="110" t="s">
        <v>5755</v>
      </c>
      <c r="D2217" s="111">
        <v>20.28</v>
      </c>
    </row>
    <row r="2218" spans="1:4" ht="25.5" x14ac:dyDescent="0.25">
      <c r="A2218" s="106">
        <v>42481</v>
      </c>
      <c r="B2218" s="108" t="s">
        <v>7690</v>
      </c>
      <c r="C2218" s="110" t="s">
        <v>5757</v>
      </c>
      <c r="D2218" s="111">
        <v>21.19</v>
      </c>
    </row>
    <row r="2219" spans="1:4" ht="25.5" x14ac:dyDescent="0.25">
      <c r="A2219" s="106">
        <v>43458</v>
      </c>
      <c r="B2219" s="108" t="s">
        <v>10479</v>
      </c>
      <c r="C2219" s="110" t="s">
        <v>5759</v>
      </c>
      <c r="D2219" s="111">
        <v>0.04</v>
      </c>
    </row>
    <row r="2220" spans="1:4" ht="25.5" x14ac:dyDescent="0.25">
      <c r="A2220" s="106">
        <v>43470</v>
      </c>
      <c r="B2220" s="108" t="s">
        <v>10480</v>
      </c>
      <c r="C2220" s="110" t="s">
        <v>5906</v>
      </c>
      <c r="D2220" s="111">
        <v>7.37</v>
      </c>
    </row>
    <row r="2221" spans="1:4" ht="25.5" x14ac:dyDescent="0.25">
      <c r="A2221" s="106">
        <v>43459</v>
      </c>
      <c r="B2221" s="108" t="s">
        <v>10481</v>
      </c>
      <c r="C2221" s="110" t="s">
        <v>5759</v>
      </c>
      <c r="D2221" s="111">
        <v>0.34</v>
      </c>
    </row>
    <row r="2222" spans="1:4" ht="25.5" x14ac:dyDescent="0.25">
      <c r="A2222" s="106">
        <v>43471</v>
      </c>
      <c r="B2222" s="108" t="s">
        <v>10482</v>
      </c>
      <c r="C2222" s="110" t="s">
        <v>5906</v>
      </c>
      <c r="D2222" s="111">
        <v>64.510000000000005</v>
      </c>
    </row>
    <row r="2223" spans="1:4" ht="25.5" x14ac:dyDescent="0.25">
      <c r="A2223" s="106">
        <v>43460</v>
      </c>
      <c r="B2223" s="108" t="s">
        <v>10483</v>
      </c>
      <c r="C2223" s="110" t="s">
        <v>5759</v>
      </c>
      <c r="D2223" s="111">
        <v>0.55000000000000004</v>
      </c>
    </row>
    <row r="2224" spans="1:4" ht="25.5" x14ac:dyDescent="0.25">
      <c r="A2224" s="106">
        <v>43472</v>
      </c>
      <c r="B2224" s="108" t="s">
        <v>10484</v>
      </c>
      <c r="C2224" s="110" t="s">
        <v>5906</v>
      </c>
      <c r="D2224" s="111">
        <v>103.89</v>
      </c>
    </row>
    <row r="2225" spans="1:4" ht="25.5" x14ac:dyDescent="0.25">
      <c r="A2225" s="106">
        <v>43461</v>
      </c>
      <c r="B2225" s="108" t="s">
        <v>10485</v>
      </c>
      <c r="C2225" s="110" t="s">
        <v>5759</v>
      </c>
      <c r="D2225" s="111">
        <v>0.24</v>
      </c>
    </row>
    <row r="2226" spans="1:4" ht="25.5" x14ac:dyDescent="0.25">
      <c r="A2226" s="106">
        <v>43473</v>
      </c>
      <c r="B2226" s="108" t="s">
        <v>10486</v>
      </c>
      <c r="C2226" s="110" t="s">
        <v>5906</v>
      </c>
      <c r="D2226" s="111">
        <v>45.78</v>
      </c>
    </row>
    <row r="2227" spans="1:4" ht="25.5" x14ac:dyDescent="0.25">
      <c r="A2227" s="106">
        <v>43463</v>
      </c>
      <c r="B2227" s="108" t="s">
        <v>10487</v>
      </c>
      <c r="C2227" s="110" t="s">
        <v>5759</v>
      </c>
      <c r="D2227" s="111">
        <v>0.08</v>
      </c>
    </row>
    <row r="2228" spans="1:4" ht="25.5" x14ac:dyDescent="0.25">
      <c r="A2228" s="106">
        <v>43475</v>
      </c>
      <c r="B2228" s="108" t="s">
        <v>10681</v>
      </c>
      <c r="C2228" s="110" t="s">
        <v>5906</v>
      </c>
      <c r="D2228" s="111">
        <v>14.26</v>
      </c>
    </row>
    <row r="2229" spans="1:4" ht="25.5" x14ac:dyDescent="0.25">
      <c r="A2229" s="106">
        <v>43462</v>
      </c>
      <c r="B2229" s="108" t="s">
        <v>10488</v>
      </c>
      <c r="C2229" s="110" t="s">
        <v>5759</v>
      </c>
      <c r="D2229" s="111">
        <v>0.01</v>
      </c>
    </row>
    <row r="2230" spans="1:4" ht="25.5" x14ac:dyDescent="0.25">
      <c r="A2230" s="106">
        <v>43474</v>
      </c>
      <c r="B2230" s="108" t="s">
        <v>10489</v>
      </c>
      <c r="C2230" s="110" t="s">
        <v>5906</v>
      </c>
      <c r="D2230" s="111">
        <v>1.45</v>
      </c>
    </row>
    <row r="2231" spans="1:4" ht="25.5" x14ac:dyDescent="0.25">
      <c r="A2231" s="106">
        <v>43464</v>
      </c>
      <c r="B2231" s="108" t="s">
        <v>10490</v>
      </c>
      <c r="C2231" s="110" t="s">
        <v>5759</v>
      </c>
      <c r="D2231" s="111">
        <v>0.01</v>
      </c>
    </row>
    <row r="2232" spans="1:4" ht="25.5" x14ac:dyDescent="0.25">
      <c r="A2232" s="106">
        <v>43476</v>
      </c>
      <c r="B2232" s="108" t="s">
        <v>10491</v>
      </c>
      <c r="C2232" s="110" t="s">
        <v>5906</v>
      </c>
      <c r="D2232" s="111">
        <v>0.01</v>
      </c>
    </row>
    <row r="2233" spans="1:4" ht="25.5" x14ac:dyDescent="0.25">
      <c r="A2233" s="106">
        <v>43465</v>
      </c>
      <c r="B2233" s="108" t="s">
        <v>10492</v>
      </c>
      <c r="C2233" s="110" t="s">
        <v>5759</v>
      </c>
      <c r="D2233" s="111">
        <v>0.5</v>
      </c>
    </row>
    <row r="2234" spans="1:4" ht="25.5" x14ac:dyDescent="0.25">
      <c r="A2234" s="106">
        <v>43477</v>
      </c>
      <c r="B2234" s="108" t="s">
        <v>10493</v>
      </c>
      <c r="C2234" s="110" t="s">
        <v>5906</v>
      </c>
      <c r="D2234" s="111">
        <v>94.89</v>
      </c>
    </row>
    <row r="2235" spans="1:4" ht="25.5" x14ac:dyDescent="0.25">
      <c r="A2235" s="106">
        <v>43466</v>
      </c>
      <c r="B2235" s="108" t="s">
        <v>10494</v>
      </c>
      <c r="C2235" s="110" t="s">
        <v>5759</v>
      </c>
      <c r="D2235" s="111">
        <v>1.17</v>
      </c>
    </row>
    <row r="2236" spans="1:4" ht="25.5" x14ac:dyDescent="0.25">
      <c r="A2236" s="106">
        <v>43478</v>
      </c>
      <c r="B2236" s="108" t="s">
        <v>10495</v>
      </c>
      <c r="C2236" s="110" t="s">
        <v>5906</v>
      </c>
      <c r="D2236" s="111">
        <v>220.02</v>
      </c>
    </row>
    <row r="2237" spans="1:4" ht="25.5" x14ac:dyDescent="0.25">
      <c r="A2237" s="106">
        <v>43467</v>
      </c>
      <c r="B2237" s="108" t="s">
        <v>10496</v>
      </c>
      <c r="C2237" s="110" t="s">
        <v>5759</v>
      </c>
      <c r="D2237" s="111">
        <v>0.38</v>
      </c>
    </row>
    <row r="2238" spans="1:4" ht="25.5" x14ac:dyDescent="0.25">
      <c r="A2238" s="106">
        <v>43479</v>
      </c>
      <c r="B2238" s="108" t="s">
        <v>10497</v>
      </c>
      <c r="C2238" s="110" t="s">
        <v>5906</v>
      </c>
      <c r="D2238" s="111">
        <v>71.290000000000006</v>
      </c>
    </row>
    <row r="2239" spans="1:4" ht="25.5" x14ac:dyDescent="0.25">
      <c r="A2239" s="106">
        <v>43468</v>
      </c>
      <c r="B2239" s="108" t="s">
        <v>10498</v>
      </c>
      <c r="C2239" s="110" t="s">
        <v>5759</v>
      </c>
      <c r="D2239" s="111">
        <v>0.84</v>
      </c>
    </row>
    <row r="2240" spans="1:4" ht="25.5" x14ac:dyDescent="0.25">
      <c r="A2240" s="106">
        <v>43480</v>
      </c>
      <c r="B2240" s="108" t="s">
        <v>10499</v>
      </c>
      <c r="C2240" s="110" t="s">
        <v>5906</v>
      </c>
      <c r="D2240" s="111">
        <v>157.85</v>
      </c>
    </row>
    <row r="2241" spans="1:4" ht="25.5" x14ac:dyDescent="0.25">
      <c r="A2241" s="106">
        <v>43469</v>
      </c>
      <c r="B2241" s="108" t="s">
        <v>10500</v>
      </c>
      <c r="C2241" s="110" t="s">
        <v>5759</v>
      </c>
      <c r="D2241" s="111">
        <v>0.05</v>
      </c>
    </row>
    <row r="2242" spans="1:4" ht="25.5" x14ac:dyDescent="0.25">
      <c r="A2242" s="106">
        <v>43481</v>
      </c>
      <c r="B2242" s="108" t="s">
        <v>10501</v>
      </c>
      <c r="C2242" s="110" t="s">
        <v>5906</v>
      </c>
      <c r="D2242" s="111">
        <v>10.02</v>
      </c>
    </row>
    <row r="2243" spans="1:4" ht="38.25" x14ac:dyDescent="0.25">
      <c r="A2243" s="106">
        <v>11461</v>
      </c>
      <c r="B2243" s="108" t="s">
        <v>7691</v>
      </c>
      <c r="C2243" s="110" t="s">
        <v>5755</v>
      </c>
      <c r="D2243" s="111">
        <v>5.14</v>
      </c>
    </row>
    <row r="2244" spans="1:4" ht="38.25" x14ac:dyDescent="0.25">
      <c r="A2244" s="106">
        <v>3106</v>
      </c>
      <c r="B2244" s="108" t="s">
        <v>404</v>
      </c>
      <c r="C2244" s="110" t="s">
        <v>5755</v>
      </c>
      <c r="D2244" s="111">
        <v>3.91</v>
      </c>
    </row>
    <row r="2245" spans="1:4" ht="25.5" x14ac:dyDescent="0.25">
      <c r="A2245" s="106">
        <v>3107</v>
      </c>
      <c r="B2245" s="108" t="s">
        <v>7692</v>
      </c>
      <c r="C2245" s="110" t="s">
        <v>5755</v>
      </c>
      <c r="D2245" s="111">
        <v>3.29</v>
      </c>
    </row>
    <row r="2246" spans="1:4" x14ac:dyDescent="0.25">
      <c r="A2246" s="106">
        <v>25951</v>
      </c>
      <c r="B2246" s="108" t="s">
        <v>472</v>
      </c>
      <c r="C2246" s="110" t="s">
        <v>5816</v>
      </c>
      <c r="D2246" s="111">
        <v>1.79</v>
      </c>
    </row>
    <row r="2247" spans="1:4" x14ac:dyDescent="0.25">
      <c r="A2247" s="106">
        <v>3123</v>
      </c>
      <c r="B2247" s="108" t="s">
        <v>7693</v>
      </c>
      <c r="C2247" s="110" t="s">
        <v>5816</v>
      </c>
      <c r="D2247" s="111">
        <v>1.67</v>
      </c>
    </row>
    <row r="2248" spans="1:4" x14ac:dyDescent="0.25">
      <c r="A2248" s="106">
        <v>38125</v>
      </c>
      <c r="B2248" s="108" t="s">
        <v>473</v>
      </c>
      <c r="C2248" s="110" t="s">
        <v>5816</v>
      </c>
      <c r="D2248" s="111">
        <v>0.87</v>
      </c>
    </row>
    <row r="2249" spans="1:4" ht="38.25" x14ac:dyDescent="0.25">
      <c r="A2249" s="106">
        <v>39014</v>
      </c>
      <c r="B2249" s="108" t="s">
        <v>7694</v>
      </c>
      <c r="C2249" s="110" t="s">
        <v>5816</v>
      </c>
      <c r="D2249" s="111">
        <v>6.91</v>
      </c>
    </row>
    <row r="2250" spans="1:4" ht="25.5" x14ac:dyDescent="0.25">
      <c r="A2250" s="106">
        <v>11894</v>
      </c>
      <c r="B2250" s="108" t="s">
        <v>7695</v>
      </c>
      <c r="C2250" s="110" t="s">
        <v>5755</v>
      </c>
      <c r="D2250" s="111">
        <v>679.93</v>
      </c>
    </row>
    <row r="2251" spans="1:4" ht="25.5" x14ac:dyDescent="0.25">
      <c r="A2251" s="106">
        <v>39365</v>
      </c>
      <c r="B2251" s="108" t="s">
        <v>7696</v>
      </c>
      <c r="C2251" s="110" t="s">
        <v>5755</v>
      </c>
      <c r="D2251" s="111">
        <v>793.07</v>
      </c>
    </row>
    <row r="2252" spans="1:4" ht="25.5" x14ac:dyDescent="0.25">
      <c r="A2252" s="106">
        <v>39366</v>
      </c>
      <c r="B2252" s="108" t="s">
        <v>7697</v>
      </c>
      <c r="C2252" s="110" t="s">
        <v>5755</v>
      </c>
      <c r="D2252" s="111">
        <v>2030.59</v>
      </c>
    </row>
    <row r="2253" spans="1:4" ht="25.5" x14ac:dyDescent="0.25">
      <c r="A2253" s="106">
        <v>39367</v>
      </c>
      <c r="B2253" s="108" t="s">
        <v>7698</v>
      </c>
      <c r="C2253" s="110" t="s">
        <v>5755</v>
      </c>
      <c r="D2253" s="111">
        <v>2775.46</v>
      </c>
    </row>
    <row r="2254" spans="1:4" x14ac:dyDescent="0.25">
      <c r="A2254" s="106">
        <v>37394</v>
      </c>
      <c r="B2254" s="108" t="s">
        <v>7699</v>
      </c>
      <c r="C2254" s="110" t="s">
        <v>7700</v>
      </c>
      <c r="D2254" s="111">
        <v>35.94</v>
      </c>
    </row>
    <row r="2255" spans="1:4" x14ac:dyDescent="0.25">
      <c r="A2255" s="106">
        <v>14146</v>
      </c>
      <c r="B2255" s="108" t="s">
        <v>7701</v>
      </c>
      <c r="C2255" s="110" t="s">
        <v>7700</v>
      </c>
      <c r="D2255" s="111">
        <v>57.8</v>
      </c>
    </row>
    <row r="2256" spans="1:4" x14ac:dyDescent="0.25">
      <c r="A2256" s="106">
        <v>38134</v>
      </c>
      <c r="B2256" s="108" t="s">
        <v>7702</v>
      </c>
      <c r="C2256" s="110" t="s">
        <v>5816</v>
      </c>
      <c r="D2256" s="111">
        <v>59.72</v>
      </c>
    </row>
    <row r="2257" spans="1:4" x14ac:dyDescent="0.25">
      <c r="A2257" s="106">
        <v>38132</v>
      </c>
      <c r="B2257" s="108" t="s">
        <v>7703</v>
      </c>
      <c r="C2257" s="110" t="s">
        <v>5816</v>
      </c>
      <c r="D2257" s="111">
        <v>60.91</v>
      </c>
    </row>
    <row r="2258" spans="1:4" x14ac:dyDescent="0.25">
      <c r="A2258" s="106">
        <v>38133</v>
      </c>
      <c r="B2258" s="108" t="s">
        <v>7704</v>
      </c>
      <c r="C2258" s="110" t="s">
        <v>5816</v>
      </c>
      <c r="D2258" s="111">
        <v>58.92</v>
      </c>
    </row>
    <row r="2259" spans="1:4" ht="25.5" x14ac:dyDescent="0.25">
      <c r="A2259" s="106">
        <v>938</v>
      </c>
      <c r="B2259" s="108" t="s">
        <v>7705</v>
      </c>
      <c r="C2259" s="110" t="s">
        <v>5767</v>
      </c>
      <c r="D2259" s="111">
        <v>0.91</v>
      </c>
    </row>
    <row r="2260" spans="1:4" ht="25.5" x14ac:dyDescent="0.25">
      <c r="A2260" s="106">
        <v>937</v>
      </c>
      <c r="B2260" s="108" t="s">
        <v>666</v>
      </c>
      <c r="C2260" s="110" t="s">
        <v>5767</v>
      </c>
      <c r="D2260" s="111">
        <v>5.64</v>
      </c>
    </row>
    <row r="2261" spans="1:4" ht="25.5" x14ac:dyDescent="0.25">
      <c r="A2261" s="106">
        <v>939</v>
      </c>
      <c r="B2261" s="108" t="s">
        <v>7706</v>
      </c>
      <c r="C2261" s="110" t="s">
        <v>5767</v>
      </c>
      <c r="D2261" s="111">
        <v>1.46</v>
      </c>
    </row>
    <row r="2262" spans="1:4" ht="25.5" x14ac:dyDescent="0.25">
      <c r="A2262" s="106">
        <v>944</v>
      </c>
      <c r="B2262" s="108" t="s">
        <v>7707</v>
      </c>
      <c r="C2262" s="110" t="s">
        <v>5767</v>
      </c>
      <c r="D2262" s="111">
        <v>2.4900000000000002</v>
      </c>
    </row>
    <row r="2263" spans="1:4" ht="25.5" x14ac:dyDescent="0.25">
      <c r="A2263" s="106">
        <v>940</v>
      </c>
      <c r="B2263" s="108" t="s">
        <v>7708</v>
      </c>
      <c r="C2263" s="110" t="s">
        <v>5767</v>
      </c>
      <c r="D2263" s="111">
        <v>3.45</v>
      </c>
    </row>
    <row r="2264" spans="1:4" ht="25.5" x14ac:dyDescent="0.25">
      <c r="A2264" s="106">
        <v>936</v>
      </c>
      <c r="B2264" s="108" t="s">
        <v>7709</v>
      </c>
      <c r="C2264" s="110" t="s">
        <v>5767</v>
      </c>
      <c r="D2264" s="111">
        <v>1.37</v>
      </c>
    </row>
    <row r="2265" spans="1:4" ht="25.5" x14ac:dyDescent="0.25">
      <c r="A2265" s="106">
        <v>935</v>
      </c>
      <c r="B2265" s="108" t="s">
        <v>7710</v>
      </c>
      <c r="C2265" s="110" t="s">
        <v>5767</v>
      </c>
      <c r="D2265" s="111">
        <v>1.04</v>
      </c>
    </row>
    <row r="2266" spans="1:4" ht="25.5" x14ac:dyDescent="0.25">
      <c r="A2266" s="106">
        <v>406</v>
      </c>
      <c r="B2266" s="108" t="s">
        <v>664</v>
      </c>
      <c r="C2266" s="110" t="s">
        <v>5755</v>
      </c>
      <c r="D2266" s="111">
        <v>63.08</v>
      </c>
    </row>
    <row r="2267" spans="1:4" ht="25.5" x14ac:dyDescent="0.25">
      <c r="A2267" s="106">
        <v>42529</v>
      </c>
      <c r="B2267" s="108" t="s">
        <v>7711</v>
      </c>
      <c r="C2267" s="110" t="s">
        <v>5767</v>
      </c>
      <c r="D2267" s="111">
        <v>0.85</v>
      </c>
    </row>
    <row r="2268" spans="1:4" ht="25.5" x14ac:dyDescent="0.25">
      <c r="A2268" s="106">
        <v>39634</v>
      </c>
      <c r="B2268" s="108" t="s">
        <v>7712</v>
      </c>
      <c r="C2268" s="110" t="s">
        <v>5767</v>
      </c>
      <c r="D2268" s="111">
        <v>8.26</v>
      </c>
    </row>
    <row r="2269" spans="1:4" ht="25.5" x14ac:dyDescent="0.25">
      <c r="A2269" s="106">
        <v>39701</v>
      </c>
      <c r="B2269" s="108" t="s">
        <v>7713</v>
      </c>
      <c r="C2269" s="110" t="s">
        <v>5755</v>
      </c>
      <c r="D2269" s="111">
        <v>66.75</v>
      </c>
    </row>
    <row r="2270" spans="1:4" x14ac:dyDescent="0.25">
      <c r="A2270" s="106">
        <v>12815</v>
      </c>
      <c r="B2270" s="108" t="s">
        <v>7714</v>
      </c>
      <c r="C2270" s="110" t="s">
        <v>5755</v>
      </c>
      <c r="D2270" s="111">
        <v>8.17</v>
      </c>
    </row>
    <row r="2271" spans="1:4" x14ac:dyDescent="0.25">
      <c r="A2271" s="106">
        <v>407</v>
      </c>
      <c r="B2271" s="108" t="s">
        <v>7715</v>
      </c>
      <c r="C2271" s="110" t="s">
        <v>5816</v>
      </c>
      <c r="D2271" s="111">
        <v>39.880000000000003</v>
      </c>
    </row>
    <row r="2272" spans="1:4" ht="25.5" x14ac:dyDescent="0.25">
      <c r="A2272" s="106">
        <v>39431</v>
      </c>
      <c r="B2272" s="108" t="s">
        <v>424</v>
      </c>
      <c r="C2272" s="110" t="s">
        <v>5767</v>
      </c>
      <c r="D2272" s="111">
        <v>0.23</v>
      </c>
    </row>
    <row r="2273" spans="1:4" ht="25.5" x14ac:dyDescent="0.25">
      <c r="A2273" s="106">
        <v>39432</v>
      </c>
      <c r="B2273" s="108" t="s">
        <v>7716</v>
      </c>
      <c r="C2273" s="110" t="s">
        <v>5767</v>
      </c>
      <c r="D2273" s="111">
        <v>2.96</v>
      </c>
    </row>
    <row r="2274" spans="1:4" ht="25.5" x14ac:dyDescent="0.25">
      <c r="A2274" s="106">
        <v>20111</v>
      </c>
      <c r="B2274" s="108" t="s">
        <v>7717</v>
      </c>
      <c r="C2274" s="110" t="s">
        <v>5755</v>
      </c>
      <c r="D2274" s="111">
        <v>9.9</v>
      </c>
    </row>
    <row r="2275" spans="1:4" ht="25.5" x14ac:dyDescent="0.25">
      <c r="A2275" s="106">
        <v>21127</v>
      </c>
      <c r="B2275" s="108" t="s">
        <v>508</v>
      </c>
      <c r="C2275" s="110" t="s">
        <v>5755</v>
      </c>
      <c r="D2275" s="111">
        <v>3.74</v>
      </c>
    </row>
    <row r="2276" spans="1:4" x14ac:dyDescent="0.25">
      <c r="A2276" s="106">
        <v>404</v>
      </c>
      <c r="B2276" s="108" t="s">
        <v>7718</v>
      </c>
      <c r="C2276" s="110" t="s">
        <v>5767</v>
      </c>
      <c r="D2276" s="111">
        <v>1.35</v>
      </c>
    </row>
    <row r="2277" spans="1:4" ht="25.5" x14ac:dyDescent="0.25">
      <c r="A2277" s="106">
        <v>14151</v>
      </c>
      <c r="B2277" s="108" t="s">
        <v>7719</v>
      </c>
      <c r="C2277" s="110" t="s">
        <v>5755</v>
      </c>
      <c r="D2277" s="111">
        <v>41.54</v>
      </c>
    </row>
    <row r="2278" spans="1:4" ht="25.5" x14ac:dyDescent="0.25">
      <c r="A2278" s="106">
        <v>14153</v>
      </c>
      <c r="B2278" s="108" t="s">
        <v>524</v>
      </c>
      <c r="C2278" s="110" t="s">
        <v>5755</v>
      </c>
      <c r="D2278" s="111">
        <v>46.96</v>
      </c>
    </row>
    <row r="2279" spans="1:4" ht="25.5" x14ac:dyDescent="0.25">
      <c r="A2279" s="106">
        <v>14152</v>
      </c>
      <c r="B2279" s="108" t="s">
        <v>7720</v>
      </c>
      <c r="C2279" s="110" t="s">
        <v>5755</v>
      </c>
      <c r="D2279" s="111">
        <v>36.049999999999997</v>
      </c>
    </row>
    <row r="2280" spans="1:4" ht="25.5" x14ac:dyDescent="0.25">
      <c r="A2280" s="106">
        <v>14154</v>
      </c>
      <c r="B2280" s="108" t="s">
        <v>7721</v>
      </c>
      <c r="C2280" s="110" t="s">
        <v>5755</v>
      </c>
      <c r="D2280" s="111">
        <v>126.18</v>
      </c>
    </row>
    <row r="2281" spans="1:4" ht="25.5" x14ac:dyDescent="0.25">
      <c r="A2281" s="106">
        <v>42015</v>
      </c>
      <c r="B2281" s="108" t="s">
        <v>7722</v>
      </c>
      <c r="C2281" s="110" t="s">
        <v>5767</v>
      </c>
      <c r="D2281" s="111">
        <v>0.08</v>
      </c>
    </row>
    <row r="2282" spans="1:4" x14ac:dyDescent="0.25">
      <c r="A2282" s="106">
        <v>3146</v>
      </c>
      <c r="B2282" s="108" t="s">
        <v>464</v>
      </c>
      <c r="C2282" s="110" t="s">
        <v>5755</v>
      </c>
      <c r="D2282" s="111">
        <v>4.24</v>
      </c>
    </row>
    <row r="2283" spans="1:4" x14ac:dyDescent="0.25">
      <c r="A2283" s="106">
        <v>3143</v>
      </c>
      <c r="B2283" s="108" t="s">
        <v>7723</v>
      </c>
      <c r="C2283" s="110" t="s">
        <v>5755</v>
      </c>
      <c r="D2283" s="111">
        <v>9.64</v>
      </c>
    </row>
    <row r="2284" spans="1:4" x14ac:dyDescent="0.25">
      <c r="A2284" s="106">
        <v>3148</v>
      </c>
      <c r="B2284" s="108" t="s">
        <v>412</v>
      </c>
      <c r="C2284" s="110" t="s">
        <v>5755</v>
      </c>
      <c r="D2284" s="111">
        <v>15.63</v>
      </c>
    </row>
    <row r="2285" spans="1:4" ht="25.5" x14ac:dyDescent="0.25">
      <c r="A2285" s="106">
        <v>4310</v>
      </c>
      <c r="B2285" s="108" t="s">
        <v>7724</v>
      </c>
      <c r="C2285" s="110" t="s">
        <v>5755</v>
      </c>
      <c r="D2285" s="111">
        <v>1.78</v>
      </c>
    </row>
    <row r="2286" spans="1:4" ht="25.5" x14ac:dyDescent="0.25">
      <c r="A2286" s="106">
        <v>4311</v>
      </c>
      <c r="B2286" s="108" t="s">
        <v>7725</v>
      </c>
      <c r="C2286" s="110" t="s">
        <v>5755</v>
      </c>
      <c r="D2286" s="111">
        <v>1.25</v>
      </c>
    </row>
    <row r="2287" spans="1:4" ht="25.5" x14ac:dyDescent="0.25">
      <c r="A2287" s="106">
        <v>4312</v>
      </c>
      <c r="B2287" s="108" t="s">
        <v>7726</v>
      </c>
      <c r="C2287" s="110" t="s">
        <v>5755</v>
      </c>
      <c r="D2287" s="111">
        <v>1.75</v>
      </c>
    </row>
    <row r="2288" spans="1:4" x14ac:dyDescent="0.25">
      <c r="A2288" s="106">
        <v>13261</v>
      </c>
      <c r="B2288" s="108" t="s">
        <v>7727</v>
      </c>
      <c r="C2288" s="110" t="s">
        <v>5755</v>
      </c>
      <c r="D2288" s="111">
        <v>2.6</v>
      </c>
    </row>
    <row r="2289" spans="1:4" x14ac:dyDescent="0.25">
      <c r="A2289" s="106">
        <v>3255</v>
      </c>
      <c r="B2289" s="108" t="s">
        <v>7728</v>
      </c>
      <c r="C2289" s="110" t="s">
        <v>5755</v>
      </c>
      <c r="D2289" s="111">
        <v>5.77</v>
      </c>
    </row>
    <row r="2290" spans="1:4" x14ac:dyDescent="0.25">
      <c r="A2290" s="106">
        <v>3254</v>
      </c>
      <c r="B2290" s="108" t="s">
        <v>7729</v>
      </c>
      <c r="C2290" s="110" t="s">
        <v>5755</v>
      </c>
      <c r="D2290" s="111">
        <v>93.77</v>
      </c>
    </row>
    <row r="2291" spans="1:4" x14ac:dyDescent="0.25">
      <c r="A2291" s="106">
        <v>3259</v>
      </c>
      <c r="B2291" s="108" t="s">
        <v>7730</v>
      </c>
      <c r="C2291" s="110" t="s">
        <v>5755</v>
      </c>
      <c r="D2291" s="111">
        <v>11.27</v>
      </c>
    </row>
    <row r="2292" spans="1:4" x14ac:dyDescent="0.25">
      <c r="A2292" s="106">
        <v>3258</v>
      </c>
      <c r="B2292" s="108" t="s">
        <v>7731</v>
      </c>
      <c r="C2292" s="110" t="s">
        <v>5755</v>
      </c>
      <c r="D2292" s="111">
        <v>6.81</v>
      </c>
    </row>
    <row r="2293" spans="1:4" x14ac:dyDescent="0.25">
      <c r="A2293" s="106">
        <v>3251</v>
      </c>
      <c r="B2293" s="108" t="s">
        <v>7732</v>
      </c>
      <c r="C2293" s="110" t="s">
        <v>5755</v>
      </c>
      <c r="D2293" s="111">
        <v>4.01</v>
      </c>
    </row>
    <row r="2294" spans="1:4" x14ac:dyDescent="0.25">
      <c r="A2294" s="106">
        <v>3256</v>
      </c>
      <c r="B2294" s="108" t="s">
        <v>7733</v>
      </c>
      <c r="C2294" s="110" t="s">
        <v>5755</v>
      </c>
      <c r="D2294" s="111">
        <v>7.6</v>
      </c>
    </row>
    <row r="2295" spans="1:4" x14ac:dyDescent="0.25">
      <c r="A2295" s="106">
        <v>3261</v>
      </c>
      <c r="B2295" s="108" t="s">
        <v>7734</v>
      </c>
      <c r="C2295" s="110" t="s">
        <v>5755</v>
      </c>
      <c r="D2295" s="111">
        <v>82.92</v>
      </c>
    </row>
    <row r="2296" spans="1:4" x14ac:dyDescent="0.25">
      <c r="A2296" s="106">
        <v>3260</v>
      </c>
      <c r="B2296" s="108" t="s">
        <v>7735</v>
      </c>
      <c r="C2296" s="110" t="s">
        <v>5755</v>
      </c>
      <c r="D2296" s="111">
        <v>14.24</v>
      </c>
    </row>
    <row r="2297" spans="1:4" x14ac:dyDescent="0.25">
      <c r="A2297" s="106">
        <v>3272</v>
      </c>
      <c r="B2297" s="108" t="s">
        <v>7736</v>
      </c>
      <c r="C2297" s="110" t="s">
        <v>5755</v>
      </c>
      <c r="D2297" s="111">
        <v>27.69</v>
      </c>
    </row>
    <row r="2298" spans="1:4" x14ac:dyDescent="0.25">
      <c r="A2298" s="106">
        <v>3265</v>
      </c>
      <c r="B2298" s="108" t="s">
        <v>7737</v>
      </c>
      <c r="C2298" s="110" t="s">
        <v>5755</v>
      </c>
      <c r="D2298" s="111">
        <v>22</v>
      </c>
    </row>
    <row r="2299" spans="1:4" x14ac:dyDescent="0.25">
      <c r="A2299" s="106">
        <v>3262</v>
      </c>
      <c r="B2299" s="108" t="s">
        <v>7738</v>
      </c>
      <c r="C2299" s="110" t="s">
        <v>5755</v>
      </c>
      <c r="D2299" s="111">
        <v>9.6300000000000008</v>
      </c>
    </row>
    <row r="2300" spans="1:4" x14ac:dyDescent="0.25">
      <c r="A2300" s="106">
        <v>3264</v>
      </c>
      <c r="B2300" s="108" t="s">
        <v>7739</v>
      </c>
      <c r="C2300" s="110" t="s">
        <v>5755</v>
      </c>
      <c r="D2300" s="111">
        <v>15.82</v>
      </c>
    </row>
    <row r="2301" spans="1:4" x14ac:dyDescent="0.25">
      <c r="A2301" s="106">
        <v>3267</v>
      </c>
      <c r="B2301" s="108" t="s">
        <v>7740</v>
      </c>
      <c r="C2301" s="110" t="s">
        <v>5755</v>
      </c>
      <c r="D2301" s="111">
        <v>51.66</v>
      </c>
    </row>
    <row r="2302" spans="1:4" x14ac:dyDescent="0.25">
      <c r="A2302" s="106">
        <v>3266</v>
      </c>
      <c r="B2302" s="108" t="s">
        <v>7741</v>
      </c>
      <c r="C2302" s="110" t="s">
        <v>5755</v>
      </c>
      <c r="D2302" s="111">
        <v>32.869999999999997</v>
      </c>
    </row>
    <row r="2303" spans="1:4" x14ac:dyDescent="0.25">
      <c r="A2303" s="106">
        <v>3263</v>
      </c>
      <c r="B2303" s="108" t="s">
        <v>7742</v>
      </c>
      <c r="C2303" s="110" t="s">
        <v>5755</v>
      </c>
      <c r="D2303" s="111">
        <v>13.15</v>
      </c>
    </row>
    <row r="2304" spans="1:4" x14ac:dyDescent="0.25">
      <c r="A2304" s="106">
        <v>3268</v>
      </c>
      <c r="B2304" s="108" t="s">
        <v>7743</v>
      </c>
      <c r="C2304" s="110" t="s">
        <v>5755</v>
      </c>
      <c r="D2304" s="111">
        <v>69.849999999999994</v>
      </c>
    </row>
    <row r="2305" spans="1:4" x14ac:dyDescent="0.25">
      <c r="A2305" s="106">
        <v>3271</v>
      </c>
      <c r="B2305" s="108" t="s">
        <v>7744</v>
      </c>
      <c r="C2305" s="110" t="s">
        <v>5755</v>
      </c>
      <c r="D2305" s="111">
        <v>103.27</v>
      </c>
    </row>
    <row r="2306" spans="1:4" x14ac:dyDescent="0.25">
      <c r="A2306" s="106">
        <v>3270</v>
      </c>
      <c r="B2306" s="108" t="s">
        <v>7745</v>
      </c>
      <c r="C2306" s="110" t="s">
        <v>5755</v>
      </c>
      <c r="D2306" s="111">
        <v>173.5</v>
      </c>
    </row>
    <row r="2307" spans="1:4" ht="38.25" x14ac:dyDescent="0.25">
      <c r="A2307" s="106">
        <v>3275</v>
      </c>
      <c r="B2307" s="108" t="s">
        <v>7746</v>
      </c>
      <c r="C2307" s="110" t="s">
        <v>5757</v>
      </c>
      <c r="D2307" s="111">
        <v>68.209999999999994</v>
      </c>
    </row>
    <row r="2308" spans="1:4" ht="38.25" x14ac:dyDescent="0.25">
      <c r="A2308" s="106">
        <v>39512</v>
      </c>
      <c r="B2308" s="108" t="s">
        <v>449</v>
      </c>
      <c r="C2308" s="110" t="s">
        <v>5757</v>
      </c>
      <c r="D2308" s="111">
        <v>86.39</v>
      </c>
    </row>
    <row r="2309" spans="1:4" ht="38.25" x14ac:dyDescent="0.25">
      <c r="A2309" s="106">
        <v>39511</v>
      </c>
      <c r="B2309" s="108" t="s">
        <v>7747</v>
      </c>
      <c r="C2309" s="110" t="s">
        <v>5757</v>
      </c>
      <c r="D2309" s="111">
        <v>94.23</v>
      </c>
    </row>
    <row r="2310" spans="1:4" ht="38.25" x14ac:dyDescent="0.25">
      <c r="A2310" s="106">
        <v>39513</v>
      </c>
      <c r="B2310" s="108" t="s">
        <v>7748</v>
      </c>
      <c r="C2310" s="110" t="s">
        <v>5757</v>
      </c>
      <c r="D2310" s="111">
        <v>101.07</v>
      </c>
    </row>
    <row r="2311" spans="1:4" ht="25.5" x14ac:dyDescent="0.25">
      <c r="A2311" s="106">
        <v>3286</v>
      </c>
      <c r="B2311" s="108" t="s">
        <v>7749</v>
      </c>
      <c r="C2311" s="110" t="s">
        <v>5757</v>
      </c>
      <c r="D2311" s="111">
        <v>54.92</v>
      </c>
    </row>
    <row r="2312" spans="1:4" ht="38.25" x14ac:dyDescent="0.25">
      <c r="A2312" s="106">
        <v>3287</v>
      </c>
      <c r="B2312" s="108" t="s">
        <v>7750</v>
      </c>
      <c r="C2312" s="110" t="s">
        <v>5757</v>
      </c>
      <c r="D2312" s="111">
        <v>83</v>
      </c>
    </row>
    <row r="2313" spans="1:4" ht="25.5" x14ac:dyDescent="0.25">
      <c r="A2313" s="106">
        <v>3283</v>
      </c>
      <c r="B2313" s="108" t="s">
        <v>7751</v>
      </c>
      <c r="C2313" s="110" t="s">
        <v>5757</v>
      </c>
      <c r="D2313" s="111">
        <v>17.43</v>
      </c>
    </row>
    <row r="2314" spans="1:4" ht="25.5" x14ac:dyDescent="0.25">
      <c r="A2314" s="106">
        <v>11587</v>
      </c>
      <c r="B2314" s="108" t="s">
        <v>7752</v>
      </c>
      <c r="C2314" s="110" t="s">
        <v>5757</v>
      </c>
      <c r="D2314" s="111">
        <v>46.77</v>
      </c>
    </row>
    <row r="2315" spans="1:4" ht="25.5" x14ac:dyDescent="0.25">
      <c r="A2315" s="106">
        <v>36225</v>
      </c>
      <c r="B2315" s="108" t="s">
        <v>7753</v>
      </c>
      <c r="C2315" s="110" t="s">
        <v>5757</v>
      </c>
      <c r="D2315" s="111">
        <v>19</v>
      </c>
    </row>
    <row r="2316" spans="1:4" ht="25.5" x14ac:dyDescent="0.25">
      <c r="A2316" s="106">
        <v>36230</v>
      </c>
      <c r="B2316" s="108" t="s">
        <v>7754</v>
      </c>
      <c r="C2316" s="110" t="s">
        <v>5757</v>
      </c>
      <c r="D2316" s="111">
        <v>13.96</v>
      </c>
    </row>
    <row r="2317" spans="1:4" ht="25.5" x14ac:dyDescent="0.25">
      <c r="A2317" s="106">
        <v>36238</v>
      </c>
      <c r="B2317" s="108" t="s">
        <v>7755</v>
      </c>
      <c r="C2317" s="110" t="s">
        <v>5757</v>
      </c>
      <c r="D2317" s="111">
        <v>13.64</v>
      </c>
    </row>
    <row r="2318" spans="1:4" ht="25.5" x14ac:dyDescent="0.25">
      <c r="A2318" s="106">
        <v>11887</v>
      </c>
      <c r="B2318" s="108" t="s">
        <v>7756</v>
      </c>
      <c r="C2318" s="110" t="s">
        <v>5755</v>
      </c>
      <c r="D2318" s="111">
        <v>3202.98</v>
      </c>
    </row>
    <row r="2319" spans="1:4" ht="25.5" x14ac:dyDescent="0.25">
      <c r="A2319" s="106">
        <v>11883</v>
      </c>
      <c r="B2319" s="108" t="s">
        <v>7757</v>
      </c>
      <c r="C2319" s="110" t="s">
        <v>5755</v>
      </c>
      <c r="D2319" s="111">
        <v>4708.9399999999996</v>
      </c>
    </row>
    <row r="2320" spans="1:4" ht="25.5" x14ac:dyDescent="0.25">
      <c r="A2320" s="106">
        <v>11884</v>
      </c>
      <c r="B2320" s="108" t="s">
        <v>7758</v>
      </c>
      <c r="C2320" s="110" t="s">
        <v>5755</v>
      </c>
      <c r="D2320" s="111">
        <v>5052.28</v>
      </c>
    </row>
    <row r="2321" spans="1:4" ht="25.5" x14ac:dyDescent="0.25">
      <c r="A2321" s="106">
        <v>11885</v>
      </c>
      <c r="B2321" s="108" t="s">
        <v>7759</v>
      </c>
      <c r="C2321" s="110" t="s">
        <v>5755</v>
      </c>
      <c r="D2321" s="111">
        <v>5635</v>
      </c>
    </row>
    <row r="2322" spans="1:4" ht="25.5" x14ac:dyDescent="0.25">
      <c r="A2322" s="106">
        <v>11886</v>
      </c>
      <c r="B2322" s="108" t="s">
        <v>7760</v>
      </c>
      <c r="C2322" s="110" t="s">
        <v>5755</v>
      </c>
      <c r="D2322" s="111">
        <v>1816.14</v>
      </c>
    </row>
    <row r="2323" spans="1:4" ht="25.5" x14ac:dyDescent="0.25">
      <c r="A2323" s="106">
        <v>11888</v>
      </c>
      <c r="B2323" s="108" t="s">
        <v>7761</v>
      </c>
      <c r="C2323" s="110" t="s">
        <v>5755</v>
      </c>
      <c r="D2323" s="111">
        <v>4265.0200000000004</v>
      </c>
    </row>
    <row r="2324" spans="1:4" ht="25.5" x14ac:dyDescent="0.25">
      <c r="A2324" s="106">
        <v>3277</v>
      </c>
      <c r="B2324" s="108" t="s">
        <v>7762</v>
      </c>
      <c r="C2324" s="110" t="s">
        <v>5755</v>
      </c>
      <c r="D2324" s="111">
        <v>719.26</v>
      </c>
    </row>
    <row r="2325" spans="1:4" ht="25.5" x14ac:dyDescent="0.25">
      <c r="A2325" s="106">
        <v>3281</v>
      </c>
      <c r="B2325" s="108" t="s">
        <v>7763</v>
      </c>
      <c r="C2325" s="110" t="s">
        <v>5755</v>
      </c>
      <c r="D2325" s="111">
        <v>595.64</v>
      </c>
    </row>
    <row r="2326" spans="1:4" ht="38.25" x14ac:dyDescent="0.25">
      <c r="A2326" s="106">
        <v>39363</v>
      </c>
      <c r="B2326" s="108" t="s">
        <v>7764</v>
      </c>
      <c r="C2326" s="110" t="s">
        <v>5755</v>
      </c>
      <c r="D2326" s="111">
        <v>3230.49</v>
      </c>
    </row>
    <row r="2327" spans="1:4" ht="38.25" x14ac:dyDescent="0.25">
      <c r="A2327" s="106">
        <v>39361</v>
      </c>
      <c r="B2327" s="108" t="s">
        <v>7765</v>
      </c>
      <c r="C2327" s="110" t="s">
        <v>5755</v>
      </c>
      <c r="D2327" s="111">
        <v>830.69</v>
      </c>
    </row>
    <row r="2328" spans="1:4" ht="38.25" x14ac:dyDescent="0.25">
      <c r="A2328" s="106">
        <v>39362</v>
      </c>
      <c r="B2328" s="108" t="s">
        <v>7766</v>
      </c>
      <c r="C2328" s="110" t="s">
        <v>5755</v>
      </c>
      <c r="D2328" s="111">
        <v>2556.27</v>
      </c>
    </row>
    <row r="2329" spans="1:4" ht="38.25" x14ac:dyDescent="0.25">
      <c r="A2329" s="106">
        <v>39364</v>
      </c>
      <c r="B2329" s="108" t="s">
        <v>7767</v>
      </c>
      <c r="C2329" s="110" t="s">
        <v>5755</v>
      </c>
      <c r="D2329" s="111">
        <v>7383.99</v>
      </c>
    </row>
    <row r="2330" spans="1:4" ht="25.5" x14ac:dyDescent="0.25">
      <c r="A2330" s="106">
        <v>14576</v>
      </c>
      <c r="B2330" s="108" t="s">
        <v>7768</v>
      </c>
      <c r="C2330" s="110" t="s">
        <v>5755</v>
      </c>
      <c r="D2330" s="111">
        <v>4494313.1100000003</v>
      </c>
    </row>
    <row r="2331" spans="1:4" ht="25.5" x14ac:dyDescent="0.25">
      <c r="A2331" s="106">
        <v>13877</v>
      </c>
      <c r="B2331" s="108" t="s">
        <v>7769</v>
      </c>
      <c r="C2331" s="110" t="s">
        <v>5755</v>
      </c>
      <c r="D2331" s="111">
        <v>1923948.41</v>
      </c>
    </row>
    <row r="2332" spans="1:4" x14ac:dyDescent="0.25">
      <c r="A2332" s="106">
        <v>7307</v>
      </c>
      <c r="B2332" s="108" t="s">
        <v>601</v>
      </c>
      <c r="C2332" s="110" t="s">
        <v>5818</v>
      </c>
      <c r="D2332" s="111">
        <v>24.03</v>
      </c>
    </row>
    <row r="2333" spans="1:4" x14ac:dyDescent="0.25">
      <c r="A2333" s="106">
        <v>38122</v>
      </c>
      <c r="B2333" s="108" t="s">
        <v>7770</v>
      </c>
      <c r="C2333" s="110" t="s">
        <v>5818</v>
      </c>
      <c r="D2333" s="111">
        <v>6.53</v>
      </c>
    </row>
    <row r="2334" spans="1:4" ht="25.5" x14ac:dyDescent="0.25">
      <c r="A2334" s="106">
        <v>38633</v>
      </c>
      <c r="B2334" s="108" t="s">
        <v>7772</v>
      </c>
      <c r="C2334" s="110" t="s">
        <v>5755</v>
      </c>
      <c r="D2334" s="111">
        <v>18.649999999999999</v>
      </c>
    </row>
    <row r="2335" spans="1:4" ht="25.5" x14ac:dyDescent="0.25">
      <c r="A2335" s="106">
        <v>12344</v>
      </c>
      <c r="B2335" s="108" t="s">
        <v>7773</v>
      </c>
      <c r="C2335" s="110" t="s">
        <v>5755</v>
      </c>
      <c r="D2335" s="111">
        <v>1.56</v>
      </c>
    </row>
    <row r="2336" spans="1:4" ht="25.5" x14ac:dyDescent="0.25">
      <c r="A2336" s="106">
        <v>12343</v>
      </c>
      <c r="B2336" s="108" t="s">
        <v>7774</v>
      </c>
      <c r="C2336" s="110" t="s">
        <v>5755</v>
      </c>
      <c r="D2336" s="111">
        <v>2.42</v>
      </c>
    </row>
    <row r="2337" spans="1:4" ht="25.5" x14ac:dyDescent="0.25">
      <c r="A2337" s="106">
        <v>3295</v>
      </c>
      <c r="B2337" s="108" t="s">
        <v>7775</v>
      </c>
      <c r="C2337" s="110" t="s">
        <v>5755</v>
      </c>
      <c r="D2337" s="111">
        <v>8.4499999999999993</v>
      </c>
    </row>
    <row r="2338" spans="1:4" ht="25.5" x14ac:dyDescent="0.25">
      <c r="A2338" s="106">
        <v>3302</v>
      </c>
      <c r="B2338" s="108" t="s">
        <v>7776</v>
      </c>
      <c r="C2338" s="110" t="s">
        <v>5755</v>
      </c>
      <c r="D2338" s="111">
        <v>8.84</v>
      </c>
    </row>
    <row r="2339" spans="1:4" ht="25.5" x14ac:dyDescent="0.25">
      <c r="A2339" s="106">
        <v>3297</v>
      </c>
      <c r="B2339" s="108" t="s">
        <v>7777</v>
      </c>
      <c r="C2339" s="110" t="s">
        <v>5755</v>
      </c>
      <c r="D2339" s="111">
        <v>9.43</v>
      </c>
    </row>
    <row r="2340" spans="1:4" ht="25.5" x14ac:dyDescent="0.25">
      <c r="A2340" s="106">
        <v>3294</v>
      </c>
      <c r="B2340" s="108" t="s">
        <v>7778</v>
      </c>
      <c r="C2340" s="110" t="s">
        <v>5755</v>
      </c>
      <c r="D2340" s="111">
        <v>9.58</v>
      </c>
    </row>
    <row r="2341" spans="1:4" ht="25.5" x14ac:dyDescent="0.25">
      <c r="A2341" s="106">
        <v>3292</v>
      </c>
      <c r="B2341" s="108" t="s">
        <v>7779</v>
      </c>
      <c r="C2341" s="110" t="s">
        <v>5755</v>
      </c>
      <c r="D2341" s="111">
        <v>9</v>
      </c>
    </row>
    <row r="2342" spans="1:4" ht="25.5" x14ac:dyDescent="0.25">
      <c r="A2342" s="106">
        <v>3298</v>
      </c>
      <c r="B2342" s="108" t="s">
        <v>7780</v>
      </c>
      <c r="C2342" s="110" t="s">
        <v>5755</v>
      </c>
      <c r="D2342" s="111">
        <v>21.09</v>
      </c>
    </row>
    <row r="2343" spans="1:4" ht="25.5" x14ac:dyDescent="0.25">
      <c r="A2343" s="106">
        <v>11596</v>
      </c>
      <c r="B2343" s="108" t="s">
        <v>7781</v>
      </c>
      <c r="C2343" s="110" t="s">
        <v>5755</v>
      </c>
      <c r="D2343" s="111">
        <v>427.37</v>
      </c>
    </row>
    <row r="2344" spans="1:4" ht="38.25" x14ac:dyDescent="0.25">
      <c r="A2344" s="106">
        <v>34802</v>
      </c>
      <c r="B2344" s="108" t="s">
        <v>7782</v>
      </c>
      <c r="C2344" s="110" t="s">
        <v>5755</v>
      </c>
      <c r="D2344" s="111">
        <v>1173.69</v>
      </c>
    </row>
    <row r="2345" spans="1:4" ht="38.25" x14ac:dyDescent="0.25">
      <c r="A2345" s="106">
        <v>11588</v>
      </c>
      <c r="B2345" s="108" t="s">
        <v>7783</v>
      </c>
      <c r="C2345" s="110" t="s">
        <v>5755</v>
      </c>
      <c r="D2345" s="111">
        <v>1266.23</v>
      </c>
    </row>
    <row r="2346" spans="1:4" ht="38.25" x14ac:dyDescent="0.25">
      <c r="A2346" s="106">
        <v>34383</v>
      </c>
      <c r="B2346" s="108" t="s">
        <v>7784</v>
      </c>
      <c r="C2346" s="110" t="s">
        <v>5755</v>
      </c>
      <c r="D2346" s="111">
        <v>1392.94</v>
      </c>
    </row>
    <row r="2347" spans="1:4" ht="38.25" x14ac:dyDescent="0.25">
      <c r="A2347" s="106">
        <v>40451</v>
      </c>
      <c r="B2347" s="108" t="s">
        <v>7785</v>
      </c>
      <c r="C2347" s="110" t="s">
        <v>5757</v>
      </c>
      <c r="D2347" s="111">
        <v>112.6</v>
      </c>
    </row>
    <row r="2348" spans="1:4" ht="38.25" x14ac:dyDescent="0.25">
      <c r="A2348" s="106">
        <v>40453</v>
      </c>
      <c r="B2348" s="108" t="s">
        <v>7786</v>
      </c>
      <c r="C2348" s="110" t="s">
        <v>5757</v>
      </c>
      <c r="D2348" s="111">
        <v>121.83</v>
      </c>
    </row>
    <row r="2349" spans="1:4" ht="38.25" x14ac:dyDescent="0.25">
      <c r="A2349" s="106">
        <v>40452</v>
      </c>
      <c r="B2349" s="108" t="s">
        <v>7787</v>
      </c>
      <c r="C2349" s="110" t="s">
        <v>5757</v>
      </c>
      <c r="D2349" s="111">
        <v>133.63</v>
      </c>
    </row>
    <row r="2350" spans="1:4" ht="25.5" x14ac:dyDescent="0.25">
      <c r="A2350" s="106">
        <v>11594</v>
      </c>
      <c r="B2350" s="108" t="s">
        <v>7788</v>
      </c>
      <c r="C2350" s="110" t="s">
        <v>5755</v>
      </c>
      <c r="D2350" s="111">
        <v>403.58</v>
      </c>
    </row>
    <row r="2351" spans="1:4" ht="25.5" x14ac:dyDescent="0.25">
      <c r="A2351" s="106">
        <v>3311</v>
      </c>
      <c r="B2351" s="108" t="s">
        <v>7789</v>
      </c>
      <c r="C2351" s="110" t="s">
        <v>5902</v>
      </c>
      <c r="D2351" s="111">
        <v>403.58</v>
      </c>
    </row>
    <row r="2352" spans="1:4" ht="25.5" x14ac:dyDescent="0.25">
      <c r="A2352" s="106">
        <v>11599</v>
      </c>
      <c r="B2352" s="108" t="s">
        <v>7790</v>
      </c>
      <c r="C2352" s="110" t="s">
        <v>5755</v>
      </c>
      <c r="D2352" s="111">
        <v>536.72</v>
      </c>
    </row>
    <row r="2353" spans="1:4" ht="25.5" x14ac:dyDescent="0.25">
      <c r="A2353" s="106">
        <v>11593</v>
      </c>
      <c r="B2353" s="108" t="s">
        <v>7791</v>
      </c>
      <c r="C2353" s="110" t="s">
        <v>5755</v>
      </c>
      <c r="D2353" s="111">
        <v>752.44</v>
      </c>
    </row>
    <row r="2354" spans="1:4" ht="25.5" x14ac:dyDescent="0.25">
      <c r="A2354" s="106">
        <v>3314</v>
      </c>
      <c r="B2354" s="108" t="s">
        <v>7792</v>
      </c>
      <c r="C2354" s="110" t="s">
        <v>5902</v>
      </c>
      <c r="D2354" s="111">
        <v>538.15</v>
      </c>
    </row>
    <row r="2355" spans="1:4" ht="25.5" x14ac:dyDescent="0.25">
      <c r="A2355" s="106">
        <v>11597</v>
      </c>
      <c r="B2355" s="108" t="s">
        <v>7793</v>
      </c>
      <c r="C2355" s="110" t="s">
        <v>5755</v>
      </c>
      <c r="D2355" s="111">
        <v>625.79999999999995</v>
      </c>
    </row>
    <row r="2356" spans="1:4" ht="25.5" x14ac:dyDescent="0.25">
      <c r="A2356" s="106">
        <v>3309</v>
      </c>
      <c r="B2356" s="108" t="s">
        <v>7794</v>
      </c>
      <c r="C2356" s="110" t="s">
        <v>5902</v>
      </c>
      <c r="D2356" s="111">
        <v>427.37</v>
      </c>
    </row>
    <row r="2357" spans="1:4" ht="38.25" x14ac:dyDescent="0.25">
      <c r="A2357" s="106">
        <v>34612</v>
      </c>
      <c r="B2357" s="108" t="s">
        <v>7795</v>
      </c>
      <c r="C2357" s="110" t="s">
        <v>5755</v>
      </c>
      <c r="D2357" s="111">
        <v>774.01</v>
      </c>
    </row>
    <row r="2358" spans="1:4" ht="38.25" x14ac:dyDescent="0.25">
      <c r="A2358" s="106">
        <v>34635</v>
      </c>
      <c r="B2358" s="108" t="s">
        <v>7796</v>
      </c>
      <c r="C2358" s="110" t="s">
        <v>5755</v>
      </c>
      <c r="D2358" s="111">
        <v>995.34</v>
      </c>
    </row>
    <row r="2359" spans="1:4" ht="38.25" x14ac:dyDescent="0.25">
      <c r="A2359" s="106">
        <v>34633</v>
      </c>
      <c r="B2359" s="108" t="s">
        <v>7797</v>
      </c>
      <c r="C2359" s="110" t="s">
        <v>5755</v>
      </c>
      <c r="D2359" s="111">
        <v>1097.1300000000001</v>
      </c>
    </row>
    <row r="2360" spans="1:4" ht="38.25" x14ac:dyDescent="0.25">
      <c r="A2360" s="106">
        <v>40440</v>
      </c>
      <c r="B2360" s="108" t="s">
        <v>7798</v>
      </c>
      <c r="C2360" s="110" t="s">
        <v>5902</v>
      </c>
      <c r="D2360" s="111">
        <v>560.54</v>
      </c>
    </row>
    <row r="2361" spans="1:4" ht="38.25" x14ac:dyDescent="0.25">
      <c r="A2361" s="106">
        <v>40441</v>
      </c>
      <c r="B2361" s="108" t="s">
        <v>7799</v>
      </c>
      <c r="C2361" s="110" t="s">
        <v>5902</v>
      </c>
      <c r="D2361" s="111">
        <v>357.87</v>
      </c>
    </row>
    <row r="2362" spans="1:4" ht="38.25" x14ac:dyDescent="0.25">
      <c r="A2362" s="106">
        <v>40449</v>
      </c>
      <c r="B2362" s="108" t="s">
        <v>7800</v>
      </c>
      <c r="C2362" s="110" t="s">
        <v>5902</v>
      </c>
      <c r="D2362" s="111">
        <v>300.85000000000002</v>
      </c>
    </row>
    <row r="2363" spans="1:4" ht="38.25" x14ac:dyDescent="0.25">
      <c r="A2363" s="106">
        <v>34800</v>
      </c>
      <c r="B2363" s="108" t="s">
        <v>7801</v>
      </c>
      <c r="C2363" s="110" t="s">
        <v>5902</v>
      </c>
      <c r="D2363" s="111">
        <v>376.22</v>
      </c>
    </row>
    <row r="2364" spans="1:4" ht="25.5" x14ac:dyDescent="0.25">
      <c r="A2364" s="106">
        <v>11592</v>
      </c>
      <c r="B2364" s="108" t="s">
        <v>7802</v>
      </c>
      <c r="C2364" s="110" t="s">
        <v>5755</v>
      </c>
      <c r="D2364" s="111">
        <v>538.15</v>
      </c>
    </row>
    <row r="2365" spans="1:4" ht="25.5" x14ac:dyDescent="0.25">
      <c r="A2365" s="106">
        <v>40438</v>
      </c>
      <c r="B2365" s="108" t="s">
        <v>7803</v>
      </c>
      <c r="C2365" s="110" t="s">
        <v>5902</v>
      </c>
      <c r="D2365" s="111">
        <v>250.64</v>
      </c>
    </row>
    <row r="2366" spans="1:4" ht="25.5" x14ac:dyDescent="0.25">
      <c r="A2366" s="106">
        <v>40436</v>
      </c>
      <c r="B2366" s="108" t="s">
        <v>7804</v>
      </c>
      <c r="C2366" s="110" t="s">
        <v>5902</v>
      </c>
      <c r="D2366" s="111">
        <v>312.52999999999997</v>
      </c>
    </row>
    <row r="2367" spans="1:4" ht="38.25" x14ac:dyDescent="0.25">
      <c r="A2367" s="106">
        <v>4315</v>
      </c>
      <c r="B2367" s="108" t="s">
        <v>7805</v>
      </c>
      <c r="C2367" s="110" t="s">
        <v>5755</v>
      </c>
      <c r="D2367" s="111">
        <v>1.29</v>
      </c>
    </row>
    <row r="2368" spans="1:4" ht="25.5" x14ac:dyDescent="0.25">
      <c r="A2368" s="106">
        <v>42482</v>
      </c>
      <c r="B2368" s="108" t="s">
        <v>7806</v>
      </c>
      <c r="C2368" s="110" t="s">
        <v>5755</v>
      </c>
      <c r="D2368" s="111">
        <v>1.72</v>
      </c>
    </row>
    <row r="2369" spans="1:4" ht="25.5" x14ac:dyDescent="0.25">
      <c r="A2369" s="106">
        <v>402</v>
      </c>
      <c r="B2369" s="108" t="s">
        <v>7807</v>
      </c>
      <c r="C2369" s="110" t="s">
        <v>5755</v>
      </c>
      <c r="D2369" s="111">
        <v>9.0399999999999991</v>
      </c>
    </row>
    <row r="2370" spans="1:4" x14ac:dyDescent="0.25">
      <c r="A2370" s="106">
        <v>4226</v>
      </c>
      <c r="B2370" s="108" t="s">
        <v>7808</v>
      </c>
      <c r="C2370" s="110" t="s">
        <v>5816</v>
      </c>
      <c r="D2370" s="111">
        <v>7.37</v>
      </c>
    </row>
    <row r="2371" spans="1:4" x14ac:dyDescent="0.25">
      <c r="A2371" s="106">
        <v>4222</v>
      </c>
      <c r="B2371" s="108" t="s">
        <v>7809</v>
      </c>
      <c r="C2371" s="110" t="s">
        <v>5818</v>
      </c>
      <c r="D2371" s="111">
        <v>3.89</v>
      </c>
    </row>
    <row r="2372" spans="1:4" ht="38.25" x14ac:dyDescent="0.25">
      <c r="A2372" s="106">
        <v>34804</v>
      </c>
      <c r="B2372" s="108" t="s">
        <v>7810</v>
      </c>
      <c r="C2372" s="110" t="s">
        <v>5757</v>
      </c>
      <c r="D2372" s="111">
        <v>45.43</v>
      </c>
    </row>
    <row r="2373" spans="1:4" ht="25.5" x14ac:dyDescent="0.25">
      <c r="A2373" s="106">
        <v>4013</v>
      </c>
      <c r="B2373" s="108" t="s">
        <v>7811</v>
      </c>
      <c r="C2373" s="110" t="s">
        <v>5757</v>
      </c>
      <c r="D2373" s="111">
        <v>4.71</v>
      </c>
    </row>
    <row r="2374" spans="1:4" ht="25.5" x14ac:dyDescent="0.25">
      <c r="A2374" s="106">
        <v>4011</v>
      </c>
      <c r="B2374" s="108" t="s">
        <v>7812</v>
      </c>
      <c r="C2374" s="110" t="s">
        <v>5757</v>
      </c>
      <c r="D2374" s="111">
        <v>5.26</v>
      </c>
    </row>
    <row r="2375" spans="1:4" ht="25.5" x14ac:dyDescent="0.25">
      <c r="A2375" s="106">
        <v>4021</v>
      </c>
      <c r="B2375" s="108" t="s">
        <v>7813</v>
      </c>
      <c r="C2375" s="110" t="s">
        <v>5757</v>
      </c>
      <c r="D2375" s="111">
        <v>6.56</v>
      </c>
    </row>
    <row r="2376" spans="1:4" ht="25.5" x14ac:dyDescent="0.25">
      <c r="A2376" s="106">
        <v>4019</v>
      </c>
      <c r="B2376" s="108" t="s">
        <v>7814</v>
      </c>
      <c r="C2376" s="110" t="s">
        <v>5757</v>
      </c>
      <c r="D2376" s="111">
        <v>7.87</v>
      </c>
    </row>
    <row r="2377" spans="1:4" ht="25.5" x14ac:dyDescent="0.25">
      <c r="A2377" s="106">
        <v>4012</v>
      </c>
      <c r="B2377" s="108" t="s">
        <v>7815</v>
      </c>
      <c r="C2377" s="110" t="s">
        <v>5757</v>
      </c>
      <c r="D2377" s="111">
        <v>10.55</v>
      </c>
    </row>
    <row r="2378" spans="1:4" ht="25.5" x14ac:dyDescent="0.25">
      <c r="A2378" s="106">
        <v>4020</v>
      </c>
      <c r="B2378" s="108" t="s">
        <v>7816</v>
      </c>
      <c r="C2378" s="110" t="s">
        <v>5757</v>
      </c>
      <c r="D2378" s="111">
        <v>13.21</v>
      </c>
    </row>
    <row r="2379" spans="1:4" ht="25.5" x14ac:dyDescent="0.25">
      <c r="A2379" s="106">
        <v>4018</v>
      </c>
      <c r="B2379" s="108" t="s">
        <v>7817</v>
      </c>
      <c r="C2379" s="110" t="s">
        <v>5757</v>
      </c>
      <c r="D2379" s="111">
        <v>15.82</v>
      </c>
    </row>
    <row r="2380" spans="1:4" ht="25.5" x14ac:dyDescent="0.25">
      <c r="A2380" s="106">
        <v>36498</v>
      </c>
      <c r="B2380" s="108" t="s">
        <v>7818</v>
      </c>
      <c r="C2380" s="110" t="s">
        <v>5755</v>
      </c>
      <c r="D2380" s="111">
        <v>5282.42</v>
      </c>
    </row>
    <row r="2381" spans="1:4" x14ac:dyDescent="0.25">
      <c r="A2381" s="106">
        <v>12872</v>
      </c>
      <c r="B2381" s="108" t="s">
        <v>7819</v>
      </c>
      <c r="C2381" s="110" t="s">
        <v>5759</v>
      </c>
      <c r="D2381" s="111">
        <v>12.79</v>
      </c>
    </row>
    <row r="2382" spans="1:4" x14ac:dyDescent="0.25">
      <c r="A2382" s="106">
        <v>41075</v>
      </c>
      <c r="B2382" s="108" t="s">
        <v>7820</v>
      </c>
      <c r="C2382" s="110" t="s">
        <v>5906</v>
      </c>
      <c r="D2382" s="111">
        <v>2266.4299999999998</v>
      </c>
    </row>
    <row r="2383" spans="1:4" x14ac:dyDescent="0.25">
      <c r="A2383" s="106">
        <v>3315</v>
      </c>
      <c r="B2383" s="108" t="s">
        <v>7821</v>
      </c>
      <c r="C2383" s="110" t="s">
        <v>5816</v>
      </c>
      <c r="D2383" s="111">
        <v>0.57999999999999996</v>
      </c>
    </row>
    <row r="2384" spans="1:4" x14ac:dyDescent="0.25">
      <c r="A2384" s="106">
        <v>36870</v>
      </c>
      <c r="B2384" s="108" t="s">
        <v>7822</v>
      </c>
      <c r="C2384" s="110" t="s">
        <v>5816</v>
      </c>
      <c r="D2384" s="111">
        <v>0.56999999999999995</v>
      </c>
    </row>
    <row r="2385" spans="1:4" ht="25.5" x14ac:dyDescent="0.25">
      <c r="A2385" s="106">
        <v>5092</v>
      </c>
      <c r="B2385" s="108" t="s">
        <v>7823</v>
      </c>
      <c r="C2385" s="110" t="s">
        <v>6130</v>
      </c>
      <c r="D2385" s="111">
        <v>14.55</v>
      </c>
    </row>
    <row r="2386" spans="1:4" ht="25.5" x14ac:dyDescent="0.25">
      <c r="A2386" s="106">
        <v>11462</v>
      </c>
      <c r="B2386" s="108" t="s">
        <v>7824</v>
      </c>
      <c r="C2386" s="110" t="s">
        <v>6130</v>
      </c>
      <c r="D2386" s="111">
        <v>14.87</v>
      </c>
    </row>
    <row r="2387" spans="1:4" ht="25.5" x14ac:dyDescent="0.25">
      <c r="A2387" s="106">
        <v>36529</v>
      </c>
      <c r="B2387" s="108" t="s">
        <v>7825</v>
      </c>
      <c r="C2387" s="110" t="s">
        <v>5755</v>
      </c>
      <c r="D2387" s="111">
        <v>33907.050000000003</v>
      </c>
    </row>
    <row r="2388" spans="1:4" ht="25.5" x14ac:dyDescent="0.25">
      <c r="A2388" s="106">
        <v>3318</v>
      </c>
      <c r="B2388" s="108" t="s">
        <v>7826</v>
      </c>
      <c r="C2388" s="110" t="s">
        <v>5755</v>
      </c>
      <c r="D2388" s="111">
        <v>26583.13</v>
      </c>
    </row>
    <row r="2389" spans="1:4" x14ac:dyDescent="0.25">
      <c r="A2389" s="106">
        <v>3324</v>
      </c>
      <c r="B2389" s="108" t="s">
        <v>7827</v>
      </c>
      <c r="C2389" s="110" t="s">
        <v>5757</v>
      </c>
      <c r="D2389" s="111">
        <v>5.71</v>
      </c>
    </row>
    <row r="2390" spans="1:4" ht="25.5" x14ac:dyDescent="0.25">
      <c r="A2390" s="106">
        <v>3322</v>
      </c>
      <c r="B2390" s="108" t="s">
        <v>7828</v>
      </c>
      <c r="C2390" s="110" t="s">
        <v>5757</v>
      </c>
      <c r="D2390" s="111">
        <v>8</v>
      </c>
    </row>
    <row r="2391" spans="1:4" x14ac:dyDescent="0.25">
      <c r="A2391" s="106">
        <v>5076</v>
      </c>
      <c r="B2391" s="108" t="s">
        <v>7829</v>
      </c>
      <c r="C2391" s="110" t="s">
        <v>5816</v>
      </c>
      <c r="D2391" s="111">
        <v>11.29</v>
      </c>
    </row>
    <row r="2392" spans="1:4" x14ac:dyDescent="0.25">
      <c r="A2392" s="106">
        <v>5077</v>
      </c>
      <c r="B2392" s="108" t="s">
        <v>7830</v>
      </c>
      <c r="C2392" s="110" t="s">
        <v>5816</v>
      </c>
      <c r="D2392" s="111">
        <v>12.48</v>
      </c>
    </row>
    <row r="2393" spans="1:4" ht="38.25" x14ac:dyDescent="0.25">
      <c r="A2393" s="106">
        <v>11837</v>
      </c>
      <c r="B2393" s="108" t="s">
        <v>7831</v>
      </c>
      <c r="C2393" s="110" t="s">
        <v>5755</v>
      </c>
      <c r="D2393" s="111">
        <v>36.479999999999997</v>
      </c>
    </row>
    <row r="2394" spans="1:4" ht="25.5" x14ac:dyDescent="0.25">
      <c r="A2394" s="106">
        <v>38055</v>
      </c>
      <c r="B2394" s="108" t="s">
        <v>7832</v>
      </c>
      <c r="C2394" s="110" t="s">
        <v>5755</v>
      </c>
      <c r="D2394" s="111">
        <v>3.31</v>
      </c>
    </row>
    <row r="2395" spans="1:4" ht="25.5" x14ac:dyDescent="0.25">
      <c r="A2395" s="106">
        <v>415</v>
      </c>
      <c r="B2395" s="108" t="s">
        <v>7833</v>
      </c>
      <c r="C2395" s="110" t="s">
        <v>5755</v>
      </c>
      <c r="D2395" s="111">
        <v>14.96</v>
      </c>
    </row>
    <row r="2396" spans="1:4" ht="25.5" x14ac:dyDescent="0.25">
      <c r="A2396" s="106">
        <v>416</v>
      </c>
      <c r="B2396" s="108" t="s">
        <v>7834</v>
      </c>
      <c r="C2396" s="110" t="s">
        <v>5755</v>
      </c>
      <c r="D2396" s="111">
        <v>5.47</v>
      </c>
    </row>
    <row r="2397" spans="1:4" ht="25.5" x14ac:dyDescent="0.25">
      <c r="A2397" s="106">
        <v>425</v>
      </c>
      <c r="B2397" s="108" t="s">
        <v>7835</v>
      </c>
      <c r="C2397" s="110" t="s">
        <v>5755</v>
      </c>
      <c r="D2397" s="111">
        <v>3.39</v>
      </c>
    </row>
    <row r="2398" spans="1:4" ht="25.5" x14ac:dyDescent="0.25">
      <c r="A2398" s="106">
        <v>426</v>
      </c>
      <c r="B2398" s="108" t="s">
        <v>7836</v>
      </c>
      <c r="C2398" s="110" t="s">
        <v>5755</v>
      </c>
      <c r="D2398" s="111">
        <v>18.690000000000001</v>
      </c>
    </row>
    <row r="2399" spans="1:4" ht="25.5" x14ac:dyDescent="0.25">
      <c r="A2399" s="106">
        <v>38056</v>
      </c>
      <c r="B2399" s="108" t="s">
        <v>7837</v>
      </c>
      <c r="C2399" s="110" t="s">
        <v>5755</v>
      </c>
      <c r="D2399" s="111">
        <v>18.260000000000002</v>
      </c>
    </row>
    <row r="2400" spans="1:4" ht="25.5" x14ac:dyDescent="0.25">
      <c r="A2400" s="106">
        <v>1564</v>
      </c>
      <c r="B2400" s="108" t="s">
        <v>7838</v>
      </c>
      <c r="C2400" s="110" t="s">
        <v>5755</v>
      </c>
      <c r="D2400" s="111">
        <v>6.96</v>
      </c>
    </row>
    <row r="2401" spans="1:4" x14ac:dyDescent="0.25">
      <c r="A2401" s="106">
        <v>11032</v>
      </c>
      <c r="B2401" s="108" t="s">
        <v>7839</v>
      </c>
      <c r="C2401" s="110" t="s">
        <v>5755</v>
      </c>
      <c r="D2401" s="111">
        <v>7.27</v>
      </c>
    </row>
    <row r="2402" spans="1:4" ht="25.5" x14ac:dyDescent="0.25">
      <c r="A2402" s="106">
        <v>36786</v>
      </c>
      <c r="B2402" s="108" t="s">
        <v>7840</v>
      </c>
      <c r="C2402" s="110" t="s">
        <v>7841</v>
      </c>
      <c r="D2402" s="111">
        <v>128.38999999999999</v>
      </c>
    </row>
    <row r="2403" spans="1:4" ht="25.5" x14ac:dyDescent="0.25">
      <c r="A2403" s="106">
        <v>36785</v>
      </c>
      <c r="B2403" s="108" t="s">
        <v>7842</v>
      </c>
      <c r="C2403" s="110" t="s">
        <v>7841</v>
      </c>
      <c r="D2403" s="111">
        <v>111.57</v>
      </c>
    </row>
    <row r="2404" spans="1:4" ht="25.5" x14ac:dyDescent="0.25">
      <c r="A2404" s="106">
        <v>36782</v>
      </c>
      <c r="B2404" s="108" t="s">
        <v>7843</v>
      </c>
      <c r="C2404" s="110" t="s">
        <v>7841</v>
      </c>
      <c r="D2404" s="111">
        <v>133.16999999999999</v>
      </c>
    </row>
    <row r="2405" spans="1:4" ht="25.5" x14ac:dyDescent="0.25">
      <c r="A2405" s="106">
        <v>25930</v>
      </c>
      <c r="B2405" s="108" t="s">
        <v>7844</v>
      </c>
      <c r="C2405" s="110" t="s">
        <v>7841</v>
      </c>
      <c r="D2405" s="111">
        <v>150</v>
      </c>
    </row>
    <row r="2406" spans="1:4" ht="25.5" x14ac:dyDescent="0.25">
      <c r="A2406" s="106">
        <v>4824</v>
      </c>
      <c r="B2406" s="108" t="s">
        <v>7845</v>
      </c>
      <c r="C2406" s="110" t="s">
        <v>5816</v>
      </c>
      <c r="D2406" s="111">
        <v>0.49</v>
      </c>
    </row>
    <row r="2407" spans="1:4" ht="25.5" x14ac:dyDescent="0.25">
      <c r="A2407" s="106">
        <v>11795</v>
      </c>
      <c r="B2407" s="108" t="s">
        <v>7846</v>
      </c>
      <c r="C2407" s="110" t="s">
        <v>5757</v>
      </c>
      <c r="D2407" s="111">
        <v>543.39</v>
      </c>
    </row>
    <row r="2408" spans="1:4" x14ac:dyDescent="0.25">
      <c r="A2408" s="106">
        <v>134</v>
      </c>
      <c r="B2408" s="108" t="s">
        <v>7847</v>
      </c>
      <c r="C2408" s="110" t="s">
        <v>5816</v>
      </c>
      <c r="D2408" s="111">
        <v>1.18</v>
      </c>
    </row>
    <row r="2409" spans="1:4" x14ac:dyDescent="0.25">
      <c r="A2409" s="106">
        <v>4229</v>
      </c>
      <c r="B2409" s="108" t="s">
        <v>7848</v>
      </c>
      <c r="C2409" s="110" t="s">
        <v>5816</v>
      </c>
      <c r="D2409" s="111">
        <v>20.010000000000002</v>
      </c>
    </row>
    <row r="2410" spans="1:4" ht="25.5" x14ac:dyDescent="0.25">
      <c r="A2410" s="106">
        <v>11244</v>
      </c>
      <c r="B2410" s="108" t="s">
        <v>7849</v>
      </c>
      <c r="C2410" s="110" t="s">
        <v>5755</v>
      </c>
      <c r="D2410" s="111">
        <v>179.92</v>
      </c>
    </row>
    <row r="2411" spans="1:4" ht="25.5" x14ac:dyDescent="0.25">
      <c r="A2411" s="106">
        <v>11245</v>
      </c>
      <c r="B2411" s="108" t="s">
        <v>7850</v>
      </c>
      <c r="C2411" s="110" t="s">
        <v>5755</v>
      </c>
      <c r="D2411" s="111">
        <v>248.86</v>
      </c>
    </row>
    <row r="2412" spans="1:4" ht="25.5" x14ac:dyDescent="0.25">
      <c r="A2412" s="106">
        <v>11235</v>
      </c>
      <c r="B2412" s="108" t="s">
        <v>7851</v>
      </c>
      <c r="C2412" s="110" t="s">
        <v>5755</v>
      </c>
      <c r="D2412" s="111">
        <v>137.30000000000001</v>
      </c>
    </row>
    <row r="2413" spans="1:4" ht="25.5" x14ac:dyDescent="0.25">
      <c r="A2413" s="106">
        <v>11236</v>
      </c>
      <c r="B2413" s="108" t="s">
        <v>7852</v>
      </c>
      <c r="C2413" s="110" t="s">
        <v>5755</v>
      </c>
      <c r="D2413" s="111">
        <v>174.48</v>
      </c>
    </row>
    <row r="2414" spans="1:4" x14ac:dyDescent="0.25">
      <c r="A2414" s="106">
        <v>11731</v>
      </c>
      <c r="B2414" s="108" t="s">
        <v>7853</v>
      </c>
      <c r="C2414" s="110" t="s">
        <v>5755</v>
      </c>
      <c r="D2414" s="111">
        <v>4.3499999999999996</v>
      </c>
    </row>
    <row r="2415" spans="1:4" x14ac:dyDescent="0.25">
      <c r="A2415" s="106">
        <v>11732</v>
      </c>
      <c r="B2415" s="108" t="s">
        <v>7854</v>
      </c>
      <c r="C2415" s="110" t="s">
        <v>5755</v>
      </c>
      <c r="D2415" s="111">
        <v>22.09</v>
      </c>
    </row>
    <row r="2416" spans="1:4" ht="25.5" x14ac:dyDescent="0.25">
      <c r="A2416" s="106">
        <v>36494</v>
      </c>
      <c r="B2416" s="108" t="s">
        <v>7855</v>
      </c>
      <c r="C2416" s="110" t="s">
        <v>5755</v>
      </c>
      <c r="D2416" s="111">
        <v>377809.08</v>
      </c>
    </row>
    <row r="2417" spans="1:4" ht="25.5" x14ac:dyDescent="0.25">
      <c r="A2417" s="106">
        <v>36493</v>
      </c>
      <c r="B2417" s="108" t="s">
        <v>7856</v>
      </c>
      <c r="C2417" s="110" t="s">
        <v>5755</v>
      </c>
      <c r="D2417" s="111">
        <v>428042.35</v>
      </c>
    </row>
    <row r="2418" spans="1:4" ht="25.5" x14ac:dyDescent="0.25">
      <c r="A2418" s="106">
        <v>36492</v>
      </c>
      <c r="B2418" s="108" t="s">
        <v>7857</v>
      </c>
      <c r="C2418" s="110" t="s">
        <v>5755</v>
      </c>
      <c r="D2418" s="111">
        <v>795140.35</v>
      </c>
    </row>
    <row r="2419" spans="1:4" ht="25.5" x14ac:dyDescent="0.25">
      <c r="A2419" s="106">
        <v>13333</v>
      </c>
      <c r="B2419" s="108" t="s">
        <v>7858</v>
      </c>
      <c r="C2419" s="110" t="s">
        <v>5755</v>
      </c>
      <c r="D2419" s="111">
        <v>146282.53</v>
      </c>
    </row>
    <row r="2420" spans="1:4" ht="25.5" x14ac:dyDescent="0.25">
      <c r="A2420" s="106">
        <v>13533</v>
      </c>
      <c r="B2420" s="108" t="s">
        <v>7859</v>
      </c>
      <c r="C2420" s="110" t="s">
        <v>5755</v>
      </c>
      <c r="D2420" s="111">
        <v>130760.33</v>
      </c>
    </row>
    <row r="2421" spans="1:4" ht="25.5" x14ac:dyDescent="0.25">
      <c r="A2421" s="106">
        <v>36499</v>
      </c>
      <c r="B2421" s="108" t="s">
        <v>7860</v>
      </c>
      <c r="C2421" s="110" t="s">
        <v>5755</v>
      </c>
      <c r="D2421" s="111">
        <v>2852.51</v>
      </c>
    </row>
    <row r="2422" spans="1:4" ht="25.5" x14ac:dyDescent="0.25">
      <c r="A2422" s="106">
        <v>39585</v>
      </c>
      <c r="B2422" s="108" t="s">
        <v>7861</v>
      </c>
      <c r="C2422" s="110" t="s">
        <v>5755</v>
      </c>
      <c r="D2422" s="111">
        <v>94454.63</v>
      </c>
    </row>
    <row r="2423" spans="1:4" ht="25.5" x14ac:dyDescent="0.25">
      <c r="A2423" s="106">
        <v>39586</v>
      </c>
      <c r="B2423" s="108" t="s">
        <v>7862</v>
      </c>
      <c r="C2423" s="110" t="s">
        <v>5755</v>
      </c>
      <c r="D2423" s="111">
        <v>110788.88</v>
      </c>
    </row>
    <row r="2424" spans="1:4" ht="25.5" x14ac:dyDescent="0.25">
      <c r="A2424" s="106">
        <v>39587</v>
      </c>
      <c r="B2424" s="108" t="s">
        <v>7863</v>
      </c>
      <c r="C2424" s="110" t="s">
        <v>5755</v>
      </c>
      <c r="D2424" s="111">
        <v>134935.18</v>
      </c>
    </row>
    <row r="2425" spans="1:4" ht="25.5" x14ac:dyDescent="0.25">
      <c r="A2425" s="106">
        <v>39588</v>
      </c>
      <c r="B2425" s="108" t="s">
        <v>7864</v>
      </c>
      <c r="C2425" s="110" t="s">
        <v>5755</v>
      </c>
      <c r="D2425" s="111">
        <v>156240.73000000001</v>
      </c>
    </row>
    <row r="2426" spans="1:4" ht="25.5" x14ac:dyDescent="0.25">
      <c r="A2426" s="106">
        <v>39584</v>
      </c>
      <c r="B2426" s="108" t="s">
        <v>7865</v>
      </c>
      <c r="C2426" s="110" t="s">
        <v>5755</v>
      </c>
      <c r="D2426" s="111">
        <v>84114.33</v>
      </c>
    </row>
    <row r="2427" spans="1:4" ht="25.5" x14ac:dyDescent="0.25">
      <c r="A2427" s="106">
        <v>39590</v>
      </c>
      <c r="B2427" s="108" t="s">
        <v>7866</v>
      </c>
      <c r="C2427" s="110" t="s">
        <v>5755</v>
      </c>
      <c r="D2427" s="111">
        <v>82097.399999999994</v>
      </c>
    </row>
    <row r="2428" spans="1:4" ht="25.5" x14ac:dyDescent="0.25">
      <c r="A2428" s="106">
        <v>39592</v>
      </c>
      <c r="B2428" s="108" t="s">
        <v>7867</v>
      </c>
      <c r="C2428" s="110" t="s">
        <v>5755</v>
      </c>
      <c r="D2428" s="111">
        <v>117975.95</v>
      </c>
    </row>
    <row r="2429" spans="1:4" ht="25.5" x14ac:dyDescent="0.25">
      <c r="A2429" s="106">
        <v>39593</v>
      </c>
      <c r="B2429" s="108" t="s">
        <v>7868</v>
      </c>
      <c r="C2429" s="110" t="s">
        <v>5755</v>
      </c>
      <c r="D2429" s="111">
        <v>134935.18</v>
      </c>
    </row>
    <row r="2430" spans="1:4" ht="25.5" x14ac:dyDescent="0.25">
      <c r="A2430" s="106">
        <v>14254</v>
      </c>
      <c r="B2430" s="108" t="s">
        <v>7869</v>
      </c>
      <c r="C2430" s="110" t="s">
        <v>5755</v>
      </c>
      <c r="D2430" s="111">
        <v>76700</v>
      </c>
    </row>
    <row r="2431" spans="1:4" ht="25.5" x14ac:dyDescent="0.25">
      <c r="A2431" s="106">
        <v>25987</v>
      </c>
      <c r="B2431" s="108" t="s">
        <v>7870</v>
      </c>
      <c r="C2431" s="110" t="s">
        <v>5755</v>
      </c>
      <c r="D2431" s="111">
        <v>64050.62</v>
      </c>
    </row>
    <row r="2432" spans="1:4" x14ac:dyDescent="0.25">
      <c r="A2432" s="106">
        <v>25019</v>
      </c>
      <c r="B2432" s="108" t="s">
        <v>7871</v>
      </c>
      <c r="C2432" s="110" t="s">
        <v>5755</v>
      </c>
      <c r="D2432" s="111">
        <v>109789.92</v>
      </c>
    </row>
    <row r="2433" spans="1:4" x14ac:dyDescent="0.25">
      <c r="A2433" s="106">
        <v>36501</v>
      </c>
      <c r="B2433" s="108" t="s">
        <v>7872</v>
      </c>
      <c r="C2433" s="110" t="s">
        <v>5755</v>
      </c>
      <c r="D2433" s="111">
        <v>97750.86</v>
      </c>
    </row>
    <row r="2434" spans="1:4" ht="25.5" x14ac:dyDescent="0.25">
      <c r="A2434" s="106">
        <v>25986</v>
      </c>
      <c r="B2434" s="108" t="s">
        <v>7873</v>
      </c>
      <c r="C2434" s="110" t="s">
        <v>5755</v>
      </c>
      <c r="D2434" s="111">
        <v>117515.26</v>
      </c>
    </row>
    <row r="2435" spans="1:4" x14ac:dyDescent="0.25">
      <c r="A2435" s="106">
        <v>36500</v>
      </c>
      <c r="B2435" s="108" t="s">
        <v>7874</v>
      </c>
      <c r="C2435" s="110" t="s">
        <v>5755</v>
      </c>
      <c r="D2435" s="111">
        <v>69077.86</v>
      </c>
    </row>
    <row r="2436" spans="1:4" ht="38.25" x14ac:dyDescent="0.25">
      <c r="A2436" s="106">
        <v>20017</v>
      </c>
      <c r="B2436" s="108" t="s">
        <v>7875</v>
      </c>
      <c r="C2436" s="110" t="s">
        <v>5767</v>
      </c>
      <c r="D2436" s="111">
        <v>3.31</v>
      </c>
    </row>
    <row r="2437" spans="1:4" ht="25.5" x14ac:dyDescent="0.25">
      <c r="A2437" s="106">
        <v>20007</v>
      </c>
      <c r="B2437" s="108" t="s">
        <v>7876</v>
      </c>
      <c r="C2437" s="110" t="s">
        <v>5767</v>
      </c>
      <c r="D2437" s="111">
        <v>2.54</v>
      </c>
    </row>
    <row r="2438" spans="1:4" ht="38.25" x14ac:dyDescent="0.25">
      <c r="A2438" s="106">
        <v>39836</v>
      </c>
      <c r="B2438" s="108" t="s">
        <v>7877</v>
      </c>
      <c r="C2438" s="110" t="s">
        <v>6162</v>
      </c>
      <c r="D2438" s="111">
        <v>153.94999999999999</v>
      </c>
    </row>
    <row r="2439" spans="1:4" ht="25.5" x14ac:dyDescent="0.25">
      <c r="A2439" s="106">
        <v>39830</v>
      </c>
      <c r="B2439" s="108" t="s">
        <v>7878</v>
      </c>
      <c r="C2439" s="110" t="s">
        <v>6162</v>
      </c>
      <c r="D2439" s="111">
        <v>175.58</v>
      </c>
    </row>
    <row r="2440" spans="1:4" ht="25.5" x14ac:dyDescent="0.25">
      <c r="A2440" s="106">
        <v>39831</v>
      </c>
      <c r="B2440" s="108" t="s">
        <v>7879</v>
      </c>
      <c r="C2440" s="110" t="s">
        <v>6162</v>
      </c>
      <c r="D2440" s="111">
        <v>175.21</v>
      </c>
    </row>
    <row r="2441" spans="1:4" ht="25.5" x14ac:dyDescent="0.25">
      <c r="A2441" s="106">
        <v>36888</v>
      </c>
      <c r="B2441" s="108" t="s">
        <v>7880</v>
      </c>
      <c r="C2441" s="110" t="s">
        <v>5767</v>
      </c>
      <c r="D2441" s="111">
        <v>7.6</v>
      </c>
    </row>
    <row r="2442" spans="1:4" ht="25.5" x14ac:dyDescent="0.25">
      <c r="A2442" s="106">
        <v>40527</v>
      </c>
      <c r="B2442" s="108" t="s">
        <v>7881</v>
      </c>
      <c r="C2442" s="110" t="s">
        <v>5755</v>
      </c>
      <c r="D2442" s="111">
        <v>2115.59</v>
      </c>
    </row>
    <row r="2443" spans="1:4" ht="25.5" x14ac:dyDescent="0.25">
      <c r="A2443" s="106">
        <v>36497</v>
      </c>
      <c r="B2443" s="108" t="s">
        <v>7882</v>
      </c>
      <c r="C2443" s="110" t="s">
        <v>5755</v>
      </c>
      <c r="D2443" s="111">
        <v>2415.17</v>
      </c>
    </row>
    <row r="2444" spans="1:4" ht="25.5" x14ac:dyDescent="0.25">
      <c r="A2444" s="106">
        <v>36487</v>
      </c>
      <c r="B2444" s="108" t="s">
        <v>7883</v>
      </c>
      <c r="C2444" s="110" t="s">
        <v>5755</v>
      </c>
      <c r="D2444" s="111">
        <v>4205.1899999999996</v>
      </c>
    </row>
    <row r="2445" spans="1:4" ht="25.5" x14ac:dyDescent="0.25">
      <c r="A2445" s="106">
        <v>25952</v>
      </c>
      <c r="B2445" s="108" t="s">
        <v>7884</v>
      </c>
      <c r="C2445" s="110" t="s">
        <v>5755</v>
      </c>
      <c r="D2445" s="111">
        <v>660657.27</v>
      </c>
    </row>
    <row r="2446" spans="1:4" ht="25.5" x14ac:dyDescent="0.25">
      <c r="A2446" s="106">
        <v>25954</v>
      </c>
      <c r="B2446" s="108" t="s">
        <v>7885</v>
      </c>
      <c r="C2446" s="110" t="s">
        <v>5755</v>
      </c>
      <c r="D2446" s="111">
        <v>1270494.75</v>
      </c>
    </row>
    <row r="2447" spans="1:4" ht="25.5" x14ac:dyDescent="0.25">
      <c r="A2447" s="106">
        <v>25953</v>
      </c>
      <c r="B2447" s="108" t="s">
        <v>7886</v>
      </c>
      <c r="C2447" s="110" t="s">
        <v>5755</v>
      </c>
      <c r="D2447" s="111">
        <v>2159841.08</v>
      </c>
    </row>
    <row r="2448" spans="1:4" ht="51" x14ac:dyDescent="0.25">
      <c r="A2448" s="106">
        <v>37776</v>
      </c>
      <c r="B2448" s="108" t="s">
        <v>7887</v>
      </c>
      <c r="C2448" s="110" t="s">
        <v>5755</v>
      </c>
      <c r="D2448" s="111">
        <v>132370.65</v>
      </c>
    </row>
    <row r="2449" spans="1:4" ht="51" x14ac:dyDescent="0.25">
      <c r="A2449" s="106">
        <v>37775</v>
      </c>
      <c r="B2449" s="108" t="s">
        <v>7888</v>
      </c>
      <c r="C2449" s="110" t="s">
        <v>5755</v>
      </c>
      <c r="D2449" s="111">
        <v>208493.79</v>
      </c>
    </row>
    <row r="2450" spans="1:4" ht="51" x14ac:dyDescent="0.25">
      <c r="A2450" s="106">
        <v>36491</v>
      </c>
      <c r="B2450" s="108" t="s">
        <v>7889</v>
      </c>
      <c r="C2450" s="110" t="s">
        <v>5755</v>
      </c>
      <c r="D2450" s="111">
        <v>772114.39</v>
      </c>
    </row>
    <row r="2451" spans="1:4" ht="51" x14ac:dyDescent="0.25">
      <c r="A2451" s="106">
        <v>10712</v>
      </c>
      <c r="B2451" s="108" t="s">
        <v>7890</v>
      </c>
      <c r="C2451" s="110" t="s">
        <v>5755</v>
      </c>
      <c r="D2451" s="111">
        <v>52123.44</v>
      </c>
    </row>
    <row r="2452" spans="1:4" ht="51" x14ac:dyDescent="0.25">
      <c r="A2452" s="106">
        <v>3363</v>
      </c>
      <c r="B2452" s="108" t="s">
        <v>7891</v>
      </c>
      <c r="C2452" s="110" t="s">
        <v>5755</v>
      </c>
      <c r="D2452" s="111">
        <v>73316.5</v>
      </c>
    </row>
    <row r="2453" spans="1:4" ht="51" x14ac:dyDescent="0.25">
      <c r="A2453" s="106">
        <v>3365</v>
      </c>
      <c r="B2453" s="108" t="s">
        <v>7892</v>
      </c>
      <c r="C2453" s="110" t="s">
        <v>5755</v>
      </c>
      <c r="D2453" s="111">
        <v>171377.31</v>
      </c>
    </row>
    <row r="2454" spans="1:4" x14ac:dyDescent="0.25">
      <c r="A2454" s="106">
        <v>7569</v>
      </c>
      <c r="B2454" s="108" t="s">
        <v>7893</v>
      </c>
      <c r="C2454" s="110" t="s">
        <v>5755</v>
      </c>
      <c r="D2454" s="111">
        <v>42.25</v>
      </c>
    </row>
    <row r="2455" spans="1:4" x14ac:dyDescent="0.25">
      <c r="A2455" s="106">
        <v>34349</v>
      </c>
      <c r="B2455" s="108" t="s">
        <v>7894</v>
      </c>
      <c r="C2455" s="110" t="s">
        <v>5755</v>
      </c>
      <c r="D2455" s="111">
        <v>16.920000000000002</v>
      </c>
    </row>
    <row r="2456" spans="1:4" ht="25.5" x14ac:dyDescent="0.25">
      <c r="A2456" s="106">
        <v>11991</v>
      </c>
      <c r="B2456" s="108" t="s">
        <v>7895</v>
      </c>
      <c r="C2456" s="110" t="s">
        <v>5755</v>
      </c>
      <c r="D2456" s="111">
        <v>41.55</v>
      </c>
    </row>
    <row r="2457" spans="1:4" ht="25.5" x14ac:dyDescent="0.25">
      <c r="A2457" s="106">
        <v>20062</v>
      </c>
      <c r="B2457" s="108" t="s">
        <v>7896</v>
      </c>
      <c r="C2457" s="110" t="s">
        <v>5755</v>
      </c>
      <c r="D2457" s="111">
        <v>11.43</v>
      </c>
    </row>
    <row r="2458" spans="1:4" ht="38.25" x14ac:dyDescent="0.25">
      <c r="A2458" s="106">
        <v>11029</v>
      </c>
      <c r="B2458" s="108" t="s">
        <v>438</v>
      </c>
      <c r="C2458" s="110" t="s">
        <v>7020</v>
      </c>
      <c r="D2458" s="111">
        <v>1.1100000000000001</v>
      </c>
    </row>
    <row r="2459" spans="1:4" ht="38.25" x14ac:dyDescent="0.25">
      <c r="A2459" s="106">
        <v>4316</v>
      </c>
      <c r="B2459" s="108" t="s">
        <v>7897</v>
      </c>
      <c r="C2459" s="110" t="s">
        <v>5755</v>
      </c>
      <c r="D2459" s="111">
        <v>1.1200000000000001</v>
      </c>
    </row>
    <row r="2460" spans="1:4" ht="38.25" x14ac:dyDescent="0.25">
      <c r="A2460" s="106">
        <v>4313</v>
      </c>
      <c r="B2460" s="108" t="s">
        <v>7898</v>
      </c>
      <c r="C2460" s="110" t="s">
        <v>7020</v>
      </c>
      <c r="D2460" s="111">
        <v>1.61</v>
      </c>
    </row>
    <row r="2461" spans="1:4" ht="38.25" x14ac:dyDescent="0.25">
      <c r="A2461" s="106">
        <v>4317</v>
      </c>
      <c r="B2461" s="108" t="s">
        <v>7899</v>
      </c>
      <c r="C2461" s="110" t="s">
        <v>5755</v>
      </c>
      <c r="D2461" s="111">
        <v>1.84</v>
      </c>
    </row>
    <row r="2462" spans="1:4" ht="38.25" x14ac:dyDescent="0.25">
      <c r="A2462" s="106">
        <v>4314</v>
      </c>
      <c r="B2462" s="108" t="s">
        <v>7900</v>
      </c>
      <c r="C2462" s="110" t="s">
        <v>7020</v>
      </c>
      <c r="D2462" s="111">
        <v>2.15</v>
      </c>
    </row>
    <row r="2463" spans="1:4" x14ac:dyDescent="0.25">
      <c r="A2463" s="106">
        <v>10561</v>
      </c>
      <c r="B2463" s="108" t="s">
        <v>7901</v>
      </c>
      <c r="C2463" s="110" t="s">
        <v>5816</v>
      </c>
      <c r="D2463" s="111">
        <v>0.48</v>
      </c>
    </row>
    <row r="2464" spans="1:4" ht="38.25" x14ac:dyDescent="0.25">
      <c r="A2464" s="106">
        <v>10921</v>
      </c>
      <c r="B2464" s="108" t="s">
        <v>7902</v>
      </c>
      <c r="C2464" s="110" t="s">
        <v>5755</v>
      </c>
      <c r="D2464" s="111">
        <v>3306.55</v>
      </c>
    </row>
    <row r="2465" spans="1:4" ht="38.25" x14ac:dyDescent="0.25">
      <c r="A2465" s="106">
        <v>10922</v>
      </c>
      <c r="B2465" s="108" t="s">
        <v>7903</v>
      </c>
      <c r="C2465" s="110" t="s">
        <v>5755</v>
      </c>
      <c r="D2465" s="111">
        <v>2994.99</v>
      </c>
    </row>
    <row r="2466" spans="1:4" ht="25.5" x14ac:dyDescent="0.25">
      <c r="A2466" s="106">
        <v>10923</v>
      </c>
      <c r="B2466" s="108" t="s">
        <v>7904</v>
      </c>
      <c r="C2466" s="110" t="s">
        <v>5755</v>
      </c>
      <c r="D2466" s="111">
        <v>1770.16</v>
      </c>
    </row>
    <row r="2467" spans="1:4" ht="25.5" x14ac:dyDescent="0.25">
      <c r="A2467" s="106">
        <v>10924</v>
      </c>
      <c r="B2467" s="108" t="s">
        <v>7905</v>
      </c>
      <c r="C2467" s="110" t="s">
        <v>5755</v>
      </c>
      <c r="D2467" s="111">
        <v>1864.33</v>
      </c>
    </row>
    <row r="2468" spans="1:4" ht="38.25" x14ac:dyDescent="0.25">
      <c r="A2468" s="106">
        <v>37772</v>
      </c>
      <c r="B2468" s="108" t="s">
        <v>7906</v>
      </c>
      <c r="C2468" s="110" t="s">
        <v>5755</v>
      </c>
      <c r="D2468" s="111">
        <v>114526.71</v>
      </c>
    </row>
    <row r="2469" spans="1:4" ht="51" x14ac:dyDescent="0.25">
      <c r="A2469" s="106">
        <v>37771</v>
      </c>
      <c r="B2469" s="108" t="s">
        <v>7907</v>
      </c>
      <c r="C2469" s="110" t="s">
        <v>5755</v>
      </c>
      <c r="D2469" s="111">
        <v>121838.18</v>
      </c>
    </row>
    <row r="2470" spans="1:4" x14ac:dyDescent="0.25">
      <c r="A2470" s="106">
        <v>12770</v>
      </c>
      <c r="B2470" s="108" t="s">
        <v>7908</v>
      </c>
      <c r="C2470" s="110" t="s">
        <v>5755</v>
      </c>
      <c r="D2470" s="111">
        <v>443.74</v>
      </c>
    </row>
    <row r="2471" spans="1:4" x14ac:dyDescent="0.25">
      <c r="A2471" s="106">
        <v>12772</v>
      </c>
      <c r="B2471" s="108" t="s">
        <v>7909</v>
      </c>
      <c r="C2471" s="110" t="s">
        <v>5755</v>
      </c>
      <c r="D2471" s="111">
        <v>737.5</v>
      </c>
    </row>
    <row r="2472" spans="1:4" x14ac:dyDescent="0.25">
      <c r="A2472" s="106">
        <v>12768</v>
      </c>
      <c r="B2472" s="108" t="s">
        <v>7910</v>
      </c>
      <c r="C2472" s="110" t="s">
        <v>5755</v>
      </c>
      <c r="D2472" s="111">
        <v>1037.5</v>
      </c>
    </row>
    <row r="2473" spans="1:4" x14ac:dyDescent="0.25">
      <c r="A2473" s="106">
        <v>12775</v>
      </c>
      <c r="B2473" s="108" t="s">
        <v>7911</v>
      </c>
      <c r="C2473" s="110" t="s">
        <v>5755</v>
      </c>
      <c r="D2473" s="111">
        <v>324.99</v>
      </c>
    </row>
    <row r="2474" spans="1:4" x14ac:dyDescent="0.25">
      <c r="A2474" s="106">
        <v>12769</v>
      </c>
      <c r="B2474" s="108" t="s">
        <v>7912</v>
      </c>
      <c r="C2474" s="110" t="s">
        <v>5755</v>
      </c>
      <c r="D2474" s="111">
        <v>85</v>
      </c>
    </row>
    <row r="2475" spans="1:4" x14ac:dyDescent="0.25">
      <c r="A2475" s="106">
        <v>12773</v>
      </c>
      <c r="B2475" s="108" t="s">
        <v>7913</v>
      </c>
      <c r="C2475" s="110" t="s">
        <v>5755</v>
      </c>
      <c r="D2475" s="111">
        <v>91.24</v>
      </c>
    </row>
    <row r="2476" spans="1:4" x14ac:dyDescent="0.25">
      <c r="A2476" s="106">
        <v>12774</v>
      </c>
      <c r="B2476" s="108" t="s">
        <v>7914</v>
      </c>
      <c r="C2476" s="110" t="s">
        <v>5755</v>
      </c>
      <c r="D2476" s="111">
        <v>112.49</v>
      </c>
    </row>
    <row r="2477" spans="1:4" x14ac:dyDescent="0.25">
      <c r="A2477" s="106">
        <v>12776</v>
      </c>
      <c r="B2477" s="108" t="s">
        <v>617</v>
      </c>
      <c r="C2477" s="110" t="s">
        <v>5755</v>
      </c>
      <c r="D2477" s="111">
        <v>1675</v>
      </c>
    </row>
    <row r="2478" spans="1:4" x14ac:dyDescent="0.25">
      <c r="A2478" s="106">
        <v>12777</v>
      </c>
      <c r="B2478" s="108" t="s">
        <v>7915</v>
      </c>
      <c r="C2478" s="110" t="s">
        <v>5755</v>
      </c>
      <c r="D2478" s="111">
        <v>2187.4899999999998</v>
      </c>
    </row>
    <row r="2479" spans="1:4" ht="25.5" x14ac:dyDescent="0.25">
      <c r="A2479" s="106">
        <v>3391</v>
      </c>
      <c r="B2479" s="108" t="s">
        <v>7916</v>
      </c>
      <c r="C2479" s="110" t="s">
        <v>5755</v>
      </c>
      <c r="D2479" s="111">
        <v>44.87</v>
      </c>
    </row>
    <row r="2480" spans="1:4" ht="25.5" x14ac:dyDescent="0.25">
      <c r="A2480" s="106">
        <v>3389</v>
      </c>
      <c r="B2480" s="108" t="s">
        <v>7917</v>
      </c>
      <c r="C2480" s="110" t="s">
        <v>5755</v>
      </c>
      <c r="D2480" s="111">
        <v>23.28</v>
      </c>
    </row>
    <row r="2481" spans="1:4" ht="25.5" x14ac:dyDescent="0.25">
      <c r="A2481" s="106">
        <v>3390</v>
      </c>
      <c r="B2481" s="108" t="s">
        <v>7918</v>
      </c>
      <c r="C2481" s="110" t="s">
        <v>5755</v>
      </c>
      <c r="D2481" s="111">
        <v>26.2</v>
      </c>
    </row>
    <row r="2482" spans="1:4" x14ac:dyDescent="0.25">
      <c r="A2482" s="106">
        <v>12873</v>
      </c>
      <c r="B2482" s="108" t="s">
        <v>7919</v>
      </c>
      <c r="C2482" s="110" t="s">
        <v>5759</v>
      </c>
      <c r="D2482" s="111">
        <v>13.54</v>
      </c>
    </row>
    <row r="2483" spans="1:4" x14ac:dyDescent="0.25">
      <c r="A2483" s="106">
        <v>41076</v>
      </c>
      <c r="B2483" s="108" t="s">
        <v>7920</v>
      </c>
      <c r="C2483" s="110" t="s">
        <v>5906</v>
      </c>
      <c r="D2483" s="111">
        <v>2401.9</v>
      </c>
    </row>
    <row r="2484" spans="1:4" ht="25.5" x14ac:dyDescent="0.25">
      <c r="A2484" s="106">
        <v>140</v>
      </c>
      <c r="B2484" s="108" t="s">
        <v>7921</v>
      </c>
      <c r="C2484" s="110" t="s">
        <v>5816</v>
      </c>
      <c r="D2484" s="111">
        <v>13.25</v>
      </c>
    </row>
    <row r="2485" spans="1:4" ht="25.5" x14ac:dyDescent="0.25">
      <c r="A2485" s="106">
        <v>151</v>
      </c>
      <c r="B2485" s="108" t="s">
        <v>7922</v>
      </c>
      <c r="C2485" s="110" t="s">
        <v>5818</v>
      </c>
      <c r="D2485" s="111">
        <v>19.55</v>
      </c>
    </row>
    <row r="2486" spans="1:4" x14ac:dyDescent="0.25">
      <c r="A2486" s="106">
        <v>7340</v>
      </c>
      <c r="B2486" s="108" t="s">
        <v>7923</v>
      </c>
      <c r="C2486" s="110" t="s">
        <v>5818</v>
      </c>
      <c r="D2486" s="111">
        <v>14.47</v>
      </c>
    </row>
    <row r="2487" spans="1:4" x14ac:dyDescent="0.25">
      <c r="A2487" s="106">
        <v>2701</v>
      </c>
      <c r="B2487" s="108" t="s">
        <v>7924</v>
      </c>
      <c r="C2487" s="110" t="s">
        <v>5759</v>
      </c>
      <c r="D2487" s="111">
        <v>9.49</v>
      </c>
    </row>
    <row r="2488" spans="1:4" x14ac:dyDescent="0.25">
      <c r="A2488" s="106">
        <v>40929</v>
      </c>
      <c r="B2488" s="108" t="s">
        <v>7925</v>
      </c>
      <c r="C2488" s="110" t="s">
        <v>5906</v>
      </c>
      <c r="D2488" s="111">
        <v>1683.68</v>
      </c>
    </row>
    <row r="2489" spans="1:4" x14ac:dyDescent="0.25">
      <c r="A2489" s="106">
        <v>38114</v>
      </c>
      <c r="B2489" s="108" t="s">
        <v>7926</v>
      </c>
      <c r="C2489" s="110" t="s">
        <v>5755</v>
      </c>
      <c r="D2489" s="111">
        <v>10.65</v>
      </c>
    </row>
    <row r="2490" spans="1:4" ht="25.5" x14ac:dyDescent="0.25">
      <c r="A2490" s="106">
        <v>38064</v>
      </c>
      <c r="B2490" s="108" t="s">
        <v>7927</v>
      </c>
      <c r="C2490" s="110" t="s">
        <v>5755</v>
      </c>
      <c r="D2490" s="111">
        <v>11.91</v>
      </c>
    </row>
    <row r="2491" spans="1:4" x14ac:dyDescent="0.25">
      <c r="A2491" s="106">
        <v>38115</v>
      </c>
      <c r="B2491" s="108" t="s">
        <v>7928</v>
      </c>
      <c r="C2491" s="110" t="s">
        <v>5755</v>
      </c>
      <c r="D2491" s="111">
        <v>11.38</v>
      </c>
    </row>
    <row r="2492" spans="1:4" ht="25.5" x14ac:dyDescent="0.25">
      <c r="A2492" s="106">
        <v>38065</v>
      </c>
      <c r="B2492" s="108" t="s">
        <v>7929</v>
      </c>
      <c r="C2492" s="110" t="s">
        <v>5755</v>
      </c>
      <c r="D2492" s="111">
        <v>16.899999999999999</v>
      </c>
    </row>
    <row r="2493" spans="1:4" ht="25.5" x14ac:dyDescent="0.25">
      <c r="A2493" s="106">
        <v>38078</v>
      </c>
      <c r="B2493" s="108" t="s">
        <v>7930</v>
      </c>
      <c r="C2493" s="110" t="s">
        <v>5755</v>
      </c>
      <c r="D2493" s="111">
        <v>9.86</v>
      </c>
    </row>
    <row r="2494" spans="1:4" x14ac:dyDescent="0.25">
      <c r="A2494" s="106">
        <v>38113</v>
      </c>
      <c r="B2494" s="108" t="s">
        <v>7931</v>
      </c>
      <c r="C2494" s="110" t="s">
        <v>5755</v>
      </c>
      <c r="D2494" s="111">
        <v>5.35</v>
      </c>
    </row>
    <row r="2495" spans="1:4" ht="25.5" x14ac:dyDescent="0.25">
      <c r="A2495" s="106">
        <v>38063</v>
      </c>
      <c r="B2495" s="108" t="s">
        <v>7932</v>
      </c>
      <c r="C2495" s="110" t="s">
        <v>5755</v>
      </c>
      <c r="D2495" s="111">
        <v>5.74</v>
      </c>
    </row>
    <row r="2496" spans="1:4" ht="38.25" x14ac:dyDescent="0.25">
      <c r="A2496" s="106">
        <v>38080</v>
      </c>
      <c r="B2496" s="108" t="s">
        <v>7933</v>
      </c>
      <c r="C2496" s="110" t="s">
        <v>5755</v>
      </c>
      <c r="D2496" s="111">
        <v>17.13</v>
      </c>
    </row>
    <row r="2497" spans="1:4" ht="25.5" x14ac:dyDescent="0.25">
      <c r="A2497" s="106">
        <v>38069</v>
      </c>
      <c r="B2497" s="108" t="s">
        <v>7934</v>
      </c>
      <c r="C2497" s="110" t="s">
        <v>5755</v>
      </c>
      <c r="D2497" s="111">
        <v>9.36</v>
      </c>
    </row>
    <row r="2498" spans="1:4" ht="25.5" x14ac:dyDescent="0.25">
      <c r="A2498" s="106">
        <v>38077</v>
      </c>
      <c r="B2498" s="108" t="s">
        <v>7935</v>
      </c>
      <c r="C2498" s="110" t="s">
        <v>5755</v>
      </c>
      <c r="D2498" s="111">
        <v>9.15</v>
      </c>
    </row>
    <row r="2499" spans="1:4" ht="38.25" x14ac:dyDescent="0.25">
      <c r="A2499" s="106">
        <v>38073</v>
      </c>
      <c r="B2499" s="108" t="s">
        <v>7936</v>
      </c>
      <c r="C2499" s="110" t="s">
        <v>5755</v>
      </c>
      <c r="D2499" s="111">
        <v>13.94</v>
      </c>
    </row>
    <row r="2500" spans="1:4" x14ac:dyDescent="0.25">
      <c r="A2500" s="106">
        <v>38112</v>
      </c>
      <c r="B2500" s="108" t="s">
        <v>7937</v>
      </c>
      <c r="C2500" s="110" t="s">
        <v>5755</v>
      </c>
      <c r="D2500" s="111">
        <v>4.1100000000000003</v>
      </c>
    </row>
    <row r="2501" spans="1:4" ht="25.5" x14ac:dyDescent="0.25">
      <c r="A2501" s="106">
        <v>38062</v>
      </c>
      <c r="B2501" s="108" t="s">
        <v>7938</v>
      </c>
      <c r="C2501" s="110" t="s">
        <v>5755</v>
      </c>
      <c r="D2501" s="111">
        <v>4.22</v>
      </c>
    </row>
    <row r="2502" spans="1:4" ht="25.5" x14ac:dyDescent="0.25">
      <c r="A2502" s="106">
        <v>12128</v>
      </c>
      <c r="B2502" s="108" t="s">
        <v>7939</v>
      </c>
      <c r="C2502" s="110" t="s">
        <v>5755</v>
      </c>
      <c r="D2502" s="111">
        <v>5.64</v>
      </c>
    </row>
    <row r="2503" spans="1:4" ht="25.5" x14ac:dyDescent="0.25">
      <c r="A2503" s="106">
        <v>12129</v>
      </c>
      <c r="B2503" s="108" t="s">
        <v>7940</v>
      </c>
      <c r="C2503" s="110" t="s">
        <v>5755</v>
      </c>
      <c r="D2503" s="111">
        <v>7.46</v>
      </c>
    </row>
    <row r="2504" spans="1:4" ht="38.25" x14ac:dyDescent="0.25">
      <c r="A2504" s="106">
        <v>38081</v>
      </c>
      <c r="B2504" s="108" t="s">
        <v>7941</v>
      </c>
      <c r="C2504" s="110" t="s">
        <v>5755</v>
      </c>
      <c r="D2504" s="111">
        <v>14.53</v>
      </c>
    </row>
    <row r="2505" spans="1:4" ht="25.5" x14ac:dyDescent="0.25">
      <c r="A2505" s="106">
        <v>38070</v>
      </c>
      <c r="B2505" s="108" t="s">
        <v>7942</v>
      </c>
      <c r="C2505" s="110" t="s">
        <v>5755</v>
      </c>
      <c r="D2505" s="111">
        <v>10.01</v>
      </c>
    </row>
    <row r="2506" spans="1:4" ht="25.5" x14ac:dyDescent="0.25">
      <c r="A2506" s="106">
        <v>38074</v>
      </c>
      <c r="B2506" s="108" t="s">
        <v>7943</v>
      </c>
      <c r="C2506" s="110" t="s">
        <v>5755</v>
      </c>
      <c r="D2506" s="111">
        <v>15.22</v>
      </c>
    </row>
    <row r="2507" spans="1:4" ht="38.25" x14ac:dyDescent="0.25">
      <c r="A2507" s="106">
        <v>38079</v>
      </c>
      <c r="B2507" s="108" t="s">
        <v>7944</v>
      </c>
      <c r="C2507" s="110" t="s">
        <v>5755</v>
      </c>
      <c r="D2507" s="111">
        <v>13.06</v>
      </c>
    </row>
    <row r="2508" spans="1:4" ht="38.25" x14ac:dyDescent="0.25">
      <c r="A2508" s="106">
        <v>38072</v>
      </c>
      <c r="B2508" s="108" t="s">
        <v>7945</v>
      </c>
      <c r="C2508" s="110" t="s">
        <v>5755</v>
      </c>
      <c r="D2508" s="111">
        <v>12.55</v>
      </c>
    </row>
    <row r="2509" spans="1:4" ht="25.5" x14ac:dyDescent="0.25">
      <c r="A2509" s="106">
        <v>38068</v>
      </c>
      <c r="B2509" s="108" t="s">
        <v>7946</v>
      </c>
      <c r="C2509" s="110" t="s">
        <v>5755</v>
      </c>
      <c r="D2509" s="111">
        <v>8.66</v>
      </c>
    </row>
    <row r="2510" spans="1:4" ht="25.5" x14ac:dyDescent="0.25">
      <c r="A2510" s="106">
        <v>38071</v>
      </c>
      <c r="B2510" s="108" t="s">
        <v>7947</v>
      </c>
      <c r="C2510" s="110" t="s">
        <v>5755</v>
      </c>
      <c r="D2510" s="111">
        <v>10.36</v>
      </c>
    </row>
    <row r="2511" spans="1:4" ht="38.25" x14ac:dyDescent="0.25">
      <c r="A2511" s="106">
        <v>38412</v>
      </c>
      <c r="B2511" s="108" t="s">
        <v>7948</v>
      </c>
      <c r="C2511" s="110" t="s">
        <v>5755</v>
      </c>
      <c r="D2511" s="111">
        <v>1624.5</v>
      </c>
    </row>
    <row r="2512" spans="1:4" ht="25.5" x14ac:dyDescent="0.25">
      <c r="A2512" s="106">
        <v>3405</v>
      </c>
      <c r="B2512" s="108" t="s">
        <v>7949</v>
      </c>
      <c r="C2512" s="110" t="s">
        <v>5755</v>
      </c>
      <c r="D2512" s="111">
        <v>64.09</v>
      </c>
    </row>
    <row r="2513" spans="1:4" x14ac:dyDescent="0.25">
      <c r="A2513" s="106">
        <v>3394</v>
      </c>
      <c r="B2513" s="108" t="s">
        <v>7950</v>
      </c>
      <c r="C2513" s="110" t="s">
        <v>5755</v>
      </c>
      <c r="D2513" s="111">
        <v>338.35</v>
      </c>
    </row>
    <row r="2514" spans="1:4" x14ac:dyDescent="0.25">
      <c r="A2514" s="106">
        <v>3393</v>
      </c>
      <c r="B2514" s="108" t="s">
        <v>7951</v>
      </c>
      <c r="C2514" s="110" t="s">
        <v>5755</v>
      </c>
      <c r="D2514" s="111">
        <v>576.08000000000004</v>
      </c>
    </row>
    <row r="2515" spans="1:4" ht="25.5" x14ac:dyDescent="0.25">
      <c r="A2515" s="106">
        <v>3406</v>
      </c>
      <c r="B2515" s="108" t="s">
        <v>7952</v>
      </c>
      <c r="C2515" s="110" t="s">
        <v>5755</v>
      </c>
      <c r="D2515" s="111">
        <v>19.62</v>
      </c>
    </row>
    <row r="2516" spans="1:4" ht="25.5" x14ac:dyDescent="0.25">
      <c r="A2516" s="106">
        <v>3395</v>
      </c>
      <c r="B2516" s="108" t="s">
        <v>7953</v>
      </c>
      <c r="C2516" s="110" t="s">
        <v>5755</v>
      </c>
      <c r="D2516" s="111">
        <v>82.76</v>
      </c>
    </row>
    <row r="2517" spans="1:4" ht="25.5" x14ac:dyDescent="0.25">
      <c r="A2517" s="106">
        <v>3398</v>
      </c>
      <c r="B2517" s="108" t="s">
        <v>7954</v>
      </c>
      <c r="C2517" s="110" t="s">
        <v>5755</v>
      </c>
      <c r="D2517" s="111">
        <v>3.93</v>
      </c>
    </row>
    <row r="2518" spans="1:4" ht="38.25" x14ac:dyDescent="0.25">
      <c r="A2518" s="106">
        <v>34379</v>
      </c>
      <c r="B2518" s="108" t="s">
        <v>7955</v>
      </c>
      <c r="C2518" s="110" t="s">
        <v>5755</v>
      </c>
      <c r="D2518" s="111">
        <v>231.81</v>
      </c>
    </row>
    <row r="2519" spans="1:4" ht="38.25" x14ac:dyDescent="0.25">
      <c r="A2519" s="106">
        <v>34378</v>
      </c>
      <c r="B2519" s="108" t="s">
        <v>7956</v>
      </c>
      <c r="C2519" s="110" t="s">
        <v>5755</v>
      </c>
      <c r="D2519" s="111">
        <v>186.71</v>
      </c>
    </row>
    <row r="2520" spans="1:4" ht="38.25" x14ac:dyDescent="0.25">
      <c r="A2520" s="106">
        <v>34377</v>
      </c>
      <c r="B2520" s="108" t="s">
        <v>7957</v>
      </c>
      <c r="C2520" s="110" t="s">
        <v>5755</v>
      </c>
      <c r="D2520" s="111">
        <v>172.19</v>
      </c>
    </row>
    <row r="2521" spans="1:4" ht="38.25" x14ac:dyDescent="0.25">
      <c r="A2521" s="106">
        <v>581</v>
      </c>
      <c r="B2521" s="108" t="s">
        <v>7958</v>
      </c>
      <c r="C2521" s="110" t="s">
        <v>5757</v>
      </c>
      <c r="D2521" s="111">
        <v>327.04000000000002</v>
      </c>
    </row>
    <row r="2522" spans="1:4" ht="51" x14ac:dyDescent="0.25">
      <c r="A2522" s="106">
        <v>40662</v>
      </c>
      <c r="B2522" s="108" t="s">
        <v>7959</v>
      </c>
      <c r="C2522" s="110" t="s">
        <v>5755</v>
      </c>
      <c r="D2522" s="111">
        <v>201.19</v>
      </c>
    </row>
    <row r="2523" spans="1:4" ht="51" x14ac:dyDescent="0.25">
      <c r="A2523" s="106">
        <v>3437</v>
      </c>
      <c r="B2523" s="108" t="s">
        <v>7960</v>
      </c>
      <c r="C2523" s="110" t="s">
        <v>5757</v>
      </c>
      <c r="D2523" s="111">
        <v>558.88</v>
      </c>
    </row>
    <row r="2524" spans="1:4" ht="25.5" x14ac:dyDescent="0.25">
      <c r="A2524" s="106">
        <v>11190</v>
      </c>
      <c r="B2524" s="108" t="s">
        <v>7961</v>
      </c>
      <c r="C2524" s="110" t="s">
        <v>5755</v>
      </c>
      <c r="D2524" s="111">
        <v>162.6</v>
      </c>
    </row>
    <row r="2525" spans="1:4" ht="63.75" x14ac:dyDescent="0.25">
      <c r="A2525" s="106">
        <v>3428</v>
      </c>
      <c r="B2525" s="108" t="s">
        <v>7962</v>
      </c>
      <c r="C2525" s="110" t="s">
        <v>5757</v>
      </c>
      <c r="D2525" s="111">
        <v>829</v>
      </c>
    </row>
    <row r="2526" spans="1:4" ht="63.75" x14ac:dyDescent="0.25">
      <c r="A2526" s="106">
        <v>3429</v>
      </c>
      <c r="B2526" s="108" t="s">
        <v>7963</v>
      </c>
      <c r="C2526" s="110" t="s">
        <v>5757</v>
      </c>
      <c r="D2526" s="111">
        <v>473.64</v>
      </c>
    </row>
    <row r="2527" spans="1:4" ht="51" x14ac:dyDescent="0.25">
      <c r="A2527" s="106">
        <v>34371</v>
      </c>
      <c r="B2527" s="108" t="s">
        <v>7964</v>
      </c>
      <c r="C2527" s="110" t="s">
        <v>5755</v>
      </c>
      <c r="D2527" s="111">
        <v>630.25</v>
      </c>
    </row>
    <row r="2528" spans="1:4" ht="51" x14ac:dyDescent="0.25">
      <c r="A2528" s="106">
        <v>34370</v>
      </c>
      <c r="B2528" s="108" t="s">
        <v>7965</v>
      </c>
      <c r="C2528" s="110" t="s">
        <v>5755</v>
      </c>
      <c r="D2528" s="111">
        <v>522.66999999999996</v>
      </c>
    </row>
    <row r="2529" spans="1:4" ht="51" x14ac:dyDescent="0.25">
      <c r="A2529" s="106">
        <v>34372</v>
      </c>
      <c r="B2529" s="108" t="s">
        <v>7966</v>
      </c>
      <c r="C2529" s="110" t="s">
        <v>5755</v>
      </c>
      <c r="D2529" s="111">
        <v>727.11</v>
      </c>
    </row>
    <row r="2530" spans="1:4" ht="51" x14ac:dyDescent="0.25">
      <c r="A2530" s="106">
        <v>34373</v>
      </c>
      <c r="B2530" s="108" t="s">
        <v>7967</v>
      </c>
      <c r="C2530" s="110" t="s">
        <v>5755</v>
      </c>
      <c r="D2530" s="111">
        <v>900.05</v>
      </c>
    </row>
    <row r="2531" spans="1:4" ht="38.25" x14ac:dyDescent="0.25">
      <c r="A2531" s="106">
        <v>36896</v>
      </c>
      <c r="B2531" s="108" t="s">
        <v>7968</v>
      </c>
      <c r="C2531" s="110" t="s">
        <v>5755</v>
      </c>
      <c r="D2531" s="111">
        <v>299.89999999999998</v>
      </c>
    </row>
    <row r="2532" spans="1:4" ht="38.25" x14ac:dyDescent="0.25">
      <c r="A2532" s="106">
        <v>34367</v>
      </c>
      <c r="B2532" s="108" t="s">
        <v>7969</v>
      </c>
      <c r="C2532" s="110" t="s">
        <v>5755</v>
      </c>
      <c r="D2532" s="111">
        <v>352.27</v>
      </c>
    </row>
    <row r="2533" spans="1:4" ht="38.25" x14ac:dyDescent="0.25">
      <c r="A2533" s="106">
        <v>36897</v>
      </c>
      <c r="B2533" s="108" t="s">
        <v>7970</v>
      </c>
      <c r="C2533" s="110" t="s">
        <v>5755</v>
      </c>
      <c r="D2533" s="111">
        <v>415.41</v>
      </c>
    </row>
    <row r="2534" spans="1:4" ht="38.25" x14ac:dyDescent="0.25">
      <c r="A2534" s="106">
        <v>36884</v>
      </c>
      <c r="B2534" s="108" t="s">
        <v>7970</v>
      </c>
      <c r="C2534" s="110" t="s">
        <v>5757</v>
      </c>
      <c r="D2534" s="111">
        <v>291.76</v>
      </c>
    </row>
    <row r="2535" spans="1:4" ht="38.25" x14ac:dyDescent="0.25">
      <c r="A2535" s="106">
        <v>597</v>
      </c>
      <c r="B2535" s="108" t="s">
        <v>7971</v>
      </c>
      <c r="C2535" s="110" t="s">
        <v>5757</v>
      </c>
      <c r="D2535" s="111">
        <v>306.83</v>
      </c>
    </row>
    <row r="2536" spans="1:4" ht="38.25" x14ac:dyDescent="0.25">
      <c r="A2536" s="106">
        <v>34369</v>
      </c>
      <c r="B2536" s="108" t="s">
        <v>7972</v>
      </c>
      <c r="C2536" s="110" t="s">
        <v>5755</v>
      </c>
      <c r="D2536" s="111">
        <v>492.18</v>
      </c>
    </row>
    <row r="2537" spans="1:4" ht="38.25" x14ac:dyDescent="0.25">
      <c r="A2537" s="106">
        <v>34362</v>
      </c>
      <c r="B2537" s="108" t="s">
        <v>7973</v>
      </c>
      <c r="C2537" s="110" t="s">
        <v>5755</v>
      </c>
      <c r="D2537" s="111">
        <v>341.51</v>
      </c>
    </row>
    <row r="2538" spans="1:4" ht="38.25" x14ac:dyDescent="0.25">
      <c r="A2538" s="106">
        <v>34363</v>
      </c>
      <c r="B2538" s="108" t="s">
        <v>7974</v>
      </c>
      <c r="C2538" s="110" t="s">
        <v>5755</v>
      </c>
      <c r="D2538" s="111">
        <v>385.99</v>
      </c>
    </row>
    <row r="2539" spans="1:4" ht="38.25" x14ac:dyDescent="0.25">
      <c r="A2539" s="106">
        <v>34364</v>
      </c>
      <c r="B2539" s="108" t="s">
        <v>7975</v>
      </c>
      <c r="C2539" s="110" t="s">
        <v>5755</v>
      </c>
      <c r="D2539" s="111">
        <v>481.41</v>
      </c>
    </row>
    <row r="2540" spans="1:4" ht="38.25" x14ac:dyDescent="0.25">
      <c r="A2540" s="106">
        <v>34365</v>
      </c>
      <c r="B2540" s="108" t="s">
        <v>7976</v>
      </c>
      <c r="C2540" s="110" t="s">
        <v>5755</v>
      </c>
      <c r="D2540" s="111">
        <v>542.4</v>
      </c>
    </row>
    <row r="2541" spans="1:4" ht="63.75" x14ac:dyDescent="0.25">
      <c r="A2541" s="106">
        <v>40659</v>
      </c>
      <c r="B2541" s="108" t="s">
        <v>7977</v>
      </c>
      <c r="C2541" s="110" t="s">
        <v>5757</v>
      </c>
      <c r="D2541" s="111">
        <v>790.73</v>
      </c>
    </row>
    <row r="2542" spans="1:4" ht="63.75" x14ac:dyDescent="0.25">
      <c r="A2542" s="106">
        <v>40660</v>
      </c>
      <c r="B2542" s="108" t="s">
        <v>7978</v>
      </c>
      <c r="C2542" s="110" t="s">
        <v>5757</v>
      </c>
      <c r="D2542" s="111">
        <v>1002.16</v>
      </c>
    </row>
    <row r="2543" spans="1:4" ht="63.75" x14ac:dyDescent="0.25">
      <c r="A2543" s="106">
        <v>40661</v>
      </c>
      <c r="B2543" s="108" t="s">
        <v>7979</v>
      </c>
      <c r="C2543" s="110" t="s">
        <v>5757</v>
      </c>
      <c r="D2543" s="111">
        <v>616.15</v>
      </c>
    </row>
    <row r="2544" spans="1:4" ht="63.75" x14ac:dyDescent="0.25">
      <c r="A2544" s="106">
        <v>3421</v>
      </c>
      <c r="B2544" s="108" t="s">
        <v>7980</v>
      </c>
      <c r="C2544" s="110" t="s">
        <v>5757</v>
      </c>
      <c r="D2544" s="111">
        <v>620.87</v>
      </c>
    </row>
    <row r="2545" spans="1:4" ht="25.5" x14ac:dyDescent="0.25">
      <c r="A2545" s="106">
        <v>599</v>
      </c>
      <c r="B2545" s="108" t="s">
        <v>7981</v>
      </c>
      <c r="C2545" s="110" t="s">
        <v>5757</v>
      </c>
      <c r="D2545" s="111">
        <v>260.08</v>
      </c>
    </row>
    <row r="2546" spans="1:4" ht="25.5" x14ac:dyDescent="0.25">
      <c r="A2546" s="106">
        <v>34380</v>
      </c>
      <c r="B2546" s="108" t="s">
        <v>7982</v>
      </c>
      <c r="C2546" s="110" t="s">
        <v>5755</v>
      </c>
      <c r="D2546" s="111">
        <v>134.88</v>
      </c>
    </row>
    <row r="2547" spans="1:4" ht="38.25" x14ac:dyDescent="0.25">
      <c r="A2547" s="106">
        <v>34381</v>
      </c>
      <c r="B2547" s="108" t="s">
        <v>7983</v>
      </c>
      <c r="C2547" s="110" t="s">
        <v>5755</v>
      </c>
      <c r="D2547" s="111">
        <v>175.77</v>
      </c>
    </row>
    <row r="2548" spans="1:4" ht="38.25" x14ac:dyDescent="0.25">
      <c r="A2548" s="106">
        <v>601</v>
      </c>
      <c r="B2548" s="108" t="s">
        <v>7983</v>
      </c>
      <c r="C2548" s="110" t="s">
        <v>5757</v>
      </c>
      <c r="D2548" s="111">
        <v>350.84</v>
      </c>
    </row>
    <row r="2549" spans="1:4" ht="51" x14ac:dyDescent="0.25">
      <c r="A2549" s="106">
        <v>3423</v>
      </c>
      <c r="B2549" s="108" t="s">
        <v>7984</v>
      </c>
      <c r="C2549" s="110" t="s">
        <v>5757</v>
      </c>
      <c r="D2549" s="111">
        <v>875.57</v>
      </c>
    </row>
    <row r="2550" spans="1:4" ht="25.5" x14ac:dyDescent="0.25">
      <c r="A2550" s="106">
        <v>34797</v>
      </c>
      <c r="B2550" s="108" t="s">
        <v>7985</v>
      </c>
      <c r="C2550" s="110" t="s">
        <v>5755</v>
      </c>
      <c r="D2550" s="111">
        <v>354.17</v>
      </c>
    </row>
    <row r="2551" spans="1:4" x14ac:dyDescent="0.25">
      <c r="A2551" s="106">
        <v>25964</v>
      </c>
      <c r="B2551" s="108" t="s">
        <v>7986</v>
      </c>
      <c r="C2551" s="110" t="s">
        <v>5759</v>
      </c>
      <c r="D2551" s="111">
        <v>12.36</v>
      </c>
    </row>
    <row r="2552" spans="1:4" x14ac:dyDescent="0.25">
      <c r="A2552" s="106">
        <v>41077</v>
      </c>
      <c r="B2552" s="108" t="s">
        <v>7987</v>
      </c>
      <c r="C2552" s="110" t="s">
        <v>5906</v>
      </c>
      <c r="D2552" s="111">
        <v>2193.6799999999998</v>
      </c>
    </row>
    <row r="2553" spans="1:4" ht="25.5" x14ac:dyDescent="0.25">
      <c r="A2553" s="106">
        <v>20159</v>
      </c>
      <c r="B2553" s="108" t="s">
        <v>7988</v>
      </c>
      <c r="C2553" s="110" t="s">
        <v>5755</v>
      </c>
      <c r="D2553" s="111">
        <v>38.25</v>
      </c>
    </row>
    <row r="2554" spans="1:4" x14ac:dyDescent="0.25">
      <c r="A2554" s="106">
        <v>37963</v>
      </c>
      <c r="B2554" s="108" t="s">
        <v>7989</v>
      </c>
      <c r="C2554" s="110" t="s">
        <v>5755</v>
      </c>
      <c r="D2554" s="111">
        <v>4.62</v>
      </c>
    </row>
    <row r="2555" spans="1:4" x14ac:dyDescent="0.25">
      <c r="A2555" s="106">
        <v>37964</v>
      </c>
      <c r="B2555" s="108" t="s">
        <v>7990</v>
      </c>
      <c r="C2555" s="110" t="s">
        <v>5755</v>
      </c>
      <c r="D2555" s="111">
        <v>7.7</v>
      </c>
    </row>
    <row r="2556" spans="1:4" x14ac:dyDescent="0.25">
      <c r="A2556" s="106">
        <v>37965</v>
      </c>
      <c r="B2556" s="108" t="s">
        <v>7991</v>
      </c>
      <c r="C2556" s="110" t="s">
        <v>5755</v>
      </c>
      <c r="D2556" s="111">
        <v>11.16</v>
      </c>
    </row>
    <row r="2557" spans="1:4" x14ac:dyDescent="0.25">
      <c r="A2557" s="106">
        <v>37966</v>
      </c>
      <c r="B2557" s="108" t="s">
        <v>7992</v>
      </c>
      <c r="C2557" s="110" t="s">
        <v>5755</v>
      </c>
      <c r="D2557" s="111">
        <v>20.21</v>
      </c>
    </row>
    <row r="2558" spans="1:4" x14ac:dyDescent="0.25">
      <c r="A2558" s="106">
        <v>37967</v>
      </c>
      <c r="B2558" s="108" t="s">
        <v>7993</v>
      </c>
      <c r="C2558" s="110" t="s">
        <v>5755</v>
      </c>
      <c r="D2558" s="111">
        <v>32.409999999999997</v>
      </c>
    </row>
    <row r="2559" spans="1:4" x14ac:dyDescent="0.25">
      <c r="A2559" s="106">
        <v>37968</v>
      </c>
      <c r="B2559" s="108" t="s">
        <v>7994</v>
      </c>
      <c r="C2559" s="110" t="s">
        <v>5755</v>
      </c>
      <c r="D2559" s="111">
        <v>71.08</v>
      </c>
    </row>
    <row r="2560" spans="1:4" x14ac:dyDescent="0.25">
      <c r="A2560" s="106">
        <v>37969</v>
      </c>
      <c r="B2560" s="108" t="s">
        <v>7995</v>
      </c>
      <c r="C2560" s="110" t="s">
        <v>5755</v>
      </c>
      <c r="D2560" s="111">
        <v>189.9</v>
      </c>
    </row>
    <row r="2561" spans="1:4" x14ac:dyDescent="0.25">
      <c r="A2561" s="106">
        <v>37970</v>
      </c>
      <c r="B2561" s="108" t="s">
        <v>7996</v>
      </c>
      <c r="C2561" s="110" t="s">
        <v>5755</v>
      </c>
      <c r="D2561" s="111">
        <v>221.53</v>
      </c>
    </row>
    <row r="2562" spans="1:4" x14ac:dyDescent="0.25">
      <c r="A2562" s="106">
        <v>21118</v>
      </c>
      <c r="B2562" s="108" t="s">
        <v>7997</v>
      </c>
      <c r="C2562" s="110" t="s">
        <v>5755</v>
      </c>
      <c r="D2562" s="111">
        <v>3.49</v>
      </c>
    </row>
    <row r="2563" spans="1:4" x14ac:dyDescent="0.25">
      <c r="A2563" s="106">
        <v>37956</v>
      </c>
      <c r="B2563" s="108" t="s">
        <v>7998</v>
      </c>
      <c r="C2563" s="110" t="s">
        <v>5755</v>
      </c>
      <c r="D2563" s="111">
        <v>5.53</v>
      </c>
    </row>
    <row r="2564" spans="1:4" x14ac:dyDescent="0.25">
      <c r="A2564" s="106">
        <v>37957</v>
      </c>
      <c r="B2564" s="108" t="s">
        <v>7999</v>
      </c>
      <c r="C2564" s="110" t="s">
        <v>5755</v>
      </c>
      <c r="D2564" s="111">
        <v>11.66</v>
      </c>
    </row>
    <row r="2565" spans="1:4" x14ac:dyDescent="0.25">
      <c r="A2565" s="106">
        <v>37958</v>
      </c>
      <c r="B2565" s="108" t="s">
        <v>8000</v>
      </c>
      <c r="C2565" s="110" t="s">
        <v>5755</v>
      </c>
      <c r="D2565" s="111">
        <v>20.21</v>
      </c>
    </row>
    <row r="2566" spans="1:4" x14ac:dyDescent="0.25">
      <c r="A2566" s="106">
        <v>37959</v>
      </c>
      <c r="B2566" s="108" t="s">
        <v>8001</v>
      </c>
      <c r="C2566" s="110" t="s">
        <v>5755</v>
      </c>
      <c r="D2566" s="111">
        <v>32.409999999999997</v>
      </c>
    </row>
    <row r="2567" spans="1:4" x14ac:dyDescent="0.25">
      <c r="A2567" s="106">
        <v>37960</v>
      </c>
      <c r="B2567" s="108" t="s">
        <v>8002</v>
      </c>
      <c r="C2567" s="110" t="s">
        <v>5755</v>
      </c>
      <c r="D2567" s="111">
        <v>69.8</v>
      </c>
    </row>
    <row r="2568" spans="1:4" x14ac:dyDescent="0.25">
      <c r="A2568" s="106">
        <v>37961</v>
      </c>
      <c r="B2568" s="108" t="s">
        <v>8003</v>
      </c>
      <c r="C2568" s="110" t="s">
        <v>5755</v>
      </c>
      <c r="D2568" s="111">
        <v>185.19</v>
      </c>
    </row>
    <row r="2569" spans="1:4" x14ac:dyDescent="0.25">
      <c r="A2569" s="106">
        <v>37962</v>
      </c>
      <c r="B2569" s="108" t="s">
        <v>8004</v>
      </c>
      <c r="C2569" s="110" t="s">
        <v>5755</v>
      </c>
      <c r="D2569" s="111">
        <v>215.18</v>
      </c>
    </row>
    <row r="2570" spans="1:4" ht="25.5" x14ac:dyDescent="0.25">
      <c r="A2570" s="106">
        <v>3533</v>
      </c>
      <c r="B2570" s="108" t="s">
        <v>8005</v>
      </c>
      <c r="C2570" s="110" t="s">
        <v>5755</v>
      </c>
      <c r="D2570" s="111">
        <v>1.73</v>
      </c>
    </row>
    <row r="2571" spans="1:4" ht="25.5" x14ac:dyDescent="0.25">
      <c r="A2571" s="106">
        <v>3538</v>
      </c>
      <c r="B2571" s="108" t="s">
        <v>8006</v>
      </c>
      <c r="C2571" s="110" t="s">
        <v>5755</v>
      </c>
      <c r="D2571" s="111">
        <v>2.98</v>
      </c>
    </row>
    <row r="2572" spans="1:4" ht="25.5" x14ac:dyDescent="0.25">
      <c r="A2572" s="106">
        <v>3497</v>
      </c>
      <c r="B2572" s="108" t="s">
        <v>8007</v>
      </c>
      <c r="C2572" s="110" t="s">
        <v>5755</v>
      </c>
      <c r="D2572" s="111">
        <v>11.15</v>
      </c>
    </row>
    <row r="2573" spans="1:4" ht="25.5" x14ac:dyDescent="0.25">
      <c r="A2573" s="106">
        <v>3498</v>
      </c>
      <c r="B2573" s="108" t="s">
        <v>8008</v>
      </c>
      <c r="C2573" s="110" t="s">
        <v>5755</v>
      </c>
      <c r="D2573" s="111">
        <v>3.54</v>
      </c>
    </row>
    <row r="2574" spans="1:4" ht="25.5" x14ac:dyDescent="0.25">
      <c r="A2574" s="106">
        <v>3496</v>
      </c>
      <c r="B2574" s="108" t="s">
        <v>8009</v>
      </c>
      <c r="C2574" s="110" t="s">
        <v>5755</v>
      </c>
      <c r="D2574" s="111">
        <v>2.86</v>
      </c>
    </row>
    <row r="2575" spans="1:4" ht="25.5" x14ac:dyDescent="0.25">
      <c r="A2575" s="106">
        <v>38429</v>
      </c>
      <c r="B2575" s="108" t="s">
        <v>8010</v>
      </c>
      <c r="C2575" s="110" t="s">
        <v>5755</v>
      </c>
      <c r="D2575" s="111">
        <v>11.79</v>
      </c>
    </row>
    <row r="2576" spans="1:4" ht="25.5" x14ac:dyDescent="0.25">
      <c r="A2576" s="106">
        <v>38431</v>
      </c>
      <c r="B2576" s="108" t="s">
        <v>8011</v>
      </c>
      <c r="C2576" s="110" t="s">
        <v>5755</v>
      </c>
      <c r="D2576" s="111">
        <v>18.670000000000002</v>
      </c>
    </row>
    <row r="2577" spans="1:4" ht="25.5" x14ac:dyDescent="0.25">
      <c r="A2577" s="106">
        <v>38430</v>
      </c>
      <c r="B2577" s="108" t="s">
        <v>8012</v>
      </c>
      <c r="C2577" s="110" t="s">
        <v>5755</v>
      </c>
      <c r="D2577" s="111">
        <v>23.86</v>
      </c>
    </row>
    <row r="2578" spans="1:4" ht="25.5" x14ac:dyDescent="0.25">
      <c r="A2578" s="106">
        <v>36348</v>
      </c>
      <c r="B2578" s="108" t="s">
        <v>8013</v>
      </c>
      <c r="C2578" s="110" t="s">
        <v>5755</v>
      </c>
      <c r="D2578" s="111">
        <v>1.1399999999999999</v>
      </c>
    </row>
    <row r="2579" spans="1:4" ht="25.5" x14ac:dyDescent="0.25">
      <c r="A2579" s="106">
        <v>36349</v>
      </c>
      <c r="B2579" s="108" t="s">
        <v>8014</v>
      </c>
      <c r="C2579" s="110" t="s">
        <v>5755</v>
      </c>
      <c r="D2579" s="111">
        <v>1.71</v>
      </c>
    </row>
    <row r="2580" spans="1:4" ht="25.5" x14ac:dyDescent="0.25">
      <c r="A2580" s="106">
        <v>38433</v>
      </c>
      <c r="B2580" s="108" t="s">
        <v>8015</v>
      </c>
      <c r="C2580" s="110" t="s">
        <v>5755</v>
      </c>
      <c r="D2580" s="111">
        <v>3.16</v>
      </c>
    </row>
    <row r="2581" spans="1:4" ht="25.5" x14ac:dyDescent="0.25">
      <c r="A2581" s="106">
        <v>38440</v>
      </c>
      <c r="B2581" s="108" t="s">
        <v>8016</v>
      </c>
      <c r="C2581" s="110" t="s">
        <v>5755</v>
      </c>
      <c r="D2581" s="111">
        <v>109.17</v>
      </c>
    </row>
    <row r="2582" spans="1:4" ht="25.5" x14ac:dyDescent="0.25">
      <c r="A2582" s="106">
        <v>36359</v>
      </c>
      <c r="B2582" s="108" t="s">
        <v>8017</v>
      </c>
      <c r="C2582" s="110" t="s">
        <v>5755</v>
      </c>
      <c r="D2582" s="111">
        <v>1.35</v>
      </c>
    </row>
    <row r="2583" spans="1:4" ht="25.5" x14ac:dyDescent="0.25">
      <c r="A2583" s="106">
        <v>36360</v>
      </c>
      <c r="B2583" s="108" t="s">
        <v>8018</v>
      </c>
      <c r="C2583" s="110" t="s">
        <v>5755</v>
      </c>
      <c r="D2583" s="111">
        <v>2.09</v>
      </c>
    </row>
    <row r="2584" spans="1:4" ht="25.5" x14ac:dyDescent="0.25">
      <c r="A2584" s="106">
        <v>38434</v>
      </c>
      <c r="B2584" s="108" t="s">
        <v>8019</v>
      </c>
      <c r="C2584" s="110" t="s">
        <v>5755</v>
      </c>
      <c r="D2584" s="111">
        <v>3.2</v>
      </c>
    </row>
    <row r="2585" spans="1:4" ht="25.5" x14ac:dyDescent="0.25">
      <c r="A2585" s="106">
        <v>38435</v>
      </c>
      <c r="B2585" s="108" t="s">
        <v>8020</v>
      </c>
      <c r="C2585" s="110" t="s">
        <v>5755</v>
      </c>
      <c r="D2585" s="111">
        <v>6.09</v>
      </c>
    </row>
    <row r="2586" spans="1:4" ht="25.5" x14ac:dyDescent="0.25">
      <c r="A2586" s="106">
        <v>38436</v>
      </c>
      <c r="B2586" s="108" t="s">
        <v>8021</v>
      </c>
      <c r="C2586" s="110" t="s">
        <v>5755</v>
      </c>
      <c r="D2586" s="111">
        <v>12.58</v>
      </c>
    </row>
    <row r="2587" spans="1:4" ht="25.5" x14ac:dyDescent="0.25">
      <c r="A2587" s="106">
        <v>38437</v>
      </c>
      <c r="B2587" s="108" t="s">
        <v>8022</v>
      </c>
      <c r="C2587" s="110" t="s">
        <v>5755</v>
      </c>
      <c r="D2587" s="111">
        <v>18.899999999999999</v>
      </c>
    </row>
    <row r="2588" spans="1:4" ht="25.5" x14ac:dyDescent="0.25">
      <c r="A2588" s="106">
        <v>38438</v>
      </c>
      <c r="B2588" s="108" t="s">
        <v>8023</v>
      </c>
      <c r="C2588" s="110" t="s">
        <v>5755</v>
      </c>
      <c r="D2588" s="111">
        <v>47.76</v>
      </c>
    </row>
    <row r="2589" spans="1:4" ht="25.5" x14ac:dyDescent="0.25">
      <c r="A2589" s="106">
        <v>38439</v>
      </c>
      <c r="B2589" s="108" t="s">
        <v>8024</v>
      </c>
      <c r="C2589" s="110" t="s">
        <v>5755</v>
      </c>
      <c r="D2589" s="111">
        <v>72.790000000000006</v>
      </c>
    </row>
    <row r="2590" spans="1:4" ht="25.5" x14ac:dyDescent="0.25">
      <c r="A2590" s="106">
        <v>10836</v>
      </c>
      <c r="B2590" s="108" t="s">
        <v>8025</v>
      </c>
      <c r="C2590" s="110" t="s">
        <v>5755</v>
      </c>
      <c r="D2590" s="111">
        <v>13.41</v>
      </c>
    </row>
    <row r="2591" spans="1:4" x14ac:dyDescent="0.25">
      <c r="A2591" s="106">
        <v>20128</v>
      </c>
      <c r="B2591" s="108" t="s">
        <v>8026</v>
      </c>
      <c r="C2591" s="110" t="s">
        <v>5755</v>
      </c>
      <c r="D2591" s="111">
        <v>39.29</v>
      </c>
    </row>
    <row r="2592" spans="1:4" x14ac:dyDescent="0.25">
      <c r="A2592" s="106">
        <v>20131</v>
      </c>
      <c r="B2592" s="108" t="s">
        <v>8027</v>
      </c>
      <c r="C2592" s="110" t="s">
        <v>5755</v>
      </c>
      <c r="D2592" s="111">
        <v>35.869999999999997</v>
      </c>
    </row>
    <row r="2593" spans="1:4" ht="25.5" x14ac:dyDescent="0.25">
      <c r="A2593" s="106">
        <v>3521</v>
      </c>
      <c r="B2593" s="108" t="s">
        <v>8028</v>
      </c>
      <c r="C2593" s="110" t="s">
        <v>5755</v>
      </c>
      <c r="D2593" s="111">
        <v>1.5</v>
      </c>
    </row>
    <row r="2594" spans="1:4" ht="25.5" x14ac:dyDescent="0.25">
      <c r="A2594" s="106">
        <v>3531</v>
      </c>
      <c r="B2594" s="108" t="s">
        <v>8029</v>
      </c>
      <c r="C2594" s="110" t="s">
        <v>5755</v>
      </c>
      <c r="D2594" s="111">
        <v>1.7</v>
      </c>
    </row>
    <row r="2595" spans="1:4" ht="25.5" x14ac:dyDescent="0.25">
      <c r="A2595" s="106">
        <v>3522</v>
      </c>
      <c r="B2595" s="108" t="s">
        <v>8030</v>
      </c>
      <c r="C2595" s="110" t="s">
        <v>5755</v>
      </c>
      <c r="D2595" s="111">
        <v>2.5299999999999998</v>
      </c>
    </row>
    <row r="2596" spans="1:4" ht="25.5" x14ac:dyDescent="0.25">
      <c r="A2596" s="106">
        <v>3527</v>
      </c>
      <c r="B2596" s="108" t="s">
        <v>8031</v>
      </c>
      <c r="C2596" s="110" t="s">
        <v>5755</v>
      </c>
      <c r="D2596" s="111">
        <v>8.6999999999999993</v>
      </c>
    </row>
    <row r="2597" spans="1:4" ht="25.5" x14ac:dyDescent="0.25">
      <c r="A2597" s="106">
        <v>10835</v>
      </c>
      <c r="B2597" s="108" t="s">
        <v>8032</v>
      </c>
      <c r="C2597" s="110" t="s">
        <v>5755</v>
      </c>
      <c r="D2597" s="111">
        <v>2.8</v>
      </c>
    </row>
    <row r="2598" spans="1:4" x14ac:dyDescent="0.25">
      <c r="A2598" s="106">
        <v>3475</v>
      </c>
      <c r="B2598" s="108" t="s">
        <v>8033</v>
      </c>
      <c r="C2598" s="110" t="s">
        <v>5755</v>
      </c>
      <c r="D2598" s="111">
        <v>2.92</v>
      </c>
    </row>
    <row r="2599" spans="1:4" x14ac:dyDescent="0.25">
      <c r="A2599" s="106">
        <v>3485</v>
      </c>
      <c r="B2599" s="108" t="s">
        <v>8034</v>
      </c>
      <c r="C2599" s="110" t="s">
        <v>5755</v>
      </c>
      <c r="D2599" s="111">
        <v>9.34</v>
      </c>
    </row>
    <row r="2600" spans="1:4" x14ac:dyDescent="0.25">
      <c r="A2600" s="106">
        <v>3534</v>
      </c>
      <c r="B2600" s="108" t="s">
        <v>8035</v>
      </c>
      <c r="C2600" s="110" t="s">
        <v>5755</v>
      </c>
      <c r="D2600" s="111">
        <v>3.69</v>
      </c>
    </row>
    <row r="2601" spans="1:4" x14ac:dyDescent="0.25">
      <c r="A2601" s="106">
        <v>3543</v>
      </c>
      <c r="B2601" s="108" t="s">
        <v>8036</v>
      </c>
      <c r="C2601" s="110" t="s">
        <v>5755</v>
      </c>
      <c r="D2601" s="111">
        <v>1.85</v>
      </c>
    </row>
    <row r="2602" spans="1:4" x14ac:dyDescent="0.25">
      <c r="A2602" s="106">
        <v>3482</v>
      </c>
      <c r="B2602" s="108" t="s">
        <v>8037</v>
      </c>
      <c r="C2602" s="110" t="s">
        <v>5755</v>
      </c>
      <c r="D2602" s="111">
        <v>4.6900000000000004</v>
      </c>
    </row>
    <row r="2603" spans="1:4" x14ac:dyDescent="0.25">
      <c r="A2603" s="106">
        <v>3505</v>
      </c>
      <c r="B2603" s="108" t="s">
        <v>8038</v>
      </c>
      <c r="C2603" s="110" t="s">
        <v>5755</v>
      </c>
      <c r="D2603" s="111">
        <v>2.66</v>
      </c>
    </row>
    <row r="2604" spans="1:4" ht="25.5" x14ac:dyDescent="0.25">
      <c r="A2604" s="106">
        <v>3516</v>
      </c>
      <c r="B2604" s="108" t="s">
        <v>8039</v>
      </c>
      <c r="C2604" s="110" t="s">
        <v>5755</v>
      </c>
      <c r="D2604" s="111">
        <v>0.73</v>
      </c>
    </row>
    <row r="2605" spans="1:4" ht="25.5" x14ac:dyDescent="0.25">
      <c r="A2605" s="106">
        <v>3517</v>
      </c>
      <c r="B2605" s="108" t="s">
        <v>8040</v>
      </c>
      <c r="C2605" s="110" t="s">
        <v>5755</v>
      </c>
      <c r="D2605" s="111">
        <v>2.56</v>
      </c>
    </row>
    <row r="2606" spans="1:4" ht="25.5" x14ac:dyDescent="0.25">
      <c r="A2606" s="106">
        <v>3515</v>
      </c>
      <c r="B2606" s="108" t="s">
        <v>8041</v>
      </c>
      <c r="C2606" s="110" t="s">
        <v>5755</v>
      </c>
      <c r="D2606" s="111">
        <v>4.3099999999999996</v>
      </c>
    </row>
    <row r="2607" spans="1:4" ht="25.5" x14ac:dyDescent="0.25">
      <c r="A2607" s="106">
        <v>20147</v>
      </c>
      <c r="B2607" s="108" t="s">
        <v>8042</v>
      </c>
      <c r="C2607" s="110" t="s">
        <v>5755</v>
      </c>
      <c r="D2607" s="111">
        <v>4.6399999999999997</v>
      </c>
    </row>
    <row r="2608" spans="1:4" ht="25.5" x14ac:dyDescent="0.25">
      <c r="A2608" s="106">
        <v>3524</v>
      </c>
      <c r="B2608" s="108" t="s">
        <v>8043</v>
      </c>
      <c r="C2608" s="110" t="s">
        <v>5755</v>
      </c>
      <c r="D2608" s="111">
        <v>5.5</v>
      </c>
    </row>
    <row r="2609" spans="1:4" ht="25.5" x14ac:dyDescent="0.25">
      <c r="A2609" s="106">
        <v>3532</v>
      </c>
      <c r="B2609" s="108" t="s">
        <v>8044</v>
      </c>
      <c r="C2609" s="110" t="s">
        <v>5755</v>
      </c>
      <c r="D2609" s="111">
        <v>10.07</v>
      </c>
    </row>
    <row r="2610" spans="1:4" ht="25.5" x14ac:dyDescent="0.25">
      <c r="A2610" s="106">
        <v>3528</v>
      </c>
      <c r="B2610" s="108" t="s">
        <v>8045</v>
      </c>
      <c r="C2610" s="110" t="s">
        <v>5755</v>
      </c>
      <c r="D2610" s="111">
        <v>5.78</v>
      </c>
    </row>
    <row r="2611" spans="1:4" ht="25.5" x14ac:dyDescent="0.25">
      <c r="A2611" s="106">
        <v>37952</v>
      </c>
      <c r="B2611" s="108" t="s">
        <v>8046</v>
      </c>
      <c r="C2611" s="110" t="s">
        <v>5755</v>
      </c>
      <c r="D2611" s="111">
        <v>41.2</v>
      </c>
    </row>
    <row r="2612" spans="1:4" ht="25.5" x14ac:dyDescent="0.25">
      <c r="A2612" s="106">
        <v>37951</v>
      </c>
      <c r="B2612" s="108" t="s">
        <v>8047</v>
      </c>
      <c r="C2612" s="110" t="s">
        <v>5755</v>
      </c>
      <c r="D2612" s="111">
        <v>1.5</v>
      </c>
    </row>
    <row r="2613" spans="1:4" ht="25.5" x14ac:dyDescent="0.25">
      <c r="A2613" s="106">
        <v>3518</v>
      </c>
      <c r="B2613" s="108" t="s">
        <v>8048</v>
      </c>
      <c r="C2613" s="110" t="s">
        <v>5755</v>
      </c>
      <c r="D2613" s="111">
        <v>2.19</v>
      </c>
    </row>
    <row r="2614" spans="1:4" ht="25.5" x14ac:dyDescent="0.25">
      <c r="A2614" s="106">
        <v>3519</v>
      </c>
      <c r="B2614" s="108" t="s">
        <v>8049</v>
      </c>
      <c r="C2614" s="110" t="s">
        <v>5755</v>
      </c>
      <c r="D2614" s="111">
        <v>5.19</v>
      </c>
    </row>
    <row r="2615" spans="1:4" ht="25.5" x14ac:dyDescent="0.25">
      <c r="A2615" s="106">
        <v>3520</v>
      </c>
      <c r="B2615" s="108" t="s">
        <v>8050</v>
      </c>
      <c r="C2615" s="110" t="s">
        <v>5755</v>
      </c>
      <c r="D2615" s="111">
        <v>5.82</v>
      </c>
    </row>
    <row r="2616" spans="1:4" ht="25.5" x14ac:dyDescent="0.25">
      <c r="A2616" s="106">
        <v>37950</v>
      </c>
      <c r="B2616" s="108" t="s">
        <v>8051</v>
      </c>
      <c r="C2616" s="110" t="s">
        <v>5755</v>
      </c>
      <c r="D2616" s="111">
        <v>35.869999999999997</v>
      </c>
    </row>
    <row r="2617" spans="1:4" ht="25.5" x14ac:dyDescent="0.25">
      <c r="A2617" s="106">
        <v>37949</v>
      </c>
      <c r="B2617" s="108" t="s">
        <v>8052</v>
      </c>
      <c r="C2617" s="110" t="s">
        <v>5755</v>
      </c>
      <c r="D2617" s="111">
        <v>1.31</v>
      </c>
    </row>
    <row r="2618" spans="1:4" ht="25.5" x14ac:dyDescent="0.25">
      <c r="A2618" s="106">
        <v>3526</v>
      </c>
      <c r="B2618" s="108" t="s">
        <v>8053</v>
      </c>
      <c r="C2618" s="110" t="s">
        <v>5755</v>
      </c>
      <c r="D2618" s="111">
        <v>1.76</v>
      </c>
    </row>
    <row r="2619" spans="1:4" ht="25.5" x14ac:dyDescent="0.25">
      <c r="A2619" s="106">
        <v>3509</v>
      </c>
      <c r="B2619" s="108" t="s">
        <v>8054</v>
      </c>
      <c r="C2619" s="110" t="s">
        <v>5755</v>
      </c>
      <c r="D2619" s="111">
        <v>4.58</v>
      </c>
    </row>
    <row r="2620" spans="1:4" x14ac:dyDescent="0.25">
      <c r="A2620" s="106">
        <v>3530</v>
      </c>
      <c r="B2620" s="108" t="s">
        <v>8055</v>
      </c>
      <c r="C2620" s="110" t="s">
        <v>5755</v>
      </c>
      <c r="D2620" s="111">
        <v>173.39</v>
      </c>
    </row>
    <row r="2621" spans="1:4" x14ac:dyDescent="0.25">
      <c r="A2621" s="106">
        <v>3542</v>
      </c>
      <c r="B2621" s="108" t="s">
        <v>8056</v>
      </c>
      <c r="C2621" s="110" t="s">
        <v>5755</v>
      </c>
      <c r="D2621" s="111">
        <v>0.4</v>
      </c>
    </row>
    <row r="2622" spans="1:4" x14ac:dyDescent="0.25">
      <c r="A2622" s="106">
        <v>3529</v>
      </c>
      <c r="B2622" s="108" t="s">
        <v>8057</v>
      </c>
      <c r="C2622" s="110" t="s">
        <v>5755</v>
      </c>
      <c r="D2622" s="111">
        <v>0.55000000000000004</v>
      </c>
    </row>
    <row r="2623" spans="1:4" x14ac:dyDescent="0.25">
      <c r="A2623" s="106">
        <v>3536</v>
      </c>
      <c r="B2623" s="108" t="s">
        <v>589</v>
      </c>
      <c r="C2623" s="110" t="s">
        <v>5755</v>
      </c>
      <c r="D2623" s="111">
        <v>1.66</v>
      </c>
    </row>
    <row r="2624" spans="1:4" x14ac:dyDescent="0.25">
      <c r="A2624" s="106">
        <v>3535</v>
      </c>
      <c r="B2624" s="108" t="s">
        <v>590</v>
      </c>
      <c r="C2624" s="110" t="s">
        <v>5755</v>
      </c>
      <c r="D2624" s="111">
        <v>3.94</v>
      </c>
    </row>
    <row r="2625" spans="1:4" x14ac:dyDescent="0.25">
      <c r="A2625" s="106">
        <v>3540</v>
      </c>
      <c r="B2625" s="108" t="s">
        <v>8058</v>
      </c>
      <c r="C2625" s="110" t="s">
        <v>5755</v>
      </c>
      <c r="D2625" s="111">
        <v>4.26</v>
      </c>
    </row>
    <row r="2626" spans="1:4" x14ac:dyDescent="0.25">
      <c r="A2626" s="106">
        <v>3539</v>
      </c>
      <c r="B2626" s="108" t="s">
        <v>8059</v>
      </c>
      <c r="C2626" s="110" t="s">
        <v>5755</v>
      </c>
      <c r="D2626" s="111">
        <v>18.489999999999998</v>
      </c>
    </row>
    <row r="2627" spans="1:4" x14ac:dyDescent="0.25">
      <c r="A2627" s="106">
        <v>3513</v>
      </c>
      <c r="B2627" s="108" t="s">
        <v>8060</v>
      </c>
      <c r="C2627" s="110" t="s">
        <v>5755</v>
      </c>
      <c r="D2627" s="111">
        <v>82.19</v>
      </c>
    </row>
    <row r="2628" spans="1:4" x14ac:dyDescent="0.25">
      <c r="A2628" s="106">
        <v>3492</v>
      </c>
      <c r="B2628" s="108" t="s">
        <v>8061</v>
      </c>
      <c r="C2628" s="110" t="s">
        <v>5755</v>
      </c>
      <c r="D2628" s="111">
        <v>15.82</v>
      </c>
    </row>
    <row r="2629" spans="1:4" x14ac:dyDescent="0.25">
      <c r="A2629" s="106">
        <v>3491</v>
      </c>
      <c r="B2629" s="108" t="s">
        <v>8062</v>
      </c>
      <c r="C2629" s="110" t="s">
        <v>5755</v>
      </c>
      <c r="D2629" s="111">
        <v>9.02</v>
      </c>
    </row>
    <row r="2630" spans="1:4" x14ac:dyDescent="0.25">
      <c r="A2630" s="106">
        <v>3493</v>
      </c>
      <c r="B2630" s="108" t="s">
        <v>8063</v>
      </c>
      <c r="C2630" s="110" t="s">
        <v>5755</v>
      </c>
      <c r="D2630" s="111">
        <v>21.63</v>
      </c>
    </row>
    <row r="2631" spans="1:4" ht="25.5" x14ac:dyDescent="0.25">
      <c r="A2631" s="106">
        <v>12628</v>
      </c>
      <c r="B2631" s="108" t="s">
        <v>8064</v>
      </c>
      <c r="C2631" s="110" t="s">
        <v>5755</v>
      </c>
      <c r="D2631" s="111">
        <v>5.79</v>
      </c>
    </row>
    <row r="2632" spans="1:4" ht="25.5" x14ac:dyDescent="0.25">
      <c r="A2632" s="106">
        <v>12629</v>
      </c>
      <c r="B2632" s="108" t="s">
        <v>8065</v>
      </c>
      <c r="C2632" s="110" t="s">
        <v>5755</v>
      </c>
      <c r="D2632" s="111">
        <v>6.28</v>
      </c>
    </row>
    <row r="2633" spans="1:4" x14ac:dyDescent="0.25">
      <c r="A2633" s="106">
        <v>3481</v>
      </c>
      <c r="B2633" s="108" t="s">
        <v>8066</v>
      </c>
      <c r="C2633" s="110" t="s">
        <v>5755</v>
      </c>
      <c r="D2633" s="111">
        <v>10.96</v>
      </c>
    </row>
    <row r="2634" spans="1:4" x14ac:dyDescent="0.25">
      <c r="A2634" s="106">
        <v>3510</v>
      </c>
      <c r="B2634" s="108" t="s">
        <v>8067</v>
      </c>
      <c r="C2634" s="110" t="s">
        <v>5755</v>
      </c>
      <c r="D2634" s="111">
        <v>10.24</v>
      </c>
    </row>
    <row r="2635" spans="1:4" x14ac:dyDescent="0.25">
      <c r="A2635" s="106">
        <v>3508</v>
      </c>
      <c r="B2635" s="108" t="s">
        <v>8068</v>
      </c>
      <c r="C2635" s="110" t="s">
        <v>5755</v>
      </c>
      <c r="D2635" s="111">
        <v>26.77</v>
      </c>
    </row>
    <row r="2636" spans="1:4" ht="25.5" x14ac:dyDescent="0.25">
      <c r="A2636" s="106">
        <v>38939</v>
      </c>
      <c r="B2636" s="108" t="s">
        <v>8069</v>
      </c>
      <c r="C2636" s="110" t="s">
        <v>5755</v>
      </c>
      <c r="D2636" s="111">
        <v>12.74</v>
      </c>
    </row>
    <row r="2637" spans="1:4" ht="25.5" x14ac:dyDescent="0.25">
      <c r="A2637" s="106">
        <v>38940</v>
      </c>
      <c r="B2637" s="108" t="s">
        <v>8070</v>
      </c>
      <c r="C2637" s="110" t="s">
        <v>5755</v>
      </c>
      <c r="D2637" s="111">
        <v>19.45</v>
      </c>
    </row>
    <row r="2638" spans="1:4" ht="25.5" x14ac:dyDescent="0.25">
      <c r="A2638" s="106">
        <v>38941</v>
      </c>
      <c r="B2638" s="108" t="s">
        <v>8071</v>
      </c>
      <c r="C2638" s="110" t="s">
        <v>5755</v>
      </c>
      <c r="D2638" s="111">
        <v>22.98</v>
      </c>
    </row>
    <row r="2639" spans="1:4" ht="25.5" x14ac:dyDescent="0.25">
      <c r="A2639" s="106">
        <v>38942</v>
      </c>
      <c r="B2639" s="108" t="s">
        <v>8072</v>
      </c>
      <c r="C2639" s="110" t="s">
        <v>5755</v>
      </c>
      <c r="D2639" s="111">
        <v>25.74</v>
      </c>
    </row>
    <row r="2640" spans="1:4" ht="25.5" x14ac:dyDescent="0.25">
      <c r="A2640" s="106">
        <v>38987</v>
      </c>
      <c r="B2640" s="108" t="s">
        <v>8073</v>
      </c>
      <c r="C2640" s="110" t="s">
        <v>5755</v>
      </c>
      <c r="D2640" s="111">
        <v>5.66</v>
      </c>
    </row>
    <row r="2641" spans="1:4" ht="25.5" x14ac:dyDescent="0.25">
      <c r="A2641" s="106">
        <v>38988</v>
      </c>
      <c r="B2641" s="108" t="s">
        <v>8074</v>
      </c>
      <c r="C2641" s="110" t="s">
        <v>5755</v>
      </c>
      <c r="D2641" s="111">
        <v>13.16</v>
      </c>
    </row>
    <row r="2642" spans="1:4" ht="25.5" x14ac:dyDescent="0.25">
      <c r="A2642" s="106">
        <v>38989</v>
      </c>
      <c r="B2642" s="108" t="s">
        <v>8075</v>
      </c>
      <c r="C2642" s="110" t="s">
        <v>5755</v>
      </c>
      <c r="D2642" s="111">
        <v>17.489999999999998</v>
      </c>
    </row>
    <row r="2643" spans="1:4" ht="25.5" x14ac:dyDescent="0.25">
      <c r="A2643" s="106">
        <v>38990</v>
      </c>
      <c r="B2643" s="108" t="s">
        <v>8076</v>
      </c>
      <c r="C2643" s="110" t="s">
        <v>5755</v>
      </c>
      <c r="D2643" s="111">
        <v>46.1</v>
      </c>
    </row>
    <row r="2644" spans="1:4" ht="25.5" x14ac:dyDescent="0.25">
      <c r="A2644" s="106">
        <v>38991</v>
      </c>
      <c r="B2644" s="108" t="s">
        <v>8077</v>
      </c>
      <c r="C2644" s="110" t="s">
        <v>5755</v>
      </c>
      <c r="D2644" s="111">
        <v>93.14</v>
      </c>
    </row>
    <row r="2645" spans="1:4" ht="25.5" x14ac:dyDescent="0.25">
      <c r="A2645" s="106">
        <v>38913</v>
      </c>
      <c r="B2645" s="108" t="s">
        <v>8078</v>
      </c>
      <c r="C2645" s="110" t="s">
        <v>5755</v>
      </c>
      <c r="D2645" s="111">
        <v>11.82</v>
      </c>
    </row>
    <row r="2646" spans="1:4" ht="25.5" x14ac:dyDescent="0.25">
      <c r="A2646" s="106">
        <v>38914</v>
      </c>
      <c r="B2646" s="108" t="s">
        <v>8079</v>
      </c>
      <c r="C2646" s="110" t="s">
        <v>5755</v>
      </c>
      <c r="D2646" s="111">
        <v>13.71</v>
      </c>
    </row>
    <row r="2647" spans="1:4" ht="25.5" x14ac:dyDescent="0.25">
      <c r="A2647" s="106">
        <v>38915</v>
      </c>
      <c r="B2647" s="108" t="s">
        <v>8080</v>
      </c>
      <c r="C2647" s="110" t="s">
        <v>5755</v>
      </c>
      <c r="D2647" s="111">
        <v>23.81</v>
      </c>
    </row>
    <row r="2648" spans="1:4" ht="25.5" x14ac:dyDescent="0.25">
      <c r="A2648" s="106">
        <v>38916</v>
      </c>
      <c r="B2648" s="108" t="s">
        <v>8081</v>
      </c>
      <c r="C2648" s="110" t="s">
        <v>5755</v>
      </c>
      <c r="D2648" s="111">
        <v>31.41</v>
      </c>
    </row>
    <row r="2649" spans="1:4" ht="25.5" x14ac:dyDescent="0.25">
      <c r="A2649" s="106">
        <v>39300</v>
      </c>
      <c r="B2649" s="108" t="s">
        <v>8082</v>
      </c>
      <c r="C2649" s="110" t="s">
        <v>5755</v>
      </c>
      <c r="D2649" s="111">
        <v>10.68</v>
      </c>
    </row>
    <row r="2650" spans="1:4" ht="25.5" x14ac:dyDescent="0.25">
      <c r="A2650" s="106">
        <v>39301</v>
      </c>
      <c r="B2650" s="108" t="s">
        <v>8083</v>
      </c>
      <c r="C2650" s="110" t="s">
        <v>5755</v>
      </c>
      <c r="D2650" s="111">
        <v>14.82</v>
      </c>
    </row>
    <row r="2651" spans="1:4" ht="25.5" x14ac:dyDescent="0.25">
      <c r="A2651" s="106">
        <v>39302</v>
      </c>
      <c r="B2651" s="108" t="s">
        <v>8084</v>
      </c>
      <c r="C2651" s="110" t="s">
        <v>5755</v>
      </c>
      <c r="D2651" s="111">
        <v>18.62</v>
      </c>
    </row>
    <row r="2652" spans="1:4" ht="25.5" x14ac:dyDescent="0.25">
      <c r="A2652" s="106">
        <v>39303</v>
      </c>
      <c r="B2652" s="108" t="s">
        <v>8085</v>
      </c>
      <c r="C2652" s="110" t="s">
        <v>5755</v>
      </c>
      <c r="D2652" s="111">
        <v>32.74</v>
      </c>
    </row>
    <row r="2653" spans="1:4" ht="25.5" x14ac:dyDescent="0.25">
      <c r="A2653" s="106">
        <v>38923</v>
      </c>
      <c r="B2653" s="108" t="s">
        <v>8086</v>
      </c>
      <c r="C2653" s="110" t="s">
        <v>5755</v>
      </c>
      <c r="D2653" s="111">
        <v>10.43</v>
      </c>
    </row>
    <row r="2654" spans="1:4" ht="25.5" x14ac:dyDescent="0.25">
      <c r="A2654" s="106">
        <v>38925</v>
      </c>
      <c r="B2654" s="108" t="s">
        <v>8087</v>
      </c>
      <c r="C2654" s="110" t="s">
        <v>5755</v>
      </c>
      <c r="D2654" s="111">
        <v>11.2</v>
      </c>
    </row>
    <row r="2655" spans="1:4" ht="25.5" x14ac:dyDescent="0.25">
      <c r="A2655" s="106">
        <v>38926</v>
      </c>
      <c r="B2655" s="108" t="s">
        <v>8088</v>
      </c>
      <c r="C2655" s="110" t="s">
        <v>5755</v>
      </c>
      <c r="D2655" s="111">
        <v>16.010000000000002</v>
      </c>
    </row>
    <row r="2656" spans="1:4" ht="25.5" x14ac:dyDescent="0.25">
      <c r="A2656" s="106">
        <v>38927</v>
      </c>
      <c r="B2656" s="108" t="s">
        <v>8089</v>
      </c>
      <c r="C2656" s="110" t="s">
        <v>5755</v>
      </c>
      <c r="D2656" s="111">
        <v>17.12</v>
      </c>
    </row>
    <row r="2657" spans="1:4" ht="25.5" x14ac:dyDescent="0.25">
      <c r="A2657" s="106">
        <v>39304</v>
      </c>
      <c r="B2657" s="108" t="s">
        <v>8090</v>
      </c>
      <c r="C2657" s="110" t="s">
        <v>5755</v>
      </c>
      <c r="D2657" s="111">
        <v>13.19</v>
      </c>
    </row>
    <row r="2658" spans="1:4" ht="25.5" x14ac:dyDescent="0.25">
      <c r="A2658" s="106">
        <v>38924</v>
      </c>
      <c r="B2658" s="108" t="s">
        <v>8091</v>
      </c>
      <c r="C2658" s="110" t="s">
        <v>5755</v>
      </c>
      <c r="D2658" s="111">
        <v>18.79</v>
      </c>
    </row>
    <row r="2659" spans="1:4" ht="25.5" x14ac:dyDescent="0.25">
      <c r="A2659" s="106">
        <v>39305</v>
      </c>
      <c r="B2659" s="108" t="s">
        <v>8092</v>
      </c>
      <c r="C2659" s="110" t="s">
        <v>5755</v>
      </c>
      <c r="D2659" s="111">
        <v>17.27</v>
      </c>
    </row>
    <row r="2660" spans="1:4" ht="25.5" x14ac:dyDescent="0.25">
      <c r="A2660" s="106">
        <v>39306</v>
      </c>
      <c r="B2660" s="108" t="s">
        <v>8093</v>
      </c>
      <c r="C2660" s="110" t="s">
        <v>5755</v>
      </c>
      <c r="D2660" s="111">
        <v>21.6</v>
      </c>
    </row>
    <row r="2661" spans="1:4" ht="25.5" x14ac:dyDescent="0.25">
      <c r="A2661" s="106">
        <v>38928</v>
      </c>
      <c r="B2661" s="108" t="s">
        <v>8094</v>
      </c>
      <c r="C2661" s="110" t="s">
        <v>5755</v>
      </c>
      <c r="D2661" s="111">
        <v>18.98</v>
      </c>
    </row>
    <row r="2662" spans="1:4" ht="25.5" x14ac:dyDescent="0.25">
      <c r="A2662" s="106">
        <v>38929</v>
      </c>
      <c r="B2662" s="108" t="s">
        <v>8095</v>
      </c>
      <c r="C2662" s="110" t="s">
        <v>5755</v>
      </c>
      <c r="D2662" s="111">
        <v>33.64</v>
      </c>
    </row>
    <row r="2663" spans="1:4" ht="25.5" x14ac:dyDescent="0.25">
      <c r="A2663" s="106">
        <v>39307</v>
      </c>
      <c r="B2663" s="108" t="s">
        <v>8096</v>
      </c>
      <c r="C2663" s="110" t="s">
        <v>5755</v>
      </c>
      <c r="D2663" s="111">
        <v>24.86</v>
      </c>
    </row>
    <row r="2664" spans="1:4" ht="25.5" x14ac:dyDescent="0.25">
      <c r="A2664" s="106">
        <v>38930</v>
      </c>
      <c r="B2664" s="108" t="s">
        <v>8097</v>
      </c>
      <c r="C2664" s="110" t="s">
        <v>5755</v>
      </c>
      <c r="D2664" s="111">
        <v>42.27</v>
      </c>
    </row>
    <row r="2665" spans="1:4" ht="25.5" x14ac:dyDescent="0.25">
      <c r="A2665" s="106">
        <v>38931</v>
      </c>
      <c r="B2665" s="108" t="s">
        <v>8098</v>
      </c>
      <c r="C2665" s="110" t="s">
        <v>5755</v>
      </c>
      <c r="D2665" s="111">
        <v>10.64</v>
      </c>
    </row>
    <row r="2666" spans="1:4" ht="25.5" x14ac:dyDescent="0.25">
      <c r="A2666" s="106">
        <v>38932</v>
      </c>
      <c r="B2666" s="108" t="s">
        <v>8099</v>
      </c>
      <c r="C2666" s="110" t="s">
        <v>5755</v>
      </c>
      <c r="D2666" s="111">
        <v>10.75</v>
      </c>
    </row>
    <row r="2667" spans="1:4" ht="25.5" x14ac:dyDescent="0.25">
      <c r="A2667" s="106">
        <v>38934</v>
      </c>
      <c r="B2667" s="108" t="s">
        <v>8100</v>
      </c>
      <c r="C2667" s="110" t="s">
        <v>5755</v>
      </c>
      <c r="D2667" s="111">
        <v>15.88</v>
      </c>
    </row>
    <row r="2668" spans="1:4" ht="25.5" x14ac:dyDescent="0.25">
      <c r="A2668" s="106">
        <v>38935</v>
      </c>
      <c r="B2668" s="108" t="s">
        <v>8101</v>
      </c>
      <c r="C2668" s="110" t="s">
        <v>5755</v>
      </c>
      <c r="D2668" s="111">
        <v>17</v>
      </c>
    </row>
    <row r="2669" spans="1:4" ht="25.5" x14ac:dyDescent="0.25">
      <c r="A2669" s="106">
        <v>38936</v>
      </c>
      <c r="B2669" s="108" t="s">
        <v>8102</v>
      </c>
      <c r="C2669" s="110" t="s">
        <v>5755</v>
      </c>
      <c r="D2669" s="111">
        <v>18.2</v>
      </c>
    </row>
    <row r="2670" spans="1:4" ht="25.5" x14ac:dyDescent="0.25">
      <c r="A2670" s="106">
        <v>38937</v>
      </c>
      <c r="B2670" s="108" t="s">
        <v>8103</v>
      </c>
      <c r="C2670" s="110" t="s">
        <v>5755</v>
      </c>
      <c r="D2670" s="111">
        <v>22.19</v>
      </c>
    </row>
    <row r="2671" spans="1:4" ht="25.5" x14ac:dyDescent="0.25">
      <c r="A2671" s="106">
        <v>38938</v>
      </c>
      <c r="B2671" s="108" t="s">
        <v>8104</v>
      </c>
      <c r="C2671" s="110" t="s">
        <v>5755</v>
      </c>
      <c r="D2671" s="111">
        <v>32.99</v>
      </c>
    </row>
    <row r="2672" spans="1:4" ht="25.5" x14ac:dyDescent="0.25">
      <c r="A2672" s="106">
        <v>3489</v>
      </c>
      <c r="B2672" s="108" t="s">
        <v>8105</v>
      </c>
      <c r="C2672" s="110" t="s">
        <v>5755</v>
      </c>
      <c r="D2672" s="111">
        <v>10.119999999999999</v>
      </c>
    </row>
    <row r="2673" spans="1:4" x14ac:dyDescent="0.25">
      <c r="A2673" s="106">
        <v>20151</v>
      </c>
      <c r="B2673" s="108" t="s">
        <v>8106</v>
      </c>
      <c r="C2673" s="110" t="s">
        <v>5755</v>
      </c>
      <c r="D2673" s="111">
        <v>16.149999999999999</v>
      </c>
    </row>
    <row r="2674" spans="1:4" x14ac:dyDescent="0.25">
      <c r="A2674" s="106">
        <v>20152</v>
      </c>
      <c r="B2674" s="108" t="s">
        <v>8107</v>
      </c>
      <c r="C2674" s="110" t="s">
        <v>5755</v>
      </c>
      <c r="D2674" s="111">
        <v>56.2</v>
      </c>
    </row>
    <row r="2675" spans="1:4" x14ac:dyDescent="0.25">
      <c r="A2675" s="106">
        <v>20148</v>
      </c>
      <c r="B2675" s="108" t="s">
        <v>8108</v>
      </c>
      <c r="C2675" s="110" t="s">
        <v>5755</v>
      </c>
      <c r="D2675" s="111">
        <v>3.21</v>
      </c>
    </row>
    <row r="2676" spans="1:4" x14ac:dyDescent="0.25">
      <c r="A2676" s="106">
        <v>20149</v>
      </c>
      <c r="B2676" s="108" t="s">
        <v>8109</v>
      </c>
      <c r="C2676" s="110" t="s">
        <v>5755</v>
      </c>
      <c r="D2676" s="111">
        <v>4.97</v>
      </c>
    </row>
    <row r="2677" spans="1:4" x14ac:dyDescent="0.25">
      <c r="A2677" s="106">
        <v>20150</v>
      </c>
      <c r="B2677" s="108" t="s">
        <v>8110</v>
      </c>
      <c r="C2677" s="110" t="s">
        <v>5755</v>
      </c>
      <c r="D2677" s="111">
        <v>11.59</v>
      </c>
    </row>
    <row r="2678" spans="1:4" x14ac:dyDescent="0.25">
      <c r="A2678" s="106">
        <v>20157</v>
      </c>
      <c r="B2678" s="108" t="s">
        <v>8111</v>
      </c>
      <c r="C2678" s="110" t="s">
        <v>5755</v>
      </c>
      <c r="D2678" s="111">
        <v>21.79</v>
      </c>
    </row>
    <row r="2679" spans="1:4" x14ac:dyDescent="0.25">
      <c r="A2679" s="106">
        <v>20158</v>
      </c>
      <c r="B2679" s="108" t="s">
        <v>8112</v>
      </c>
      <c r="C2679" s="110" t="s">
        <v>5755</v>
      </c>
      <c r="D2679" s="111">
        <v>72.400000000000006</v>
      </c>
    </row>
    <row r="2680" spans="1:4" x14ac:dyDescent="0.25">
      <c r="A2680" s="106">
        <v>20154</v>
      </c>
      <c r="B2680" s="108" t="s">
        <v>8113</v>
      </c>
      <c r="C2680" s="110" t="s">
        <v>5755</v>
      </c>
      <c r="D2680" s="111">
        <v>4.13</v>
      </c>
    </row>
    <row r="2681" spans="1:4" x14ac:dyDescent="0.25">
      <c r="A2681" s="106">
        <v>20155</v>
      </c>
      <c r="B2681" s="108" t="s">
        <v>8114</v>
      </c>
      <c r="C2681" s="110" t="s">
        <v>5755</v>
      </c>
      <c r="D2681" s="111">
        <v>6.18</v>
      </c>
    </row>
    <row r="2682" spans="1:4" x14ac:dyDescent="0.25">
      <c r="A2682" s="106">
        <v>20156</v>
      </c>
      <c r="B2682" s="108" t="s">
        <v>8115</v>
      </c>
      <c r="C2682" s="110" t="s">
        <v>5755</v>
      </c>
      <c r="D2682" s="111">
        <v>13.91</v>
      </c>
    </row>
    <row r="2683" spans="1:4" x14ac:dyDescent="0.25">
      <c r="A2683" s="106">
        <v>3512</v>
      </c>
      <c r="B2683" s="108" t="s">
        <v>8116</v>
      </c>
      <c r="C2683" s="110" t="s">
        <v>5755</v>
      </c>
      <c r="D2683" s="111">
        <v>158.57</v>
      </c>
    </row>
    <row r="2684" spans="1:4" x14ac:dyDescent="0.25">
      <c r="A2684" s="106">
        <v>3499</v>
      </c>
      <c r="B2684" s="108" t="s">
        <v>8117</v>
      </c>
      <c r="C2684" s="110" t="s">
        <v>5755</v>
      </c>
      <c r="D2684" s="111">
        <v>0.67</v>
      </c>
    </row>
    <row r="2685" spans="1:4" x14ac:dyDescent="0.25">
      <c r="A2685" s="106">
        <v>3500</v>
      </c>
      <c r="B2685" s="108" t="s">
        <v>8118</v>
      </c>
      <c r="C2685" s="110" t="s">
        <v>5755</v>
      </c>
      <c r="D2685" s="111">
        <v>1.1299999999999999</v>
      </c>
    </row>
    <row r="2686" spans="1:4" x14ac:dyDescent="0.25">
      <c r="A2686" s="106">
        <v>3501</v>
      </c>
      <c r="B2686" s="108" t="s">
        <v>622</v>
      </c>
      <c r="C2686" s="110" t="s">
        <v>5755</v>
      </c>
      <c r="D2686" s="111">
        <v>3.29</v>
      </c>
    </row>
    <row r="2687" spans="1:4" x14ac:dyDescent="0.25">
      <c r="A2687" s="106">
        <v>3502</v>
      </c>
      <c r="B2687" s="108" t="s">
        <v>588</v>
      </c>
      <c r="C2687" s="110" t="s">
        <v>5755</v>
      </c>
      <c r="D2687" s="111">
        <v>4.68</v>
      </c>
    </row>
    <row r="2688" spans="1:4" x14ac:dyDescent="0.25">
      <c r="A2688" s="106">
        <v>3503</v>
      </c>
      <c r="B2688" s="108" t="s">
        <v>8119</v>
      </c>
      <c r="C2688" s="110" t="s">
        <v>5755</v>
      </c>
      <c r="D2688" s="111">
        <v>5.6</v>
      </c>
    </row>
    <row r="2689" spans="1:4" x14ac:dyDescent="0.25">
      <c r="A2689" s="106">
        <v>3477</v>
      </c>
      <c r="B2689" s="108" t="s">
        <v>8120</v>
      </c>
      <c r="C2689" s="110" t="s">
        <v>5755</v>
      </c>
      <c r="D2689" s="111">
        <v>21.7</v>
      </c>
    </row>
    <row r="2690" spans="1:4" x14ac:dyDescent="0.25">
      <c r="A2690" s="106">
        <v>3478</v>
      </c>
      <c r="B2690" s="108" t="s">
        <v>8121</v>
      </c>
      <c r="C2690" s="110" t="s">
        <v>5755</v>
      </c>
      <c r="D2690" s="111">
        <v>49.87</v>
      </c>
    </row>
    <row r="2691" spans="1:4" x14ac:dyDescent="0.25">
      <c r="A2691" s="106">
        <v>3525</v>
      </c>
      <c r="B2691" s="108" t="s">
        <v>8122</v>
      </c>
      <c r="C2691" s="110" t="s">
        <v>5755</v>
      </c>
      <c r="D2691" s="111">
        <v>59.17</v>
      </c>
    </row>
    <row r="2692" spans="1:4" x14ac:dyDescent="0.25">
      <c r="A2692" s="106">
        <v>3511</v>
      </c>
      <c r="B2692" s="108" t="s">
        <v>8123</v>
      </c>
      <c r="C2692" s="110" t="s">
        <v>5755</v>
      </c>
      <c r="D2692" s="111">
        <v>69.430000000000007</v>
      </c>
    </row>
    <row r="2693" spans="1:4" ht="25.5" x14ac:dyDescent="0.25">
      <c r="A2693" s="106">
        <v>38917</v>
      </c>
      <c r="B2693" s="108" t="s">
        <v>8124</v>
      </c>
      <c r="C2693" s="110" t="s">
        <v>5755</v>
      </c>
      <c r="D2693" s="111">
        <v>10.18</v>
      </c>
    </row>
    <row r="2694" spans="1:4" ht="25.5" x14ac:dyDescent="0.25">
      <c r="A2694" s="106">
        <v>38919</v>
      </c>
      <c r="B2694" s="108" t="s">
        <v>8125</v>
      </c>
      <c r="C2694" s="110" t="s">
        <v>5755</v>
      </c>
      <c r="D2694" s="111">
        <v>15.15</v>
      </c>
    </row>
    <row r="2695" spans="1:4" ht="25.5" x14ac:dyDescent="0.25">
      <c r="A2695" s="106">
        <v>38922</v>
      </c>
      <c r="B2695" s="108" t="s">
        <v>8126</v>
      </c>
      <c r="C2695" s="110" t="s">
        <v>5755</v>
      </c>
      <c r="D2695" s="111">
        <v>19.57</v>
      </c>
    </row>
    <row r="2696" spans="1:4" ht="25.5" x14ac:dyDescent="0.25">
      <c r="A2696" s="106">
        <v>38921</v>
      </c>
      <c r="B2696" s="108" t="s">
        <v>8127</v>
      </c>
      <c r="C2696" s="110" t="s">
        <v>5755</v>
      </c>
      <c r="D2696" s="111">
        <v>24.2</v>
      </c>
    </row>
    <row r="2697" spans="1:4" ht="25.5" x14ac:dyDescent="0.25">
      <c r="A2697" s="106">
        <v>38918</v>
      </c>
      <c r="B2697" s="108" t="s">
        <v>8128</v>
      </c>
      <c r="C2697" s="110" t="s">
        <v>5755</v>
      </c>
      <c r="D2697" s="111">
        <v>23</v>
      </c>
    </row>
    <row r="2698" spans="1:4" ht="25.5" x14ac:dyDescent="0.25">
      <c r="A2698" s="106">
        <v>38920</v>
      </c>
      <c r="B2698" s="108" t="s">
        <v>8129</v>
      </c>
      <c r="C2698" s="110" t="s">
        <v>5755</v>
      </c>
      <c r="D2698" s="111">
        <v>28.75</v>
      </c>
    </row>
    <row r="2699" spans="1:4" ht="51" x14ac:dyDescent="0.25">
      <c r="A2699" s="106">
        <v>3104</v>
      </c>
      <c r="B2699" s="108" t="s">
        <v>8130</v>
      </c>
      <c r="C2699" s="110" t="s">
        <v>7020</v>
      </c>
      <c r="D2699" s="111">
        <v>371.92</v>
      </c>
    </row>
    <row r="2700" spans="1:4" ht="38.25" x14ac:dyDescent="0.25">
      <c r="A2700" s="106">
        <v>12032</v>
      </c>
      <c r="B2700" s="108" t="s">
        <v>8131</v>
      </c>
      <c r="C2700" s="110" t="s">
        <v>6162</v>
      </c>
      <c r="D2700" s="111">
        <v>45.27</v>
      </c>
    </row>
    <row r="2701" spans="1:4" ht="38.25" x14ac:dyDescent="0.25">
      <c r="A2701" s="106">
        <v>12030</v>
      </c>
      <c r="B2701" s="108" t="s">
        <v>8132</v>
      </c>
      <c r="C2701" s="110" t="s">
        <v>6162</v>
      </c>
      <c r="D2701" s="111">
        <v>42.54</v>
      </c>
    </row>
    <row r="2702" spans="1:4" ht="25.5" x14ac:dyDescent="0.25">
      <c r="A2702" s="106">
        <v>10908</v>
      </c>
      <c r="B2702" s="108" t="s">
        <v>8133</v>
      </c>
      <c r="C2702" s="110" t="s">
        <v>5755</v>
      </c>
      <c r="D2702" s="111">
        <v>12.2</v>
      </c>
    </row>
    <row r="2703" spans="1:4" ht="25.5" x14ac:dyDescent="0.25">
      <c r="A2703" s="106">
        <v>10909</v>
      </c>
      <c r="B2703" s="108" t="s">
        <v>8134</v>
      </c>
      <c r="C2703" s="110" t="s">
        <v>5755</v>
      </c>
      <c r="D2703" s="111">
        <v>19.46</v>
      </c>
    </row>
    <row r="2704" spans="1:4" ht="25.5" x14ac:dyDescent="0.25">
      <c r="A2704" s="106">
        <v>3669</v>
      </c>
      <c r="B2704" s="108" t="s">
        <v>8135</v>
      </c>
      <c r="C2704" s="110" t="s">
        <v>5755</v>
      </c>
      <c r="D2704" s="111">
        <v>8.34</v>
      </c>
    </row>
    <row r="2705" spans="1:4" ht="25.5" x14ac:dyDescent="0.25">
      <c r="A2705" s="106">
        <v>20138</v>
      </c>
      <c r="B2705" s="108" t="s">
        <v>8136</v>
      </c>
      <c r="C2705" s="110" t="s">
        <v>5755</v>
      </c>
      <c r="D2705" s="111">
        <v>41.42</v>
      </c>
    </row>
    <row r="2706" spans="1:4" ht="25.5" x14ac:dyDescent="0.25">
      <c r="A2706" s="106">
        <v>20139</v>
      </c>
      <c r="B2706" s="108" t="s">
        <v>8137</v>
      </c>
      <c r="C2706" s="110" t="s">
        <v>5755</v>
      </c>
      <c r="D2706" s="111">
        <v>69.59</v>
      </c>
    </row>
    <row r="2707" spans="1:4" ht="25.5" x14ac:dyDescent="0.25">
      <c r="A2707" s="106">
        <v>3668</v>
      </c>
      <c r="B2707" s="108" t="s">
        <v>8138</v>
      </c>
      <c r="C2707" s="110" t="s">
        <v>5755</v>
      </c>
      <c r="D2707" s="111">
        <v>27.59</v>
      </c>
    </row>
    <row r="2708" spans="1:4" ht="25.5" x14ac:dyDescent="0.25">
      <c r="A2708" s="106">
        <v>3656</v>
      </c>
      <c r="B2708" s="108" t="s">
        <v>8139</v>
      </c>
      <c r="C2708" s="110" t="s">
        <v>5755</v>
      </c>
      <c r="D2708" s="111">
        <v>13.67</v>
      </c>
    </row>
    <row r="2709" spans="1:4" ht="25.5" x14ac:dyDescent="0.25">
      <c r="A2709" s="106">
        <v>10911</v>
      </c>
      <c r="B2709" s="108" t="s">
        <v>8140</v>
      </c>
      <c r="C2709" s="110" t="s">
        <v>5755</v>
      </c>
      <c r="D2709" s="111">
        <v>15.18</v>
      </c>
    </row>
    <row r="2710" spans="1:4" x14ac:dyDescent="0.25">
      <c r="A2710" s="106">
        <v>3654</v>
      </c>
      <c r="B2710" s="108" t="s">
        <v>8141</v>
      </c>
      <c r="C2710" s="110" t="s">
        <v>5755</v>
      </c>
      <c r="D2710" s="111">
        <v>3.52</v>
      </c>
    </row>
    <row r="2711" spans="1:4" x14ac:dyDescent="0.25">
      <c r="A2711" s="106">
        <v>3664</v>
      </c>
      <c r="B2711" s="108" t="s">
        <v>8142</v>
      </c>
      <c r="C2711" s="110" t="s">
        <v>5755</v>
      </c>
      <c r="D2711" s="111">
        <v>4.37</v>
      </c>
    </row>
    <row r="2712" spans="1:4" x14ac:dyDescent="0.25">
      <c r="A2712" s="106">
        <v>3657</v>
      </c>
      <c r="B2712" s="108" t="s">
        <v>8143</v>
      </c>
      <c r="C2712" s="110" t="s">
        <v>5755</v>
      </c>
      <c r="D2712" s="111">
        <v>4.71</v>
      </c>
    </row>
    <row r="2713" spans="1:4" ht="25.5" x14ac:dyDescent="0.25">
      <c r="A2713" s="106">
        <v>12625</v>
      </c>
      <c r="B2713" s="108" t="s">
        <v>8144</v>
      </c>
      <c r="C2713" s="110" t="s">
        <v>5755</v>
      </c>
      <c r="D2713" s="111">
        <v>7.94</v>
      </c>
    </row>
    <row r="2714" spans="1:4" x14ac:dyDescent="0.25">
      <c r="A2714" s="106">
        <v>20136</v>
      </c>
      <c r="B2714" s="108" t="s">
        <v>8145</v>
      </c>
      <c r="C2714" s="110" t="s">
        <v>5755</v>
      </c>
      <c r="D2714" s="111">
        <v>93.48</v>
      </c>
    </row>
    <row r="2715" spans="1:4" x14ac:dyDescent="0.25">
      <c r="A2715" s="106">
        <v>20144</v>
      </c>
      <c r="B2715" s="108" t="s">
        <v>8146</v>
      </c>
      <c r="C2715" s="110" t="s">
        <v>5755</v>
      </c>
      <c r="D2715" s="111">
        <v>41.06</v>
      </c>
    </row>
    <row r="2716" spans="1:4" x14ac:dyDescent="0.25">
      <c r="A2716" s="106">
        <v>20143</v>
      </c>
      <c r="B2716" s="108" t="s">
        <v>8147</v>
      </c>
      <c r="C2716" s="110" t="s">
        <v>5755</v>
      </c>
      <c r="D2716" s="111">
        <v>38.35</v>
      </c>
    </row>
    <row r="2717" spans="1:4" x14ac:dyDescent="0.25">
      <c r="A2717" s="106">
        <v>20145</v>
      </c>
      <c r="B2717" s="108" t="s">
        <v>8148</v>
      </c>
      <c r="C2717" s="110" t="s">
        <v>5755</v>
      </c>
      <c r="D2717" s="111">
        <v>108.83</v>
      </c>
    </row>
    <row r="2718" spans="1:4" x14ac:dyDescent="0.25">
      <c r="A2718" s="106">
        <v>20146</v>
      </c>
      <c r="B2718" s="108" t="s">
        <v>8149</v>
      </c>
      <c r="C2718" s="110" t="s">
        <v>5755</v>
      </c>
      <c r="D2718" s="111">
        <v>122.72</v>
      </c>
    </row>
    <row r="2719" spans="1:4" x14ac:dyDescent="0.25">
      <c r="A2719" s="106">
        <v>20140</v>
      </c>
      <c r="B2719" s="108" t="s">
        <v>8150</v>
      </c>
      <c r="C2719" s="110" t="s">
        <v>5755</v>
      </c>
      <c r="D2719" s="111">
        <v>4.88</v>
      </c>
    </row>
    <row r="2720" spans="1:4" x14ac:dyDescent="0.25">
      <c r="A2720" s="106">
        <v>20141</v>
      </c>
      <c r="B2720" s="108" t="s">
        <v>8151</v>
      </c>
      <c r="C2720" s="110" t="s">
        <v>5755</v>
      </c>
      <c r="D2720" s="111">
        <v>8.57</v>
      </c>
    </row>
    <row r="2721" spans="1:4" x14ac:dyDescent="0.25">
      <c r="A2721" s="106">
        <v>20142</v>
      </c>
      <c r="B2721" s="108" t="s">
        <v>8152</v>
      </c>
      <c r="C2721" s="110" t="s">
        <v>5755</v>
      </c>
      <c r="D2721" s="111">
        <v>26.24</v>
      </c>
    </row>
    <row r="2722" spans="1:4" ht="25.5" x14ac:dyDescent="0.25">
      <c r="A2722" s="106">
        <v>3659</v>
      </c>
      <c r="B2722" s="108" t="s">
        <v>551</v>
      </c>
      <c r="C2722" s="110" t="s">
        <v>5755</v>
      </c>
      <c r="D2722" s="111">
        <v>11.38</v>
      </c>
    </row>
    <row r="2723" spans="1:4" ht="25.5" x14ac:dyDescent="0.25">
      <c r="A2723" s="106">
        <v>3660</v>
      </c>
      <c r="B2723" s="108" t="s">
        <v>8153</v>
      </c>
      <c r="C2723" s="110" t="s">
        <v>5755</v>
      </c>
      <c r="D2723" s="111">
        <v>16.41</v>
      </c>
    </row>
    <row r="2724" spans="1:4" ht="25.5" x14ac:dyDescent="0.25">
      <c r="A2724" s="106">
        <v>3662</v>
      </c>
      <c r="B2724" s="108" t="s">
        <v>8154</v>
      </c>
      <c r="C2724" s="110" t="s">
        <v>5755</v>
      </c>
      <c r="D2724" s="111">
        <v>6.2</v>
      </c>
    </row>
    <row r="2725" spans="1:4" ht="25.5" x14ac:dyDescent="0.25">
      <c r="A2725" s="106">
        <v>3661</v>
      </c>
      <c r="B2725" s="108" t="s">
        <v>8155</v>
      </c>
      <c r="C2725" s="110" t="s">
        <v>5755</v>
      </c>
      <c r="D2725" s="111">
        <v>9.1199999999999992</v>
      </c>
    </row>
    <row r="2726" spans="1:4" ht="25.5" x14ac:dyDescent="0.25">
      <c r="A2726" s="106">
        <v>3658</v>
      </c>
      <c r="B2726" s="108" t="s">
        <v>8156</v>
      </c>
      <c r="C2726" s="110" t="s">
        <v>5755</v>
      </c>
      <c r="D2726" s="111">
        <v>11.61</v>
      </c>
    </row>
    <row r="2727" spans="1:4" ht="25.5" x14ac:dyDescent="0.25">
      <c r="A2727" s="106">
        <v>3670</v>
      </c>
      <c r="B2727" s="108" t="s">
        <v>8157</v>
      </c>
      <c r="C2727" s="110" t="s">
        <v>5755</v>
      </c>
      <c r="D2727" s="111">
        <v>15.14</v>
      </c>
    </row>
    <row r="2728" spans="1:4" ht="25.5" x14ac:dyDescent="0.25">
      <c r="A2728" s="106">
        <v>3666</v>
      </c>
      <c r="B2728" s="108" t="s">
        <v>8158</v>
      </c>
      <c r="C2728" s="110" t="s">
        <v>5755</v>
      </c>
      <c r="D2728" s="111">
        <v>2.56</v>
      </c>
    </row>
    <row r="2729" spans="1:4" x14ac:dyDescent="0.25">
      <c r="A2729" s="106">
        <v>14157</v>
      </c>
      <c r="B2729" s="108" t="s">
        <v>8159</v>
      </c>
      <c r="C2729" s="110" t="s">
        <v>5755</v>
      </c>
      <c r="D2729" s="111">
        <v>1.07</v>
      </c>
    </row>
    <row r="2730" spans="1:4" ht="25.5" x14ac:dyDescent="0.25">
      <c r="A2730" s="106">
        <v>3653</v>
      </c>
      <c r="B2730" s="108" t="s">
        <v>8160</v>
      </c>
      <c r="C2730" s="110" t="s">
        <v>5755</v>
      </c>
      <c r="D2730" s="111">
        <v>59.04</v>
      </c>
    </row>
    <row r="2731" spans="1:4" ht="25.5" x14ac:dyDescent="0.25">
      <c r="A2731" s="106">
        <v>3649</v>
      </c>
      <c r="B2731" s="108" t="s">
        <v>8161</v>
      </c>
      <c r="C2731" s="110" t="s">
        <v>5755</v>
      </c>
      <c r="D2731" s="111">
        <v>122.3</v>
      </c>
    </row>
    <row r="2732" spans="1:4" ht="25.5" x14ac:dyDescent="0.25">
      <c r="A2732" s="106">
        <v>42696</v>
      </c>
      <c r="B2732" s="108" t="s">
        <v>8162</v>
      </c>
      <c r="C2732" s="110" t="s">
        <v>5755</v>
      </c>
      <c r="D2732" s="111">
        <v>342.18</v>
      </c>
    </row>
    <row r="2733" spans="1:4" ht="25.5" x14ac:dyDescent="0.25">
      <c r="A2733" s="106">
        <v>42697</v>
      </c>
      <c r="B2733" s="108" t="s">
        <v>8163</v>
      </c>
      <c r="C2733" s="110" t="s">
        <v>5755</v>
      </c>
      <c r="D2733" s="111">
        <v>515.34</v>
      </c>
    </row>
    <row r="2734" spans="1:4" ht="25.5" x14ac:dyDescent="0.25">
      <c r="A2734" s="106">
        <v>42698</v>
      </c>
      <c r="B2734" s="108" t="s">
        <v>8164</v>
      </c>
      <c r="C2734" s="110" t="s">
        <v>5755</v>
      </c>
      <c r="D2734" s="111">
        <v>717.85</v>
      </c>
    </row>
    <row r="2735" spans="1:4" x14ac:dyDescent="0.25">
      <c r="A2735" s="106">
        <v>39875</v>
      </c>
      <c r="B2735" s="108" t="s">
        <v>8165</v>
      </c>
      <c r="C2735" s="110" t="s">
        <v>5755</v>
      </c>
      <c r="D2735" s="111">
        <v>424.07</v>
      </c>
    </row>
    <row r="2736" spans="1:4" x14ac:dyDescent="0.25">
      <c r="A2736" s="106">
        <v>39876</v>
      </c>
      <c r="B2736" s="108" t="s">
        <v>8166</v>
      </c>
      <c r="C2736" s="110" t="s">
        <v>5755</v>
      </c>
      <c r="D2736" s="111">
        <v>530.94000000000005</v>
      </c>
    </row>
    <row r="2737" spans="1:4" x14ac:dyDescent="0.25">
      <c r="A2737" s="106">
        <v>39877</v>
      </c>
      <c r="B2737" s="108" t="s">
        <v>8167</v>
      </c>
      <c r="C2737" s="110" t="s">
        <v>5755</v>
      </c>
      <c r="D2737" s="111">
        <v>736.39</v>
      </c>
    </row>
    <row r="2738" spans="1:4" x14ac:dyDescent="0.25">
      <c r="A2738" s="106">
        <v>39878</v>
      </c>
      <c r="B2738" s="108" t="s">
        <v>8168</v>
      </c>
      <c r="C2738" s="110" t="s">
        <v>5755</v>
      </c>
      <c r="D2738" s="111">
        <v>972.65</v>
      </c>
    </row>
    <row r="2739" spans="1:4" x14ac:dyDescent="0.25">
      <c r="A2739" s="106">
        <v>39872</v>
      </c>
      <c r="B2739" s="108" t="s">
        <v>8169</v>
      </c>
      <c r="C2739" s="110" t="s">
        <v>5755</v>
      </c>
      <c r="D2739" s="111">
        <v>290.82</v>
      </c>
    </row>
    <row r="2740" spans="1:4" x14ac:dyDescent="0.25">
      <c r="A2740" s="106">
        <v>39873</v>
      </c>
      <c r="B2740" s="108" t="s">
        <v>8170</v>
      </c>
      <c r="C2740" s="110" t="s">
        <v>5755</v>
      </c>
      <c r="D2740" s="111">
        <v>337.33</v>
      </c>
    </row>
    <row r="2741" spans="1:4" x14ac:dyDescent="0.25">
      <c r="A2741" s="106">
        <v>39874</v>
      </c>
      <c r="B2741" s="108" t="s">
        <v>8171</v>
      </c>
      <c r="C2741" s="110" t="s">
        <v>5755</v>
      </c>
      <c r="D2741" s="111">
        <v>370.51</v>
      </c>
    </row>
    <row r="2742" spans="1:4" ht="25.5" x14ac:dyDescent="0.25">
      <c r="A2742" s="106">
        <v>3674</v>
      </c>
      <c r="B2742" s="108" t="s">
        <v>8172</v>
      </c>
      <c r="C2742" s="110" t="s">
        <v>5767</v>
      </c>
      <c r="D2742" s="111">
        <v>59.04</v>
      </c>
    </row>
    <row r="2743" spans="1:4" ht="25.5" x14ac:dyDescent="0.25">
      <c r="A2743" s="106">
        <v>3681</v>
      </c>
      <c r="B2743" s="108" t="s">
        <v>8173</v>
      </c>
      <c r="C2743" s="110" t="s">
        <v>5767</v>
      </c>
      <c r="D2743" s="111">
        <v>87.85</v>
      </c>
    </row>
    <row r="2744" spans="1:4" ht="25.5" x14ac:dyDescent="0.25">
      <c r="A2744" s="106">
        <v>3676</v>
      </c>
      <c r="B2744" s="108" t="s">
        <v>8174</v>
      </c>
      <c r="C2744" s="110" t="s">
        <v>5767</v>
      </c>
      <c r="D2744" s="111">
        <v>330.62</v>
      </c>
    </row>
    <row r="2745" spans="1:4" ht="25.5" x14ac:dyDescent="0.25">
      <c r="A2745" s="106">
        <v>3679</v>
      </c>
      <c r="B2745" s="108" t="s">
        <v>8175</v>
      </c>
      <c r="C2745" s="110" t="s">
        <v>5767</v>
      </c>
      <c r="D2745" s="111">
        <v>273.52999999999997</v>
      </c>
    </row>
    <row r="2746" spans="1:4" ht="25.5" x14ac:dyDescent="0.25">
      <c r="A2746" s="106">
        <v>3672</v>
      </c>
      <c r="B2746" s="108" t="s">
        <v>8176</v>
      </c>
      <c r="C2746" s="110" t="s">
        <v>5767</v>
      </c>
      <c r="D2746" s="111">
        <v>0.93</v>
      </c>
    </row>
    <row r="2747" spans="1:4" ht="25.5" x14ac:dyDescent="0.25">
      <c r="A2747" s="106">
        <v>3671</v>
      </c>
      <c r="B2747" s="108" t="s">
        <v>8177</v>
      </c>
      <c r="C2747" s="110" t="s">
        <v>5767</v>
      </c>
      <c r="D2747" s="111">
        <v>0.88</v>
      </c>
    </row>
    <row r="2748" spans="1:4" ht="25.5" x14ac:dyDescent="0.25">
      <c r="A2748" s="106">
        <v>3673</v>
      </c>
      <c r="B2748" s="108" t="s">
        <v>8178</v>
      </c>
      <c r="C2748" s="110" t="s">
        <v>5767</v>
      </c>
      <c r="D2748" s="111">
        <v>1.38</v>
      </c>
    </row>
    <row r="2749" spans="1:4" ht="25.5" x14ac:dyDescent="0.25">
      <c r="A2749" s="106">
        <v>38394</v>
      </c>
      <c r="B2749" s="108" t="s">
        <v>8179</v>
      </c>
      <c r="C2749" s="110" t="s">
        <v>5755</v>
      </c>
      <c r="D2749" s="111">
        <v>293.05</v>
      </c>
    </row>
    <row r="2750" spans="1:4" ht="25.5" x14ac:dyDescent="0.25">
      <c r="A2750" s="106">
        <v>3729</v>
      </c>
      <c r="B2750" s="108" t="s">
        <v>8180</v>
      </c>
      <c r="C2750" s="110" t="s">
        <v>5755</v>
      </c>
      <c r="D2750" s="111">
        <v>58.87</v>
      </c>
    </row>
    <row r="2751" spans="1:4" ht="76.5" x14ac:dyDescent="0.25">
      <c r="A2751" s="106">
        <v>39357</v>
      </c>
      <c r="B2751" s="108" t="s">
        <v>8181</v>
      </c>
      <c r="C2751" s="110" t="s">
        <v>5755</v>
      </c>
      <c r="D2751" s="111">
        <v>92.5</v>
      </c>
    </row>
    <row r="2752" spans="1:4" ht="76.5" x14ac:dyDescent="0.25">
      <c r="A2752" s="106">
        <v>39358</v>
      </c>
      <c r="B2752" s="108" t="s">
        <v>8182</v>
      </c>
      <c r="C2752" s="110" t="s">
        <v>5755</v>
      </c>
      <c r="D2752" s="111">
        <v>101.43</v>
      </c>
    </row>
    <row r="2753" spans="1:4" ht="76.5" x14ac:dyDescent="0.25">
      <c r="A2753" s="106">
        <v>39356</v>
      </c>
      <c r="B2753" s="108" t="s">
        <v>8183</v>
      </c>
      <c r="C2753" s="110" t="s">
        <v>5755</v>
      </c>
      <c r="D2753" s="111">
        <v>173.05</v>
      </c>
    </row>
    <row r="2754" spans="1:4" ht="76.5" x14ac:dyDescent="0.25">
      <c r="A2754" s="106">
        <v>39355</v>
      </c>
      <c r="B2754" s="108" t="s">
        <v>8184</v>
      </c>
      <c r="C2754" s="110" t="s">
        <v>5755</v>
      </c>
      <c r="D2754" s="111">
        <v>148.91</v>
      </c>
    </row>
    <row r="2755" spans="1:4" ht="76.5" x14ac:dyDescent="0.25">
      <c r="A2755" s="106">
        <v>39353</v>
      </c>
      <c r="B2755" s="108" t="s">
        <v>8185</v>
      </c>
      <c r="C2755" s="110" t="s">
        <v>5755</v>
      </c>
      <c r="D2755" s="111">
        <v>204.21</v>
      </c>
    </row>
    <row r="2756" spans="1:4" ht="76.5" x14ac:dyDescent="0.25">
      <c r="A2756" s="106">
        <v>39354</v>
      </c>
      <c r="B2756" s="108" t="s">
        <v>8186</v>
      </c>
      <c r="C2756" s="110" t="s">
        <v>5755</v>
      </c>
      <c r="D2756" s="111">
        <v>203.53</v>
      </c>
    </row>
    <row r="2757" spans="1:4" x14ac:dyDescent="0.25">
      <c r="A2757" s="106">
        <v>39398</v>
      </c>
      <c r="B2757" s="108" t="s">
        <v>8187</v>
      </c>
      <c r="C2757" s="110" t="s">
        <v>5755</v>
      </c>
      <c r="D2757" s="111">
        <v>61.95</v>
      </c>
    </row>
    <row r="2758" spans="1:4" ht="25.5" x14ac:dyDescent="0.25">
      <c r="A2758" s="106">
        <v>13343</v>
      </c>
      <c r="B2758" s="108" t="s">
        <v>8188</v>
      </c>
      <c r="C2758" s="110" t="s">
        <v>5755</v>
      </c>
      <c r="D2758" s="111">
        <v>30.91</v>
      </c>
    </row>
    <row r="2759" spans="1:4" ht="25.5" x14ac:dyDescent="0.25">
      <c r="A2759" s="106">
        <v>12118</v>
      </c>
      <c r="B2759" s="108" t="s">
        <v>8189</v>
      </c>
      <c r="C2759" s="110" t="s">
        <v>5755</v>
      </c>
      <c r="D2759" s="111">
        <v>13.54</v>
      </c>
    </row>
    <row r="2760" spans="1:4" ht="51" x14ac:dyDescent="0.25">
      <c r="A2760" s="106">
        <v>39482</v>
      </c>
      <c r="B2760" s="108" t="s">
        <v>8190</v>
      </c>
      <c r="C2760" s="110" t="s">
        <v>5755</v>
      </c>
      <c r="D2760" s="111">
        <v>471.94</v>
      </c>
    </row>
    <row r="2761" spans="1:4" ht="51" x14ac:dyDescent="0.25">
      <c r="A2761" s="106">
        <v>39486</v>
      </c>
      <c r="B2761" s="108" t="s">
        <v>8191</v>
      </c>
      <c r="C2761" s="110" t="s">
        <v>5755</v>
      </c>
      <c r="D2761" s="111">
        <v>415.79</v>
      </c>
    </row>
    <row r="2762" spans="1:4" ht="51" x14ac:dyDescent="0.25">
      <c r="A2762" s="106">
        <v>39483</v>
      </c>
      <c r="B2762" s="108" t="s">
        <v>8192</v>
      </c>
      <c r="C2762" s="110" t="s">
        <v>5755</v>
      </c>
      <c r="D2762" s="111">
        <v>450.12</v>
      </c>
    </row>
    <row r="2763" spans="1:4" ht="51" x14ac:dyDescent="0.25">
      <c r="A2763" s="106">
        <v>39487</v>
      </c>
      <c r="B2763" s="108" t="s">
        <v>8193</v>
      </c>
      <c r="C2763" s="110" t="s">
        <v>5755</v>
      </c>
      <c r="D2763" s="111">
        <v>420.09</v>
      </c>
    </row>
    <row r="2764" spans="1:4" ht="51" x14ac:dyDescent="0.25">
      <c r="A2764" s="106">
        <v>39484</v>
      </c>
      <c r="B2764" s="108" t="s">
        <v>8194</v>
      </c>
      <c r="C2764" s="110" t="s">
        <v>5755</v>
      </c>
      <c r="D2764" s="111">
        <v>454.41</v>
      </c>
    </row>
    <row r="2765" spans="1:4" ht="51" x14ac:dyDescent="0.25">
      <c r="A2765" s="106">
        <v>39488</v>
      </c>
      <c r="B2765" s="108" t="s">
        <v>8195</v>
      </c>
      <c r="C2765" s="110" t="s">
        <v>5755</v>
      </c>
      <c r="D2765" s="111">
        <v>424.38</v>
      </c>
    </row>
    <row r="2766" spans="1:4" ht="51" x14ac:dyDescent="0.25">
      <c r="A2766" s="106">
        <v>39485</v>
      </c>
      <c r="B2766" s="108" t="s">
        <v>8196</v>
      </c>
      <c r="C2766" s="110" t="s">
        <v>5755</v>
      </c>
      <c r="D2766" s="111">
        <v>475.89</v>
      </c>
    </row>
    <row r="2767" spans="1:4" ht="51" x14ac:dyDescent="0.25">
      <c r="A2767" s="106">
        <v>39489</v>
      </c>
      <c r="B2767" s="108" t="s">
        <v>8197</v>
      </c>
      <c r="C2767" s="110" t="s">
        <v>5755</v>
      </c>
      <c r="D2767" s="111">
        <v>445.85</v>
      </c>
    </row>
    <row r="2768" spans="1:4" ht="51" x14ac:dyDescent="0.25">
      <c r="A2768" s="106">
        <v>39494</v>
      </c>
      <c r="B2768" s="108" t="s">
        <v>8198</v>
      </c>
      <c r="C2768" s="110" t="s">
        <v>5755</v>
      </c>
      <c r="D2768" s="111">
        <v>454.78</v>
      </c>
    </row>
    <row r="2769" spans="1:4" ht="51" x14ac:dyDescent="0.25">
      <c r="A2769" s="106">
        <v>39490</v>
      </c>
      <c r="B2769" s="108" t="s">
        <v>8199</v>
      </c>
      <c r="C2769" s="110" t="s">
        <v>5755</v>
      </c>
      <c r="D2769" s="111">
        <v>515.53</v>
      </c>
    </row>
    <row r="2770" spans="1:4" ht="51" x14ac:dyDescent="0.25">
      <c r="A2770" s="106">
        <v>39495</v>
      </c>
      <c r="B2770" s="108" t="s">
        <v>8200</v>
      </c>
      <c r="C2770" s="110" t="s">
        <v>5755</v>
      </c>
      <c r="D2770" s="111">
        <v>471.94</v>
      </c>
    </row>
    <row r="2771" spans="1:4" ht="51" x14ac:dyDescent="0.25">
      <c r="A2771" s="106">
        <v>39491</v>
      </c>
      <c r="B2771" s="108" t="s">
        <v>8201</v>
      </c>
      <c r="C2771" s="110" t="s">
        <v>5755</v>
      </c>
      <c r="D2771" s="111">
        <v>532</v>
      </c>
    </row>
    <row r="2772" spans="1:4" ht="51" x14ac:dyDescent="0.25">
      <c r="A2772" s="106">
        <v>39496</v>
      </c>
      <c r="B2772" s="108" t="s">
        <v>8202</v>
      </c>
      <c r="C2772" s="110" t="s">
        <v>5755</v>
      </c>
      <c r="D2772" s="111">
        <v>488.93</v>
      </c>
    </row>
    <row r="2773" spans="1:4" ht="51" x14ac:dyDescent="0.25">
      <c r="A2773" s="106">
        <v>39492</v>
      </c>
      <c r="B2773" s="108" t="s">
        <v>8203</v>
      </c>
      <c r="C2773" s="110" t="s">
        <v>5755</v>
      </c>
      <c r="D2773" s="111">
        <v>535.27</v>
      </c>
    </row>
    <row r="2774" spans="1:4" ht="51" x14ac:dyDescent="0.25">
      <c r="A2774" s="106">
        <v>39497</v>
      </c>
      <c r="B2774" s="108" t="s">
        <v>8204</v>
      </c>
      <c r="C2774" s="110" t="s">
        <v>5755</v>
      </c>
      <c r="D2774" s="111">
        <v>506.09</v>
      </c>
    </row>
    <row r="2775" spans="1:4" ht="51" x14ac:dyDescent="0.25">
      <c r="A2775" s="106">
        <v>39493</v>
      </c>
      <c r="B2775" s="108" t="s">
        <v>8205</v>
      </c>
      <c r="C2775" s="110" t="s">
        <v>5755</v>
      </c>
      <c r="D2775" s="111">
        <v>566.33000000000004</v>
      </c>
    </row>
    <row r="2776" spans="1:4" ht="51" x14ac:dyDescent="0.25">
      <c r="A2776" s="106">
        <v>39500</v>
      </c>
      <c r="B2776" s="108" t="s">
        <v>8206</v>
      </c>
      <c r="C2776" s="110" t="s">
        <v>5755</v>
      </c>
      <c r="D2776" s="111">
        <v>568.17999999999995</v>
      </c>
    </row>
    <row r="2777" spans="1:4" ht="51" x14ac:dyDescent="0.25">
      <c r="A2777" s="106">
        <v>39498</v>
      </c>
      <c r="B2777" s="108" t="s">
        <v>8207</v>
      </c>
      <c r="C2777" s="110" t="s">
        <v>5755</v>
      </c>
      <c r="D2777" s="111">
        <v>631.79999999999995</v>
      </c>
    </row>
    <row r="2778" spans="1:4" ht="51" x14ac:dyDescent="0.25">
      <c r="A2778" s="106">
        <v>39501</v>
      </c>
      <c r="B2778" s="108" t="s">
        <v>8208</v>
      </c>
      <c r="C2778" s="110" t="s">
        <v>5755</v>
      </c>
      <c r="D2778" s="111">
        <v>582.97</v>
      </c>
    </row>
    <row r="2779" spans="1:4" ht="51" x14ac:dyDescent="0.25">
      <c r="A2779" s="106">
        <v>39499</v>
      </c>
      <c r="B2779" s="108" t="s">
        <v>8209</v>
      </c>
      <c r="C2779" s="110" t="s">
        <v>5755</v>
      </c>
      <c r="D2779" s="111">
        <v>685.39</v>
      </c>
    </row>
    <row r="2780" spans="1:4" ht="25.5" x14ac:dyDescent="0.25">
      <c r="A2780" s="106">
        <v>3733</v>
      </c>
      <c r="B2780" s="108" t="s">
        <v>8210</v>
      </c>
      <c r="C2780" s="110" t="s">
        <v>5757</v>
      </c>
      <c r="D2780" s="111">
        <v>50.23</v>
      </c>
    </row>
    <row r="2781" spans="1:4" x14ac:dyDescent="0.25">
      <c r="A2781" s="106">
        <v>3731</v>
      </c>
      <c r="B2781" s="108" t="s">
        <v>8211</v>
      </c>
      <c r="C2781" s="110" t="s">
        <v>5757</v>
      </c>
      <c r="D2781" s="111">
        <v>46.63</v>
      </c>
    </row>
    <row r="2782" spans="1:4" x14ac:dyDescent="0.25">
      <c r="A2782" s="106">
        <v>38137</v>
      </c>
      <c r="B2782" s="108" t="s">
        <v>8212</v>
      </c>
      <c r="C2782" s="110" t="s">
        <v>5757</v>
      </c>
      <c r="D2782" s="111">
        <v>46.9</v>
      </c>
    </row>
    <row r="2783" spans="1:4" ht="25.5" x14ac:dyDescent="0.25">
      <c r="A2783" s="106">
        <v>38135</v>
      </c>
      <c r="B2783" s="108" t="s">
        <v>8213</v>
      </c>
      <c r="C2783" s="110" t="s">
        <v>5757</v>
      </c>
      <c r="D2783" s="111">
        <v>59.46</v>
      </c>
    </row>
    <row r="2784" spans="1:4" x14ac:dyDescent="0.25">
      <c r="A2784" s="106">
        <v>38138</v>
      </c>
      <c r="B2784" s="108" t="s">
        <v>8214</v>
      </c>
      <c r="C2784" s="110" t="s">
        <v>5757</v>
      </c>
      <c r="D2784" s="111">
        <v>46.06</v>
      </c>
    </row>
    <row r="2785" spans="1:4" ht="38.25" x14ac:dyDescent="0.25">
      <c r="A2785" s="106">
        <v>3736</v>
      </c>
      <c r="B2785" s="108" t="s">
        <v>8215</v>
      </c>
      <c r="C2785" s="110" t="s">
        <v>5757</v>
      </c>
      <c r="D2785" s="111">
        <v>36.78</v>
      </c>
    </row>
    <row r="2786" spans="1:4" ht="38.25" x14ac:dyDescent="0.25">
      <c r="A2786" s="106">
        <v>3741</v>
      </c>
      <c r="B2786" s="108" t="s">
        <v>8216</v>
      </c>
      <c r="C2786" s="110" t="s">
        <v>5757</v>
      </c>
      <c r="D2786" s="111">
        <v>38.340000000000003</v>
      </c>
    </row>
    <row r="2787" spans="1:4" ht="38.25" x14ac:dyDescent="0.25">
      <c r="A2787" s="106">
        <v>3745</v>
      </c>
      <c r="B2787" s="108" t="s">
        <v>8217</v>
      </c>
      <c r="C2787" s="110" t="s">
        <v>5757</v>
      </c>
      <c r="D2787" s="111">
        <v>41.34</v>
      </c>
    </row>
    <row r="2788" spans="1:4" ht="38.25" x14ac:dyDescent="0.25">
      <c r="A2788" s="106">
        <v>3743</v>
      </c>
      <c r="B2788" s="108" t="s">
        <v>8218</v>
      </c>
      <c r="C2788" s="110" t="s">
        <v>5757</v>
      </c>
      <c r="D2788" s="111">
        <v>38.200000000000003</v>
      </c>
    </row>
    <row r="2789" spans="1:4" ht="38.25" x14ac:dyDescent="0.25">
      <c r="A2789" s="106">
        <v>3744</v>
      </c>
      <c r="B2789" s="108" t="s">
        <v>8219</v>
      </c>
      <c r="C2789" s="110" t="s">
        <v>5757</v>
      </c>
      <c r="D2789" s="111">
        <v>42.05</v>
      </c>
    </row>
    <row r="2790" spans="1:4" ht="38.25" x14ac:dyDescent="0.25">
      <c r="A2790" s="106">
        <v>3739</v>
      </c>
      <c r="B2790" s="108" t="s">
        <v>8220</v>
      </c>
      <c r="C2790" s="110" t="s">
        <v>5757</v>
      </c>
      <c r="D2790" s="111">
        <v>44.19</v>
      </c>
    </row>
    <row r="2791" spans="1:4" ht="38.25" x14ac:dyDescent="0.25">
      <c r="A2791" s="106">
        <v>3737</v>
      </c>
      <c r="B2791" s="108" t="s">
        <v>8221</v>
      </c>
      <c r="C2791" s="110" t="s">
        <v>5757</v>
      </c>
      <c r="D2791" s="111">
        <v>46.33</v>
      </c>
    </row>
    <row r="2792" spans="1:4" ht="38.25" x14ac:dyDescent="0.25">
      <c r="A2792" s="106">
        <v>3738</v>
      </c>
      <c r="B2792" s="108" t="s">
        <v>8222</v>
      </c>
      <c r="C2792" s="110" t="s">
        <v>5757</v>
      </c>
      <c r="D2792" s="111">
        <v>53.45</v>
      </c>
    </row>
    <row r="2793" spans="1:4" ht="38.25" x14ac:dyDescent="0.25">
      <c r="A2793" s="106">
        <v>3747</v>
      </c>
      <c r="B2793" s="108" t="s">
        <v>8223</v>
      </c>
      <c r="C2793" s="110" t="s">
        <v>5757</v>
      </c>
      <c r="D2793" s="111">
        <v>42.05</v>
      </c>
    </row>
    <row r="2794" spans="1:4" ht="25.5" x14ac:dyDescent="0.25">
      <c r="A2794" s="106">
        <v>11649</v>
      </c>
      <c r="B2794" s="108" t="s">
        <v>8224</v>
      </c>
      <c r="C2794" s="110" t="s">
        <v>5755</v>
      </c>
      <c r="D2794" s="111">
        <v>305.07</v>
      </c>
    </row>
    <row r="2795" spans="1:4" ht="25.5" x14ac:dyDescent="0.25">
      <c r="A2795" s="106">
        <v>11650</v>
      </c>
      <c r="B2795" s="108" t="s">
        <v>8225</v>
      </c>
      <c r="C2795" s="110" t="s">
        <v>5755</v>
      </c>
      <c r="D2795" s="111">
        <v>519.98</v>
      </c>
    </row>
    <row r="2796" spans="1:4" ht="38.25" x14ac:dyDescent="0.25">
      <c r="A2796" s="106">
        <v>3742</v>
      </c>
      <c r="B2796" s="108" t="s">
        <v>8226</v>
      </c>
      <c r="C2796" s="110" t="s">
        <v>5757</v>
      </c>
      <c r="D2796" s="111">
        <v>55.45</v>
      </c>
    </row>
    <row r="2797" spans="1:4" ht="38.25" x14ac:dyDescent="0.25">
      <c r="A2797" s="106">
        <v>3746</v>
      </c>
      <c r="B2797" s="108" t="s">
        <v>8227</v>
      </c>
      <c r="C2797" s="110" t="s">
        <v>5757</v>
      </c>
      <c r="D2797" s="111">
        <v>64.739999999999995</v>
      </c>
    </row>
    <row r="2798" spans="1:4" ht="38.25" x14ac:dyDescent="0.25">
      <c r="A2798" s="106">
        <v>21106</v>
      </c>
      <c r="B2798" s="108" t="s">
        <v>10682</v>
      </c>
      <c r="C2798" s="110" t="s">
        <v>5816</v>
      </c>
      <c r="D2798" s="111">
        <v>25.52</v>
      </c>
    </row>
    <row r="2799" spans="1:4" x14ac:dyDescent="0.25">
      <c r="A2799" s="106">
        <v>3755</v>
      </c>
      <c r="B2799" s="108" t="s">
        <v>8228</v>
      </c>
      <c r="C2799" s="110" t="s">
        <v>5755</v>
      </c>
      <c r="D2799" s="111">
        <v>15.1</v>
      </c>
    </row>
    <row r="2800" spans="1:4" x14ac:dyDescent="0.25">
      <c r="A2800" s="106">
        <v>3750</v>
      </c>
      <c r="B2800" s="108" t="s">
        <v>8229</v>
      </c>
      <c r="C2800" s="110" t="s">
        <v>5755</v>
      </c>
      <c r="D2800" s="111">
        <v>20.3</v>
      </c>
    </row>
    <row r="2801" spans="1:4" x14ac:dyDescent="0.25">
      <c r="A2801" s="106">
        <v>3756</v>
      </c>
      <c r="B2801" s="108" t="s">
        <v>8230</v>
      </c>
      <c r="C2801" s="110" t="s">
        <v>5755</v>
      </c>
      <c r="D2801" s="111">
        <v>37.93</v>
      </c>
    </row>
    <row r="2802" spans="1:4" ht="25.5" x14ac:dyDescent="0.25">
      <c r="A2802" s="106">
        <v>39377</v>
      </c>
      <c r="B2802" s="108" t="s">
        <v>8231</v>
      </c>
      <c r="C2802" s="110" t="s">
        <v>5755</v>
      </c>
      <c r="D2802" s="111">
        <v>112.38</v>
      </c>
    </row>
    <row r="2803" spans="1:4" ht="25.5" x14ac:dyDescent="0.25">
      <c r="A2803" s="106">
        <v>38191</v>
      </c>
      <c r="B2803" s="108" t="s">
        <v>8232</v>
      </c>
      <c r="C2803" s="110" t="s">
        <v>5755</v>
      </c>
      <c r="D2803" s="111">
        <v>8.36</v>
      </c>
    </row>
    <row r="2804" spans="1:4" ht="25.5" x14ac:dyDescent="0.25">
      <c r="A2804" s="106">
        <v>39381</v>
      </c>
      <c r="B2804" s="108" t="s">
        <v>8233</v>
      </c>
      <c r="C2804" s="110" t="s">
        <v>5755</v>
      </c>
      <c r="D2804" s="111">
        <v>7.8</v>
      </c>
    </row>
    <row r="2805" spans="1:4" ht="25.5" x14ac:dyDescent="0.25">
      <c r="A2805" s="106">
        <v>38780</v>
      </c>
      <c r="B2805" s="108" t="s">
        <v>8234</v>
      </c>
      <c r="C2805" s="110" t="s">
        <v>5755</v>
      </c>
      <c r="D2805" s="111">
        <v>9.5399999999999991</v>
      </c>
    </row>
    <row r="2806" spans="1:4" x14ac:dyDescent="0.25">
      <c r="A2806" s="106">
        <v>38781</v>
      </c>
      <c r="B2806" s="108" t="s">
        <v>8235</v>
      </c>
      <c r="C2806" s="110" t="s">
        <v>5755</v>
      </c>
      <c r="D2806" s="111">
        <v>32.229999999999997</v>
      </c>
    </row>
    <row r="2807" spans="1:4" x14ac:dyDescent="0.25">
      <c r="A2807" s="106">
        <v>38192</v>
      </c>
      <c r="B2807" s="108" t="s">
        <v>8236</v>
      </c>
      <c r="C2807" s="110" t="s">
        <v>5755</v>
      </c>
      <c r="D2807" s="111">
        <v>58.32</v>
      </c>
    </row>
    <row r="2808" spans="1:4" x14ac:dyDescent="0.25">
      <c r="A2808" s="106">
        <v>3753</v>
      </c>
      <c r="B2808" s="108" t="s">
        <v>8237</v>
      </c>
      <c r="C2808" s="110" t="s">
        <v>5755</v>
      </c>
      <c r="D2808" s="111">
        <v>5.0999999999999996</v>
      </c>
    </row>
    <row r="2809" spans="1:4" x14ac:dyDescent="0.25">
      <c r="A2809" s="106">
        <v>38782</v>
      </c>
      <c r="B2809" s="108" t="s">
        <v>8238</v>
      </c>
      <c r="C2809" s="110" t="s">
        <v>5755</v>
      </c>
      <c r="D2809" s="111">
        <v>6.64</v>
      </c>
    </row>
    <row r="2810" spans="1:4" x14ac:dyDescent="0.25">
      <c r="A2810" s="106">
        <v>38778</v>
      </c>
      <c r="B2810" s="108" t="s">
        <v>8239</v>
      </c>
      <c r="C2810" s="110" t="s">
        <v>5755</v>
      </c>
      <c r="D2810" s="111">
        <v>4.99</v>
      </c>
    </row>
    <row r="2811" spans="1:4" x14ac:dyDescent="0.25">
      <c r="A2811" s="106">
        <v>38779</v>
      </c>
      <c r="B2811" s="108" t="s">
        <v>8240</v>
      </c>
      <c r="C2811" s="110" t="s">
        <v>5755</v>
      </c>
      <c r="D2811" s="111">
        <v>5.29</v>
      </c>
    </row>
    <row r="2812" spans="1:4" x14ac:dyDescent="0.25">
      <c r="A2812" s="106">
        <v>39388</v>
      </c>
      <c r="B2812" s="108" t="s">
        <v>8241</v>
      </c>
      <c r="C2812" s="110" t="s">
        <v>5755</v>
      </c>
      <c r="D2812" s="111">
        <v>8.59</v>
      </c>
    </row>
    <row r="2813" spans="1:4" x14ac:dyDescent="0.25">
      <c r="A2813" s="106">
        <v>39387</v>
      </c>
      <c r="B2813" s="108" t="s">
        <v>527</v>
      </c>
      <c r="C2813" s="110" t="s">
        <v>5755</v>
      </c>
      <c r="D2813" s="111">
        <v>13.4</v>
      </c>
    </row>
    <row r="2814" spans="1:4" x14ac:dyDescent="0.25">
      <c r="A2814" s="106">
        <v>39386</v>
      </c>
      <c r="B2814" s="108" t="s">
        <v>8242</v>
      </c>
      <c r="C2814" s="110" t="s">
        <v>5755</v>
      </c>
      <c r="D2814" s="111">
        <v>9.34</v>
      </c>
    </row>
    <row r="2815" spans="1:4" x14ac:dyDescent="0.25">
      <c r="A2815" s="106">
        <v>38194</v>
      </c>
      <c r="B2815" s="108" t="s">
        <v>522</v>
      </c>
      <c r="C2815" s="110" t="s">
        <v>5755</v>
      </c>
      <c r="D2815" s="111">
        <v>6.99</v>
      </c>
    </row>
    <row r="2816" spans="1:4" x14ac:dyDescent="0.25">
      <c r="A2816" s="106">
        <v>38193</v>
      </c>
      <c r="B2816" s="108" t="s">
        <v>8243</v>
      </c>
      <c r="C2816" s="110" t="s">
        <v>5755</v>
      </c>
      <c r="D2816" s="111">
        <v>6.07</v>
      </c>
    </row>
    <row r="2817" spans="1:4" x14ac:dyDescent="0.25">
      <c r="A2817" s="106">
        <v>12216</v>
      </c>
      <c r="B2817" s="108" t="s">
        <v>8244</v>
      </c>
      <c r="C2817" s="110" t="s">
        <v>5755</v>
      </c>
      <c r="D2817" s="111">
        <v>29.17</v>
      </c>
    </row>
    <row r="2818" spans="1:4" x14ac:dyDescent="0.25">
      <c r="A2818" s="106">
        <v>3757</v>
      </c>
      <c r="B2818" s="108" t="s">
        <v>8245</v>
      </c>
      <c r="C2818" s="110" t="s">
        <v>5755</v>
      </c>
      <c r="D2818" s="111">
        <v>33.72</v>
      </c>
    </row>
    <row r="2819" spans="1:4" x14ac:dyDescent="0.25">
      <c r="A2819" s="106">
        <v>3758</v>
      </c>
      <c r="B2819" s="108" t="s">
        <v>8246</v>
      </c>
      <c r="C2819" s="110" t="s">
        <v>5755</v>
      </c>
      <c r="D2819" s="111">
        <v>39.32</v>
      </c>
    </row>
    <row r="2820" spans="1:4" x14ac:dyDescent="0.25">
      <c r="A2820" s="106">
        <v>12214</v>
      </c>
      <c r="B2820" s="108" t="s">
        <v>8247</v>
      </c>
      <c r="C2820" s="110" t="s">
        <v>5755</v>
      </c>
      <c r="D2820" s="111">
        <v>13.46</v>
      </c>
    </row>
    <row r="2821" spans="1:4" x14ac:dyDescent="0.25">
      <c r="A2821" s="106">
        <v>3749</v>
      </c>
      <c r="B2821" s="108" t="s">
        <v>8248</v>
      </c>
      <c r="C2821" s="110" t="s">
        <v>5755</v>
      </c>
      <c r="D2821" s="111">
        <v>24</v>
      </c>
    </row>
    <row r="2822" spans="1:4" x14ac:dyDescent="0.25">
      <c r="A2822" s="106">
        <v>3751</v>
      </c>
      <c r="B2822" s="108" t="s">
        <v>8249</v>
      </c>
      <c r="C2822" s="110" t="s">
        <v>5755</v>
      </c>
      <c r="D2822" s="111">
        <v>32.75</v>
      </c>
    </row>
    <row r="2823" spans="1:4" x14ac:dyDescent="0.25">
      <c r="A2823" s="106">
        <v>39376</v>
      </c>
      <c r="B2823" s="108" t="s">
        <v>8250</v>
      </c>
      <c r="C2823" s="110" t="s">
        <v>5755</v>
      </c>
      <c r="D2823" s="111">
        <v>27.61</v>
      </c>
    </row>
    <row r="2824" spans="1:4" x14ac:dyDescent="0.25">
      <c r="A2824" s="106">
        <v>3752</v>
      </c>
      <c r="B2824" s="108" t="s">
        <v>8251</v>
      </c>
      <c r="C2824" s="110" t="s">
        <v>5755</v>
      </c>
      <c r="D2824" s="111">
        <v>54.03</v>
      </c>
    </row>
    <row r="2825" spans="1:4" ht="38.25" x14ac:dyDescent="0.25">
      <c r="A2825" s="106">
        <v>746</v>
      </c>
      <c r="B2825" s="108" t="s">
        <v>8252</v>
      </c>
      <c r="C2825" s="110" t="s">
        <v>5755</v>
      </c>
      <c r="D2825" s="111">
        <v>4175.8900000000003</v>
      </c>
    </row>
    <row r="2826" spans="1:4" x14ac:dyDescent="0.25">
      <c r="A2826" s="106">
        <v>36521</v>
      </c>
      <c r="B2826" s="108" t="s">
        <v>8253</v>
      </c>
      <c r="C2826" s="110" t="s">
        <v>5755</v>
      </c>
      <c r="D2826" s="111">
        <v>107.8</v>
      </c>
    </row>
    <row r="2827" spans="1:4" x14ac:dyDescent="0.25">
      <c r="A2827" s="106">
        <v>36794</v>
      </c>
      <c r="B2827" s="108" t="s">
        <v>8254</v>
      </c>
      <c r="C2827" s="110" t="s">
        <v>5755</v>
      </c>
      <c r="D2827" s="111">
        <v>109.89</v>
      </c>
    </row>
    <row r="2828" spans="1:4" x14ac:dyDescent="0.25">
      <c r="A2828" s="106">
        <v>10426</v>
      </c>
      <c r="B2828" s="108" t="s">
        <v>8255</v>
      </c>
      <c r="C2828" s="110" t="s">
        <v>5755</v>
      </c>
      <c r="D2828" s="111">
        <v>158.27000000000001</v>
      </c>
    </row>
    <row r="2829" spans="1:4" x14ac:dyDescent="0.25">
      <c r="A2829" s="106">
        <v>10425</v>
      </c>
      <c r="B2829" s="108" t="s">
        <v>8256</v>
      </c>
      <c r="C2829" s="110" t="s">
        <v>5755</v>
      </c>
      <c r="D2829" s="111">
        <v>69.790000000000006</v>
      </c>
    </row>
    <row r="2830" spans="1:4" x14ac:dyDescent="0.25">
      <c r="A2830" s="106">
        <v>10431</v>
      </c>
      <c r="B2830" s="108" t="s">
        <v>8257</v>
      </c>
      <c r="C2830" s="110" t="s">
        <v>5755</v>
      </c>
      <c r="D2830" s="111">
        <v>173.63</v>
      </c>
    </row>
    <row r="2831" spans="1:4" x14ac:dyDescent="0.25">
      <c r="A2831" s="106">
        <v>10429</v>
      </c>
      <c r="B2831" s="108" t="s">
        <v>8258</v>
      </c>
      <c r="C2831" s="110" t="s">
        <v>5755</v>
      </c>
      <c r="D2831" s="111">
        <v>83.24</v>
      </c>
    </row>
    <row r="2832" spans="1:4" ht="25.5" x14ac:dyDescent="0.25">
      <c r="A2832" s="106">
        <v>20269</v>
      </c>
      <c r="B2832" s="108" t="s">
        <v>467</v>
      </c>
      <c r="C2832" s="110" t="s">
        <v>5755</v>
      </c>
      <c r="D2832" s="111">
        <v>68.599999999999994</v>
      </c>
    </row>
    <row r="2833" spans="1:4" ht="25.5" x14ac:dyDescent="0.25">
      <c r="A2833" s="106">
        <v>20270</v>
      </c>
      <c r="B2833" s="108" t="s">
        <v>8259</v>
      </c>
      <c r="C2833" s="110" t="s">
        <v>5755</v>
      </c>
      <c r="D2833" s="111">
        <v>74.7</v>
      </c>
    </row>
    <row r="2834" spans="1:4" ht="25.5" x14ac:dyDescent="0.25">
      <c r="A2834" s="106">
        <v>11696</v>
      </c>
      <c r="B2834" s="108" t="s">
        <v>8260</v>
      </c>
      <c r="C2834" s="110" t="s">
        <v>5755</v>
      </c>
      <c r="D2834" s="111">
        <v>109.14</v>
      </c>
    </row>
    <row r="2835" spans="1:4" ht="25.5" x14ac:dyDescent="0.25">
      <c r="A2835" s="106">
        <v>10427</v>
      </c>
      <c r="B2835" s="108" t="s">
        <v>8261</v>
      </c>
      <c r="C2835" s="110" t="s">
        <v>5755</v>
      </c>
      <c r="D2835" s="111">
        <v>195.69</v>
      </c>
    </row>
    <row r="2836" spans="1:4" ht="25.5" x14ac:dyDescent="0.25">
      <c r="A2836" s="106">
        <v>10428</v>
      </c>
      <c r="B2836" s="108" t="s">
        <v>8262</v>
      </c>
      <c r="C2836" s="110" t="s">
        <v>5755</v>
      </c>
      <c r="D2836" s="111">
        <v>198.61</v>
      </c>
    </row>
    <row r="2837" spans="1:4" x14ac:dyDescent="0.25">
      <c r="A2837" s="106">
        <v>2354</v>
      </c>
      <c r="B2837" s="108" t="s">
        <v>8263</v>
      </c>
      <c r="C2837" s="110" t="s">
        <v>5759</v>
      </c>
      <c r="D2837" s="111">
        <v>8.4600000000000009</v>
      </c>
    </row>
    <row r="2838" spans="1:4" x14ac:dyDescent="0.25">
      <c r="A2838" s="106">
        <v>40932</v>
      </c>
      <c r="B2838" s="108" t="s">
        <v>8264</v>
      </c>
      <c r="C2838" s="110" t="s">
        <v>5906</v>
      </c>
      <c r="D2838" s="111">
        <v>1501.59</v>
      </c>
    </row>
    <row r="2839" spans="1:4" ht="25.5" x14ac:dyDescent="0.25">
      <c r="A2839" s="106">
        <v>10853</v>
      </c>
      <c r="B2839" s="108" t="s">
        <v>8265</v>
      </c>
      <c r="C2839" s="110" t="s">
        <v>5755</v>
      </c>
      <c r="D2839" s="111">
        <v>74.540000000000006</v>
      </c>
    </row>
    <row r="2840" spans="1:4" x14ac:dyDescent="0.25">
      <c r="A2840" s="106">
        <v>5093</v>
      </c>
      <c r="B2840" s="108" t="s">
        <v>8266</v>
      </c>
      <c r="C2840" s="110" t="s">
        <v>6130</v>
      </c>
      <c r="D2840" s="111">
        <v>14.39</v>
      </c>
    </row>
    <row r="2841" spans="1:4" ht="38.25" x14ac:dyDescent="0.25">
      <c r="A2841" s="106">
        <v>37768</v>
      </c>
      <c r="B2841" s="108" t="s">
        <v>8267</v>
      </c>
      <c r="C2841" s="110" t="s">
        <v>5755</v>
      </c>
      <c r="D2841" s="111">
        <v>98500</v>
      </c>
    </row>
    <row r="2842" spans="1:4" ht="25.5" x14ac:dyDescent="0.25">
      <c r="A2842" s="106">
        <v>37773</v>
      </c>
      <c r="B2842" s="108" t="s">
        <v>8268</v>
      </c>
      <c r="C2842" s="110" t="s">
        <v>5755</v>
      </c>
      <c r="D2842" s="111">
        <v>83643.100000000006</v>
      </c>
    </row>
    <row r="2843" spans="1:4" ht="25.5" x14ac:dyDescent="0.25">
      <c r="A2843" s="106">
        <v>37769</v>
      </c>
      <c r="B2843" s="108" t="s">
        <v>8269</v>
      </c>
      <c r="C2843" s="110" t="s">
        <v>5755</v>
      </c>
      <c r="D2843" s="111">
        <v>140029.09</v>
      </c>
    </row>
    <row r="2844" spans="1:4" ht="25.5" x14ac:dyDescent="0.25">
      <c r="A2844" s="106">
        <v>37770</v>
      </c>
      <c r="B2844" s="108" t="s">
        <v>8270</v>
      </c>
      <c r="C2844" s="110" t="s">
        <v>5755</v>
      </c>
      <c r="D2844" s="111">
        <v>237651.71</v>
      </c>
    </row>
    <row r="2845" spans="1:4" x14ac:dyDescent="0.25">
      <c r="A2845" s="106">
        <v>38382</v>
      </c>
      <c r="B2845" s="108" t="s">
        <v>8271</v>
      </c>
      <c r="C2845" s="110" t="s">
        <v>5755</v>
      </c>
      <c r="D2845" s="111">
        <v>10.66</v>
      </c>
    </row>
    <row r="2846" spans="1:4" x14ac:dyDescent="0.25">
      <c r="A2846" s="106">
        <v>6091</v>
      </c>
      <c r="B2846" s="108" t="s">
        <v>8272</v>
      </c>
      <c r="C2846" s="110" t="s">
        <v>5818</v>
      </c>
      <c r="D2846" s="111">
        <v>10.49</v>
      </c>
    </row>
    <row r="2847" spans="1:4" x14ac:dyDescent="0.25">
      <c r="A2847" s="106">
        <v>38383</v>
      </c>
      <c r="B2847" s="108" t="s">
        <v>549</v>
      </c>
      <c r="C2847" s="110" t="s">
        <v>5755</v>
      </c>
      <c r="D2847" s="111">
        <v>1.99</v>
      </c>
    </row>
    <row r="2848" spans="1:4" x14ac:dyDescent="0.25">
      <c r="A2848" s="106">
        <v>3768</v>
      </c>
      <c r="B2848" s="108" t="s">
        <v>8273</v>
      </c>
      <c r="C2848" s="110" t="s">
        <v>5755</v>
      </c>
      <c r="D2848" s="111">
        <v>2.67</v>
      </c>
    </row>
    <row r="2849" spans="1:4" ht="25.5" x14ac:dyDescent="0.25">
      <c r="A2849" s="106">
        <v>3767</v>
      </c>
      <c r="B2849" s="108" t="s">
        <v>417</v>
      </c>
      <c r="C2849" s="110" t="s">
        <v>5755</v>
      </c>
      <c r="D2849" s="111">
        <v>0.63</v>
      </c>
    </row>
    <row r="2850" spans="1:4" ht="25.5" x14ac:dyDescent="0.25">
      <c r="A2850" s="106">
        <v>13192</v>
      </c>
      <c r="B2850" s="108" t="s">
        <v>8274</v>
      </c>
      <c r="C2850" s="110" t="s">
        <v>5755</v>
      </c>
      <c r="D2850" s="111">
        <v>5170.37</v>
      </c>
    </row>
    <row r="2851" spans="1:4" ht="25.5" x14ac:dyDescent="0.25">
      <c r="A2851" s="106">
        <v>38413</v>
      </c>
      <c r="B2851" s="108" t="s">
        <v>8275</v>
      </c>
      <c r="C2851" s="110" t="s">
        <v>5755</v>
      </c>
      <c r="D2851" s="111">
        <v>855.1</v>
      </c>
    </row>
    <row r="2852" spans="1:4" ht="51" x14ac:dyDescent="0.25">
      <c r="A2852" s="106">
        <v>42440</v>
      </c>
      <c r="B2852" s="108" t="s">
        <v>8276</v>
      </c>
      <c r="C2852" s="110" t="s">
        <v>5755</v>
      </c>
      <c r="D2852" s="111">
        <v>702.04</v>
      </c>
    </row>
    <row r="2853" spans="1:4" ht="38.25" x14ac:dyDescent="0.25">
      <c r="A2853" s="106">
        <v>20193</v>
      </c>
      <c r="B2853" s="108" t="s">
        <v>8277</v>
      </c>
      <c r="C2853" s="110" t="s">
        <v>8278</v>
      </c>
      <c r="D2853" s="111">
        <v>5.24</v>
      </c>
    </row>
    <row r="2854" spans="1:4" ht="25.5" x14ac:dyDescent="0.25">
      <c r="A2854" s="106">
        <v>10527</v>
      </c>
      <c r="B2854" s="108" t="s">
        <v>8279</v>
      </c>
      <c r="C2854" s="110" t="s">
        <v>8280</v>
      </c>
      <c r="D2854" s="111">
        <v>15.75</v>
      </c>
    </row>
    <row r="2855" spans="1:4" ht="38.25" x14ac:dyDescent="0.25">
      <c r="A2855" s="106">
        <v>41805</v>
      </c>
      <c r="B2855" s="108" t="s">
        <v>8281</v>
      </c>
      <c r="C2855" s="110" t="s">
        <v>5906</v>
      </c>
      <c r="D2855" s="111">
        <v>630</v>
      </c>
    </row>
    <row r="2856" spans="1:4" ht="25.5" x14ac:dyDescent="0.25">
      <c r="A2856" s="106">
        <v>40271</v>
      </c>
      <c r="B2856" s="108" t="s">
        <v>8282</v>
      </c>
      <c r="C2856" s="110" t="s">
        <v>5906</v>
      </c>
      <c r="D2856" s="111">
        <v>10.23</v>
      </c>
    </row>
    <row r="2857" spans="1:4" ht="25.5" x14ac:dyDescent="0.25">
      <c r="A2857" s="106">
        <v>40287</v>
      </c>
      <c r="B2857" s="108" t="s">
        <v>8283</v>
      </c>
      <c r="C2857" s="110" t="s">
        <v>5906</v>
      </c>
      <c r="D2857" s="111">
        <v>3.93</v>
      </c>
    </row>
    <row r="2858" spans="1:4" x14ac:dyDescent="0.25">
      <c r="A2858" s="106">
        <v>40295</v>
      </c>
      <c r="B2858" s="108" t="s">
        <v>8284</v>
      </c>
      <c r="C2858" s="110" t="s">
        <v>5759</v>
      </c>
      <c r="D2858" s="111">
        <v>2.4500000000000002</v>
      </c>
    </row>
    <row r="2859" spans="1:4" x14ac:dyDescent="0.25">
      <c r="A2859" s="106">
        <v>745</v>
      </c>
      <c r="B2859" s="108" t="s">
        <v>8285</v>
      </c>
      <c r="C2859" s="110" t="s">
        <v>5759</v>
      </c>
      <c r="D2859" s="111">
        <v>2.59</v>
      </c>
    </row>
    <row r="2860" spans="1:4" ht="51" x14ac:dyDescent="0.25">
      <c r="A2860" s="106">
        <v>4084</v>
      </c>
      <c r="B2860" s="108" t="s">
        <v>8286</v>
      </c>
      <c r="C2860" s="110" t="s">
        <v>5759</v>
      </c>
      <c r="D2860" s="111">
        <v>2.0699999999999998</v>
      </c>
    </row>
    <row r="2861" spans="1:4" ht="51" x14ac:dyDescent="0.25">
      <c r="A2861" s="106">
        <v>743</v>
      </c>
      <c r="B2861" s="108" t="s">
        <v>8287</v>
      </c>
      <c r="C2861" s="110" t="s">
        <v>5759</v>
      </c>
      <c r="D2861" s="111">
        <v>2.0699999999999998</v>
      </c>
    </row>
    <row r="2862" spans="1:4" ht="51" x14ac:dyDescent="0.25">
      <c r="A2862" s="106">
        <v>40293</v>
      </c>
      <c r="B2862" s="108" t="s">
        <v>8288</v>
      </c>
      <c r="C2862" s="110" t="s">
        <v>5759</v>
      </c>
      <c r="D2862" s="111">
        <v>2.48</v>
      </c>
    </row>
    <row r="2863" spans="1:4" ht="51" x14ac:dyDescent="0.25">
      <c r="A2863" s="106">
        <v>40294</v>
      </c>
      <c r="B2863" s="108" t="s">
        <v>8289</v>
      </c>
      <c r="C2863" s="110" t="s">
        <v>5759</v>
      </c>
      <c r="D2863" s="111">
        <v>2.0699999999999998</v>
      </c>
    </row>
    <row r="2864" spans="1:4" ht="51" x14ac:dyDescent="0.25">
      <c r="A2864" s="106">
        <v>4085</v>
      </c>
      <c r="B2864" s="108" t="s">
        <v>8290</v>
      </c>
      <c r="C2864" s="110" t="s">
        <v>5759</v>
      </c>
      <c r="D2864" s="111">
        <v>2.89</v>
      </c>
    </row>
    <row r="2865" spans="1:4" ht="25.5" x14ac:dyDescent="0.25">
      <c r="A2865" s="106">
        <v>10775</v>
      </c>
      <c r="B2865" s="108" t="s">
        <v>8291</v>
      </c>
      <c r="C2865" s="110" t="s">
        <v>5906</v>
      </c>
      <c r="D2865" s="111">
        <v>522</v>
      </c>
    </row>
    <row r="2866" spans="1:4" ht="25.5" x14ac:dyDescent="0.25">
      <c r="A2866" s="106">
        <v>10776</v>
      </c>
      <c r="B2866" s="108" t="s">
        <v>8292</v>
      </c>
      <c r="C2866" s="110" t="s">
        <v>5906</v>
      </c>
      <c r="D2866" s="111">
        <v>407.81</v>
      </c>
    </row>
    <row r="2867" spans="1:4" ht="25.5" x14ac:dyDescent="0.25">
      <c r="A2867" s="106">
        <v>10779</v>
      </c>
      <c r="B2867" s="108" t="s">
        <v>8293</v>
      </c>
      <c r="C2867" s="110" t="s">
        <v>5906</v>
      </c>
      <c r="D2867" s="111">
        <v>652.5</v>
      </c>
    </row>
    <row r="2868" spans="1:4" ht="25.5" x14ac:dyDescent="0.25">
      <c r="A2868" s="106">
        <v>10777</v>
      </c>
      <c r="B2868" s="108" t="s">
        <v>8294</v>
      </c>
      <c r="C2868" s="110" t="s">
        <v>5906</v>
      </c>
      <c r="D2868" s="111">
        <v>592.67999999999995</v>
      </c>
    </row>
    <row r="2869" spans="1:4" ht="25.5" x14ac:dyDescent="0.25">
      <c r="A2869" s="106">
        <v>10778</v>
      </c>
      <c r="B2869" s="108" t="s">
        <v>8295</v>
      </c>
      <c r="C2869" s="110" t="s">
        <v>5906</v>
      </c>
      <c r="D2869" s="111">
        <v>652.5</v>
      </c>
    </row>
    <row r="2870" spans="1:4" x14ac:dyDescent="0.25">
      <c r="A2870" s="106">
        <v>40339</v>
      </c>
      <c r="B2870" s="108" t="s">
        <v>8296</v>
      </c>
      <c r="C2870" s="110" t="s">
        <v>5906</v>
      </c>
      <c r="D2870" s="111">
        <v>3.93</v>
      </c>
    </row>
    <row r="2871" spans="1:4" ht="51" x14ac:dyDescent="0.25">
      <c r="A2871" s="106">
        <v>3355</v>
      </c>
      <c r="B2871" s="108" t="s">
        <v>8297</v>
      </c>
      <c r="C2871" s="110" t="s">
        <v>5759</v>
      </c>
      <c r="D2871" s="111">
        <v>22.5</v>
      </c>
    </row>
    <row r="2872" spans="1:4" ht="51" x14ac:dyDescent="0.25">
      <c r="A2872" s="106">
        <v>39814</v>
      </c>
      <c r="B2872" s="108" t="s">
        <v>8298</v>
      </c>
      <c r="C2872" s="110" t="s">
        <v>5759</v>
      </c>
      <c r="D2872" s="111">
        <v>42.18</v>
      </c>
    </row>
    <row r="2873" spans="1:4" ht="38.25" x14ac:dyDescent="0.25">
      <c r="A2873" s="106">
        <v>10749</v>
      </c>
      <c r="B2873" s="108" t="s">
        <v>8299</v>
      </c>
      <c r="C2873" s="110" t="s">
        <v>5906</v>
      </c>
      <c r="D2873" s="111">
        <v>7.21</v>
      </c>
    </row>
    <row r="2874" spans="1:4" ht="25.5" x14ac:dyDescent="0.25">
      <c r="A2874" s="106">
        <v>40290</v>
      </c>
      <c r="B2874" s="108" t="s">
        <v>8300</v>
      </c>
      <c r="C2874" s="110" t="s">
        <v>5906</v>
      </c>
      <c r="D2874" s="111">
        <v>10.39</v>
      </c>
    </row>
    <row r="2875" spans="1:4" ht="25.5" x14ac:dyDescent="0.25">
      <c r="A2875" s="106">
        <v>7252</v>
      </c>
      <c r="B2875" s="108" t="s">
        <v>8301</v>
      </c>
      <c r="C2875" s="110" t="s">
        <v>5759</v>
      </c>
      <c r="D2875" s="111">
        <v>2.27</v>
      </c>
    </row>
    <row r="2876" spans="1:4" ht="25.5" x14ac:dyDescent="0.25">
      <c r="A2876" s="106">
        <v>4778</v>
      </c>
      <c r="B2876" s="108" t="s">
        <v>8302</v>
      </c>
      <c r="C2876" s="110" t="s">
        <v>5759</v>
      </c>
      <c r="D2876" s="111">
        <v>2.7</v>
      </c>
    </row>
    <row r="2877" spans="1:4" ht="25.5" x14ac:dyDescent="0.25">
      <c r="A2877" s="106">
        <v>4780</v>
      </c>
      <c r="B2877" s="108" t="s">
        <v>8303</v>
      </c>
      <c r="C2877" s="110" t="s">
        <v>5759</v>
      </c>
      <c r="D2877" s="111">
        <v>2.92</v>
      </c>
    </row>
    <row r="2878" spans="1:4" ht="25.5" x14ac:dyDescent="0.25">
      <c r="A2878" s="106">
        <v>10809</v>
      </c>
      <c r="B2878" s="108" t="s">
        <v>8304</v>
      </c>
      <c r="C2878" s="110" t="s">
        <v>5759</v>
      </c>
      <c r="D2878" s="111">
        <v>1.05</v>
      </c>
    </row>
    <row r="2879" spans="1:4" ht="25.5" x14ac:dyDescent="0.25">
      <c r="A2879" s="106">
        <v>10811</v>
      </c>
      <c r="B2879" s="108" t="s">
        <v>8305</v>
      </c>
      <c r="C2879" s="110" t="s">
        <v>5759</v>
      </c>
      <c r="D2879" s="111">
        <v>0.9</v>
      </c>
    </row>
    <row r="2880" spans="1:4" ht="25.5" x14ac:dyDescent="0.25">
      <c r="A2880" s="106">
        <v>7247</v>
      </c>
      <c r="B2880" s="108" t="s">
        <v>8306</v>
      </c>
      <c r="C2880" s="110" t="s">
        <v>5759</v>
      </c>
      <c r="D2880" s="111">
        <v>2.27</v>
      </c>
    </row>
    <row r="2881" spans="1:4" ht="38.25" x14ac:dyDescent="0.25">
      <c r="A2881" s="106">
        <v>40291</v>
      </c>
      <c r="B2881" s="108" t="s">
        <v>8307</v>
      </c>
      <c r="C2881" s="110" t="s">
        <v>5906</v>
      </c>
      <c r="D2881" s="111">
        <v>549.42999999999995</v>
      </c>
    </row>
    <row r="2882" spans="1:4" ht="25.5" x14ac:dyDescent="0.25">
      <c r="A2882" s="106">
        <v>40275</v>
      </c>
      <c r="B2882" s="108" t="s">
        <v>8308</v>
      </c>
      <c r="C2882" s="110" t="s">
        <v>5906</v>
      </c>
      <c r="D2882" s="111">
        <v>15.75</v>
      </c>
    </row>
    <row r="2883" spans="1:4" x14ac:dyDescent="0.25">
      <c r="A2883" s="106">
        <v>3777</v>
      </c>
      <c r="B2883" s="108" t="s">
        <v>8309</v>
      </c>
      <c r="C2883" s="110" t="s">
        <v>5757</v>
      </c>
      <c r="D2883" s="111">
        <v>0.92</v>
      </c>
    </row>
    <row r="2884" spans="1:4" ht="25.5" x14ac:dyDescent="0.25">
      <c r="A2884" s="106">
        <v>3798</v>
      </c>
      <c r="B2884" s="108" t="s">
        <v>8310</v>
      </c>
      <c r="C2884" s="110" t="s">
        <v>5755</v>
      </c>
      <c r="D2884" s="111">
        <v>40.47</v>
      </c>
    </row>
    <row r="2885" spans="1:4" ht="38.25" x14ac:dyDescent="0.25">
      <c r="A2885" s="106">
        <v>38769</v>
      </c>
      <c r="B2885" s="108" t="s">
        <v>8311</v>
      </c>
      <c r="C2885" s="110" t="s">
        <v>5755</v>
      </c>
      <c r="D2885" s="111">
        <v>31.6</v>
      </c>
    </row>
    <row r="2886" spans="1:4" ht="38.25" x14ac:dyDescent="0.25">
      <c r="A2886" s="106">
        <v>39510</v>
      </c>
      <c r="B2886" s="108" t="s">
        <v>8312</v>
      </c>
      <c r="C2886" s="110" t="s">
        <v>5755</v>
      </c>
      <c r="D2886" s="111">
        <v>127.91</v>
      </c>
    </row>
    <row r="2887" spans="1:4" ht="38.25" x14ac:dyDescent="0.25">
      <c r="A2887" s="106">
        <v>38776</v>
      </c>
      <c r="B2887" s="108" t="s">
        <v>8313</v>
      </c>
      <c r="C2887" s="110" t="s">
        <v>5755</v>
      </c>
      <c r="D2887" s="111">
        <v>135.75</v>
      </c>
    </row>
    <row r="2888" spans="1:4" ht="25.5" x14ac:dyDescent="0.25">
      <c r="A2888" s="106">
        <v>38774</v>
      </c>
      <c r="B2888" s="108" t="s">
        <v>627</v>
      </c>
      <c r="C2888" s="110" t="s">
        <v>5755</v>
      </c>
      <c r="D2888" s="111">
        <v>17.559999999999999</v>
      </c>
    </row>
    <row r="2889" spans="1:4" ht="25.5" x14ac:dyDescent="0.25">
      <c r="A2889" s="106">
        <v>42247</v>
      </c>
      <c r="B2889" s="108" t="s">
        <v>10683</v>
      </c>
      <c r="C2889" s="110" t="s">
        <v>5755</v>
      </c>
      <c r="D2889" s="111">
        <v>599.38</v>
      </c>
    </row>
    <row r="2890" spans="1:4" ht="25.5" x14ac:dyDescent="0.25">
      <c r="A2890" s="106">
        <v>42248</v>
      </c>
      <c r="B2890" s="108" t="s">
        <v>10684</v>
      </c>
      <c r="C2890" s="110" t="s">
        <v>5755</v>
      </c>
      <c r="D2890" s="111">
        <v>696.23</v>
      </c>
    </row>
    <row r="2891" spans="1:4" ht="25.5" x14ac:dyDescent="0.25">
      <c r="A2891" s="106">
        <v>42249</v>
      </c>
      <c r="B2891" s="108" t="s">
        <v>10685</v>
      </c>
      <c r="C2891" s="110" t="s">
        <v>5755</v>
      </c>
      <c r="D2891" s="111">
        <v>1153.4000000000001</v>
      </c>
    </row>
    <row r="2892" spans="1:4" ht="25.5" x14ac:dyDescent="0.25">
      <c r="A2892" s="106">
        <v>42244</v>
      </c>
      <c r="B2892" s="108" t="s">
        <v>10686</v>
      </c>
      <c r="C2892" s="110" t="s">
        <v>5755</v>
      </c>
      <c r="D2892" s="111">
        <v>180.13</v>
      </c>
    </row>
    <row r="2893" spans="1:4" ht="25.5" x14ac:dyDescent="0.25">
      <c r="A2893" s="106">
        <v>42245</v>
      </c>
      <c r="B2893" s="108" t="s">
        <v>10687</v>
      </c>
      <c r="C2893" s="110" t="s">
        <v>5755</v>
      </c>
      <c r="D2893" s="111">
        <v>332.39</v>
      </c>
    </row>
    <row r="2894" spans="1:4" ht="25.5" x14ac:dyDescent="0.25">
      <c r="A2894" s="106">
        <v>42246</v>
      </c>
      <c r="B2894" s="108" t="s">
        <v>10688</v>
      </c>
      <c r="C2894" s="110" t="s">
        <v>5755</v>
      </c>
      <c r="D2894" s="111">
        <v>367.94</v>
      </c>
    </row>
    <row r="2895" spans="1:4" ht="25.5" x14ac:dyDescent="0.25">
      <c r="A2895" s="106">
        <v>42243</v>
      </c>
      <c r="B2895" s="108" t="s">
        <v>10689</v>
      </c>
      <c r="C2895" s="110" t="s">
        <v>5755</v>
      </c>
      <c r="D2895" s="111">
        <v>443.67</v>
      </c>
    </row>
    <row r="2896" spans="1:4" ht="38.25" x14ac:dyDescent="0.25">
      <c r="A2896" s="106">
        <v>38889</v>
      </c>
      <c r="B2896" s="108" t="s">
        <v>8314</v>
      </c>
      <c r="C2896" s="110" t="s">
        <v>5755</v>
      </c>
      <c r="D2896" s="111">
        <v>24.22</v>
      </c>
    </row>
    <row r="2897" spans="1:4" ht="38.25" x14ac:dyDescent="0.25">
      <c r="A2897" s="106">
        <v>38784</v>
      </c>
      <c r="B2897" s="108" t="s">
        <v>8315</v>
      </c>
      <c r="C2897" s="110" t="s">
        <v>5755</v>
      </c>
      <c r="D2897" s="111">
        <v>32.409999999999997</v>
      </c>
    </row>
    <row r="2898" spans="1:4" ht="38.25" x14ac:dyDescent="0.25">
      <c r="A2898" s="106">
        <v>3788</v>
      </c>
      <c r="B2898" s="108" t="s">
        <v>8316</v>
      </c>
      <c r="C2898" s="110" t="s">
        <v>5755</v>
      </c>
      <c r="D2898" s="111">
        <v>33.770000000000003</v>
      </c>
    </row>
    <row r="2899" spans="1:4" ht="38.25" x14ac:dyDescent="0.25">
      <c r="A2899" s="106">
        <v>12230</v>
      </c>
      <c r="B2899" s="108" t="s">
        <v>8317</v>
      </c>
      <c r="C2899" s="110" t="s">
        <v>5755</v>
      </c>
      <c r="D2899" s="111">
        <v>8.68</v>
      </c>
    </row>
    <row r="2900" spans="1:4" ht="38.25" x14ac:dyDescent="0.25">
      <c r="A2900" s="106">
        <v>3780</v>
      </c>
      <c r="B2900" s="108" t="s">
        <v>8318</v>
      </c>
      <c r="C2900" s="110" t="s">
        <v>5755</v>
      </c>
      <c r="D2900" s="111">
        <v>49.83</v>
      </c>
    </row>
    <row r="2901" spans="1:4" ht="38.25" x14ac:dyDescent="0.25">
      <c r="A2901" s="106">
        <v>12231</v>
      </c>
      <c r="B2901" s="108" t="s">
        <v>8319</v>
      </c>
      <c r="C2901" s="110" t="s">
        <v>5755</v>
      </c>
      <c r="D2901" s="111">
        <v>14.44</v>
      </c>
    </row>
    <row r="2902" spans="1:4" ht="38.25" x14ac:dyDescent="0.25">
      <c r="A2902" s="106">
        <v>3811</v>
      </c>
      <c r="B2902" s="108" t="s">
        <v>8320</v>
      </c>
      <c r="C2902" s="110" t="s">
        <v>5755</v>
      </c>
      <c r="D2902" s="111">
        <v>46.8</v>
      </c>
    </row>
    <row r="2903" spans="1:4" ht="38.25" x14ac:dyDescent="0.25">
      <c r="A2903" s="106">
        <v>12232</v>
      </c>
      <c r="B2903" s="108" t="s">
        <v>8321</v>
      </c>
      <c r="C2903" s="110" t="s">
        <v>5755</v>
      </c>
      <c r="D2903" s="111">
        <v>15.13</v>
      </c>
    </row>
    <row r="2904" spans="1:4" ht="38.25" x14ac:dyDescent="0.25">
      <c r="A2904" s="106">
        <v>3799</v>
      </c>
      <c r="B2904" s="108" t="s">
        <v>8322</v>
      </c>
      <c r="C2904" s="110" t="s">
        <v>5755</v>
      </c>
      <c r="D2904" s="111">
        <v>66.19</v>
      </c>
    </row>
    <row r="2905" spans="1:4" ht="38.25" x14ac:dyDescent="0.25">
      <c r="A2905" s="106">
        <v>12239</v>
      </c>
      <c r="B2905" s="108" t="s">
        <v>8323</v>
      </c>
      <c r="C2905" s="110" t="s">
        <v>5755</v>
      </c>
      <c r="D2905" s="111">
        <v>19.809999999999999</v>
      </c>
    </row>
    <row r="2906" spans="1:4" ht="25.5" x14ac:dyDescent="0.25">
      <c r="A2906" s="106">
        <v>38773</v>
      </c>
      <c r="B2906" s="108" t="s">
        <v>8324</v>
      </c>
      <c r="C2906" s="110" t="s">
        <v>5755</v>
      </c>
      <c r="D2906" s="111">
        <v>3.17</v>
      </c>
    </row>
    <row r="2907" spans="1:4" x14ac:dyDescent="0.25">
      <c r="A2907" s="106">
        <v>12271</v>
      </c>
      <c r="B2907" s="108" t="s">
        <v>8325</v>
      </c>
      <c r="C2907" s="110" t="s">
        <v>5755</v>
      </c>
      <c r="D2907" s="111">
        <v>177.23</v>
      </c>
    </row>
    <row r="2908" spans="1:4" ht="25.5" x14ac:dyDescent="0.25">
      <c r="A2908" s="106">
        <v>38785</v>
      </c>
      <c r="B2908" s="108" t="s">
        <v>8326</v>
      </c>
      <c r="C2908" s="110" t="s">
        <v>5755</v>
      </c>
      <c r="D2908" s="111">
        <v>83.91</v>
      </c>
    </row>
    <row r="2909" spans="1:4" ht="25.5" x14ac:dyDescent="0.25">
      <c r="A2909" s="106">
        <v>38786</v>
      </c>
      <c r="B2909" s="108" t="s">
        <v>8327</v>
      </c>
      <c r="C2909" s="110" t="s">
        <v>5755</v>
      </c>
      <c r="D2909" s="111">
        <v>103.36</v>
      </c>
    </row>
    <row r="2910" spans="1:4" ht="25.5" x14ac:dyDescent="0.25">
      <c r="A2910" s="106">
        <v>39385</v>
      </c>
      <c r="B2910" s="108" t="s">
        <v>8328</v>
      </c>
      <c r="C2910" s="110" t="s">
        <v>5755</v>
      </c>
      <c r="D2910" s="111">
        <v>16.059999999999999</v>
      </c>
    </row>
    <row r="2911" spans="1:4" x14ac:dyDescent="0.25">
      <c r="A2911" s="106">
        <v>39389</v>
      </c>
      <c r="B2911" s="108" t="s">
        <v>541</v>
      </c>
      <c r="C2911" s="110" t="s">
        <v>5755</v>
      </c>
      <c r="D2911" s="111">
        <v>17.420000000000002</v>
      </c>
    </row>
    <row r="2912" spans="1:4" x14ac:dyDescent="0.25">
      <c r="A2912" s="106">
        <v>39390</v>
      </c>
      <c r="B2912" s="108" t="s">
        <v>542</v>
      </c>
      <c r="C2912" s="110" t="s">
        <v>5755</v>
      </c>
      <c r="D2912" s="111">
        <v>36.53</v>
      </c>
    </row>
    <row r="2913" spans="1:4" x14ac:dyDescent="0.25">
      <c r="A2913" s="106">
        <v>39391</v>
      </c>
      <c r="B2913" s="108" t="s">
        <v>8329</v>
      </c>
      <c r="C2913" s="110" t="s">
        <v>5755</v>
      </c>
      <c r="D2913" s="111">
        <v>41.01</v>
      </c>
    </row>
    <row r="2914" spans="1:4" ht="38.25" x14ac:dyDescent="0.25">
      <c r="A2914" s="106">
        <v>3803</v>
      </c>
      <c r="B2914" s="108" t="s">
        <v>8330</v>
      </c>
      <c r="C2914" s="110" t="s">
        <v>5755</v>
      </c>
      <c r="D2914" s="111">
        <v>29.97</v>
      </c>
    </row>
    <row r="2915" spans="1:4" ht="38.25" x14ac:dyDescent="0.25">
      <c r="A2915" s="106">
        <v>38770</v>
      </c>
      <c r="B2915" s="108" t="s">
        <v>8331</v>
      </c>
      <c r="C2915" s="110" t="s">
        <v>5755</v>
      </c>
      <c r="D2915" s="111">
        <v>34.700000000000003</v>
      </c>
    </row>
    <row r="2916" spans="1:4" x14ac:dyDescent="0.25">
      <c r="A2916" s="106">
        <v>12267</v>
      </c>
      <c r="B2916" s="108" t="s">
        <v>8332</v>
      </c>
      <c r="C2916" s="110" t="s">
        <v>5755</v>
      </c>
      <c r="D2916" s="111">
        <v>101.69</v>
      </c>
    </row>
    <row r="2917" spans="1:4" ht="76.5" x14ac:dyDescent="0.25">
      <c r="A2917" s="106">
        <v>43265</v>
      </c>
      <c r="B2917" s="108" t="s">
        <v>10690</v>
      </c>
      <c r="C2917" s="110" t="s">
        <v>5755</v>
      </c>
      <c r="D2917" s="111">
        <v>50.22</v>
      </c>
    </row>
    <row r="2918" spans="1:4" ht="38.25" x14ac:dyDescent="0.25">
      <c r="A2918" s="106">
        <v>12266</v>
      </c>
      <c r="B2918" s="108" t="s">
        <v>8333</v>
      </c>
      <c r="C2918" s="110" t="s">
        <v>5755</v>
      </c>
      <c r="D2918" s="111">
        <v>52.05</v>
      </c>
    </row>
    <row r="2919" spans="1:4" ht="38.25" x14ac:dyDescent="0.25">
      <c r="A2919" s="106">
        <v>39378</v>
      </c>
      <c r="B2919" s="108" t="s">
        <v>8334</v>
      </c>
      <c r="C2919" s="110" t="s">
        <v>5755</v>
      </c>
      <c r="D2919" s="111">
        <v>36.9</v>
      </c>
    </row>
    <row r="2920" spans="1:4" ht="38.25" x14ac:dyDescent="0.25">
      <c r="A2920" s="106">
        <v>43543</v>
      </c>
      <c r="B2920" s="108" t="s">
        <v>10691</v>
      </c>
      <c r="C2920" s="110" t="s">
        <v>5755</v>
      </c>
      <c r="D2920" s="111">
        <v>76.88</v>
      </c>
    </row>
    <row r="2921" spans="1:4" ht="38.25" x14ac:dyDescent="0.25">
      <c r="A2921" s="106">
        <v>38775</v>
      </c>
      <c r="B2921" s="108" t="s">
        <v>507</v>
      </c>
      <c r="C2921" s="110" t="s">
        <v>5755</v>
      </c>
      <c r="D2921" s="111">
        <v>39.119999999999997</v>
      </c>
    </row>
    <row r="2922" spans="1:4" x14ac:dyDescent="0.25">
      <c r="A2922" s="106">
        <v>21119</v>
      </c>
      <c r="B2922" s="108" t="s">
        <v>8335</v>
      </c>
      <c r="C2922" s="110" t="s">
        <v>5755</v>
      </c>
      <c r="D2922" s="111">
        <v>2.0699999999999998</v>
      </c>
    </row>
    <row r="2923" spans="1:4" x14ac:dyDescent="0.25">
      <c r="A2923" s="106">
        <v>37974</v>
      </c>
      <c r="B2923" s="108" t="s">
        <v>8336</v>
      </c>
      <c r="C2923" s="110" t="s">
        <v>5755</v>
      </c>
      <c r="D2923" s="111">
        <v>3.08</v>
      </c>
    </row>
    <row r="2924" spans="1:4" x14ac:dyDescent="0.25">
      <c r="A2924" s="106">
        <v>37975</v>
      </c>
      <c r="B2924" s="108" t="s">
        <v>8337</v>
      </c>
      <c r="C2924" s="110" t="s">
        <v>5755</v>
      </c>
      <c r="D2924" s="111">
        <v>6.25</v>
      </c>
    </row>
    <row r="2925" spans="1:4" x14ac:dyDescent="0.25">
      <c r="A2925" s="106">
        <v>37976</v>
      </c>
      <c r="B2925" s="108" t="s">
        <v>8338</v>
      </c>
      <c r="C2925" s="110" t="s">
        <v>5755</v>
      </c>
      <c r="D2925" s="111">
        <v>12.82</v>
      </c>
    </row>
    <row r="2926" spans="1:4" x14ac:dyDescent="0.25">
      <c r="A2926" s="106">
        <v>37977</v>
      </c>
      <c r="B2926" s="108" t="s">
        <v>8339</v>
      </c>
      <c r="C2926" s="110" t="s">
        <v>5755</v>
      </c>
      <c r="D2926" s="111">
        <v>17.63</v>
      </c>
    </row>
    <row r="2927" spans="1:4" x14ac:dyDescent="0.25">
      <c r="A2927" s="106">
        <v>37978</v>
      </c>
      <c r="B2927" s="108" t="s">
        <v>8340</v>
      </c>
      <c r="C2927" s="110" t="s">
        <v>5755</v>
      </c>
      <c r="D2927" s="111">
        <v>35.74</v>
      </c>
    </row>
    <row r="2928" spans="1:4" x14ac:dyDescent="0.25">
      <c r="A2928" s="106">
        <v>37979</v>
      </c>
      <c r="B2928" s="108" t="s">
        <v>8341</v>
      </c>
      <c r="C2928" s="110" t="s">
        <v>5755</v>
      </c>
      <c r="D2928" s="111">
        <v>153.56</v>
      </c>
    </row>
    <row r="2929" spans="1:4" x14ac:dyDescent="0.25">
      <c r="A2929" s="106">
        <v>37980</v>
      </c>
      <c r="B2929" s="108" t="s">
        <v>8342</v>
      </c>
      <c r="C2929" s="110" t="s">
        <v>5755</v>
      </c>
      <c r="D2929" s="111">
        <v>172.58</v>
      </c>
    </row>
    <row r="2930" spans="1:4" ht="25.5" x14ac:dyDescent="0.25">
      <c r="A2930" s="106">
        <v>36147</v>
      </c>
      <c r="B2930" s="108" t="s">
        <v>8343</v>
      </c>
      <c r="C2930" s="110" t="s">
        <v>6130</v>
      </c>
      <c r="D2930" s="111">
        <v>309.22000000000003</v>
      </c>
    </row>
    <row r="2931" spans="1:4" x14ac:dyDescent="0.25">
      <c r="A2931" s="106">
        <v>12731</v>
      </c>
      <c r="B2931" s="108" t="s">
        <v>8344</v>
      </c>
      <c r="C2931" s="110" t="s">
        <v>5755</v>
      </c>
      <c r="D2931" s="111">
        <v>242.01</v>
      </c>
    </row>
    <row r="2932" spans="1:4" x14ac:dyDescent="0.25">
      <c r="A2932" s="106">
        <v>12723</v>
      </c>
      <c r="B2932" s="108" t="s">
        <v>8345</v>
      </c>
      <c r="C2932" s="110" t="s">
        <v>5755</v>
      </c>
      <c r="D2932" s="111">
        <v>1.87</v>
      </c>
    </row>
    <row r="2933" spans="1:4" x14ac:dyDescent="0.25">
      <c r="A2933" s="106">
        <v>12724</v>
      </c>
      <c r="B2933" s="108" t="s">
        <v>8346</v>
      </c>
      <c r="C2933" s="110" t="s">
        <v>5755</v>
      </c>
      <c r="D2933" s="111">
        <v>3.6</v>
      </c>
    </row>
    <row r="2934" spans="1:4" x14ac:dyDescent="0.25">
      <c r="A2934" s="106">
        <v>12725</v>
      </c>
      <c r="B2934" s="108" t="s">
        <v>8347</v>
      </c>
      <c r="C2934" s="110" t="s">
        <v>5755</v>
      </c>
      <c r="D2934" s="111">
        <v>7.23</v>
      </c>
    </row>
    <row r="2935" spans="1:4" x14ac:dyDescent="0.25">
      <c r="A2935" s="106">
        <v>12726</v>
      </c>
      <c r="B2935" s="108" t="s">
        <v>8348</v>
      </c>
      <c r="C2935" s="110" t="s">
        <v>5755</v>
      </c>
      <c r="D2935" s="111">
        <v>15.96</v>
      </c>
    </row>
    <row r="2936" spans="1:4" x14ac:dyDescent="0.25">
      <c r="A2936" s="106">
        <v>12727</v>
      </c>
      <c r="B2936" s="108" t="s">
        <v>8349</v>
      </c>
      <c r="C2936" s="110" t="s">
        <v>5755</v>
      </c>
      <c r="D2936" s="111">
        <v>20.25</v>
      </c>
    </row>
    <row r="2937" spans="1:4" x14ac:dyDescent="0.25">
      <c r="A2937" s="106">
        <v>12728</v>
      </c>
      <c r="B2937" s="108" t="s">
        <v>8350</v>
      </c>
      <c r="C2937" s="110" t="s">
        <v>5755</v>
      </c>
      <c r="D2937" s="111">
        <v>33.07</v>
      </c>
    </row>
    <row r="2938" spans="1:4" x14ac:dyDescent="0.25">
      <c r="A2938" s="106">
        <v>12729</v>
      </c>
      <c r="B2938" s="108" t="s">
        <v>8351</v>
      </c>
      <c r="C2938" s="110" t="s">
        <v>5755</v>
      </c>
      <c r="D2938" s="111">
        <v>108.4</v>
      </c>
    </row>
    <row r="2939" spans="1:4" x14ac:dyDescent="0.25">
      <c r="A2939" s="106">
        <v>12730</v>
      </c>
      <c r="B2939" s="108" t="s">
        <v>8352</v>
      </c>
      <c r="C2939" s="110" t="s">
        <v>5755</v>
      </c>
      <c r="D2939" s="111">
        <v>165.97</v>
      </c>
    </row>
    <row r="2940" spans="1:4" x14ac:dyDescent="0.25">
      <c r="A2940" s="106">
        <v>3840</v>
      </c>
      <c r="B2940" s="108" t="s">
        <v>8353</v>
      </c>
      <c r="C2940" s="110" t="s">
        <v>5755</v>
      </c>
      <c r="D2940" s="111">
        <v>39.51</v>
      </c>
    </row>
    <row r="2941" spans="1:4" x14ac:dyDescent="0.25">
      <c r="A2941" s="106">
        <v>3838</v>
      </c>
      <c r="B2941" s="108" t="s">
        <v>8354</v>
      </c>
      <c r="C2941" s="110" t="s">
        <v>5755</v>
      </c>
      <c r="D2941" s="111">
        <v>87.21</v>
      </c>
    </row>
    <row r="2942" spans="1:4" x14ac:dyDescent="0.25">
      <c r="A2942" s="106">
        <v>3844</v>
      </c>
      <c r="B2942" s="108" t="s">
        <v>8355</v>
      </c>
      <c r="C2942" s="110" t="s">
        <v>5755</v>
      </c>
      <c r="D2942" s="111">
        <v>155.56</v>
      </c>
    </row>
    <row r="2943" spans="1:4" x14ac:dyDescent="0.25">
      <c r="A2943" s="106">
        <v>3839</v>
      </c>
      <c r="B2943" s="108" t="s">
        <v>8356</v>
      </c>
      <c r="C2943" s="110" t="s">
        <v>5755</v>
      </c>
      <c r="D2943" s="111">
        <v>283.33999999999997</v>
      </c>
    </row>
    <row r="2944" spans="1:4" x14ac:dyDescent="0.25">
      <c r="A2944" s="106">
        <v>3843</v>
      </c>
      <c r="B2944" s="108" t="s">
        <v>8357</v>
      </c>
      <c r="C2944" s="110" t="s">
        <v>5755</v>
      </c>
      <c r="D2944" s="111">
        <v>388.89</v>
      </c>
    </row>
    <row r="2945" spans="1:4" ht="25.5" x14ac:dyDescent="0.25">
      <c r="A2945" s="106">
        <v>3900</v>
      </c>
      <c r="B2945" s="108" t="s">
        <v>8358</v>
      </c>
      <c r="C2945" s="110" t="s">
        <v>5755</v>
      </c>
      <c r="D2945" s="111">
        <v>31.76</v>
      </c>
    </row>
    <row r="2946" spans="1:4" ht="25.5" x14ac:dyDescent="0.25">
      <c r="A2946" s="106">
        <v>3846</v>
      </c>
      <c r="B2946" s="108" t="s">
        <v>8359</v>
      </c>
      <c r="C2946" s="110" t="s">
        <v>5755</v>
      </c>
      <c r="D2946" s="111">
        <v>10.01</v>
      </c>
    </row>
    <row r="2947" spans="1:4" ht="25.5" x14ac:dyDescent="0.25">
      <c r="A2947" s="106">
        <v>3886</v>
      </c>
      <c r="B2947" s="108" t="s">
        <v>8360</v>
      </c>
      <c r="C2947" s="110" t="s">
        <v>5755</v>
      </c>
      <c r="D2947" s="111">
        <v>10.54</v>
      </c>
    </row>
    <row r="2948" spans="1:4" ht="25.5" x14ac:dyDescent="0.25">
      <c r="A2948" s="106">
        <v>3854</v>
      </c>
      <c r="B2948" s="108" t="s">
        <v>8361</v>
      </c>
      <c r="C2948" s="110" t="s">
        <v>5755</v>
      </c>
      <c r="D2948" s="111">
        <v>5.86</v>
      </c>
    </row>
    <row r="2949" spans="1:4" ht="25.5" x14ac:dyDescent="0.25">
      <c r="A2949" s="106">
        <v>3873</v>
      </c>
      <c r="B2949" s="108" t="s">
        <v>8362</v>
      </c>
      <c r="C2949" s="110" t="s">
        <v>5755</v>
      </c>
      <c r="D2949" s="111">
        <v>7.75</v>
      </c>
    </row>
    <row r="2950" spans="1:4" ht="25.5" x14ac:dyDescent="0.25">
      <c r="A2950" s="106">
        <v>38021</v>
      </c>
      <c r="B2950" s="108" t="s">
        <v>8363</v>
      </c>
      <c r="C2950" s="110" t="s">
        <v>5755</v>
      </c>
      <c r="D2950" s="111">
        <v>18.54</v>
      </c>
    </row>
    <row r="2951" spans="1:4" ht="25.5" x14ac:dyDescent="0.25">
      <c r="A2951" s="106">
        <v>3847</v>
      </c>
      <c r="B2951" s="108" t="s">
        <v>8364</v>
      </c>
      <c r="C2951" s="110" t="s">
        <v>5755</v>
      </c>
      <c r="D2951" s="111">
        <v>21.05</v>
      </c>
    </row>
    <row r="2952" spans="1:4" ht="25.5" x14ac:dyDescent="0.25">
      <c r="A2952" s="106">
        <v>38022</v>
      </c>
      <c r="B2952" s="108" t="s">
        <v>8365</v>
      </c>
      <c r="C2952" s="110" t="s">
        <v>5755</v>
      </c>
      <c r="D2952" s="111">
        <v>32.880000000000003</v>
      </c>
    </row>
    <row r="2953" spans="1:4" ht="25.5" x14ac:dyDescent="0.25">
      <c r="A2953" s="106">
        <v>3833</v>
      </c>
      <c r="B2953" s="108" t="s">
        <v>8366</v>
      </c>
      <c r="C2953" s="110" t="s">
        <v>5755</v>
      </c>
      <c r="D2953" s="111">
        <v>12.39</v>
      </c>
    </row>
    <row r="2954" spans="1:4" ht="25.5" x14ac:dyDescent="0.25">
      <c r="A2954" s="106">
        <v>3835</v>
      </c>
      <c r="B2954" s="108" t="s">
        <v>8367</v>
      </c>
      <c r="C2954" s="110" t="s">
        <v>5755</v>
      </c>
      <c r="D2954" s="111">
        <v>40.340000000000003</v>
      </c>
    </row>
    <row r="2955" spans="1:4" ht="25.5" x14ac:dyDescent="0.25">
      <c r="A2955" s="106">
        <v>3836</v>
      </c>
      <c r="B2955" s="108" t="s">
        <v>8368</v>
      </c>
      <c r="C2955" s="110" t="s">
        <v>5755</v>
      </c>
      <c r="D2955" s="111">
        <v>86.83</v>
      </c>
    </row>
    <row r="2956" spans="1:4" ht="25.5" x14ac:dyDescent="0.25">
      <c r="A2956" s="106">
        <v>3830</v>
      </c>
      <c r="B2956" s="108" t="s">
        <v>8369</v>
      </c>
      <c r="C2956" s="110" t="s">
        <v>5755</v>
      </c>
      <c r="D2956" s="111">
        <v>141.97</v>
      </c>
    </row>
    <row r="2957" spans="1:4" ht="25.5" x14ac:dyDescent="0.25">
      <c r="A2957" s="106">
        <v>3831</v>
      </c>
      <c r="B2957" s="108" t="s">
        <v>8370</v>
      </c>
      <c r="C2957" s="110" t="s">
        <v>5755</v>
      </c>
      <c r="D2957" s="111">
        <v>237.32</v>
      </c>
    </row>
    <row r="2958" spans="1:4" x14ac:dyDescent="0.25">
      <c r="A2958" s="106">
        <v>37981</v>
      </c>
      <c r="B2958" s="108" t="s">
        <v>8371</v>
      </c>
      <c r="C2958" s="110" t="s">
        <v>5755</v>
      </c>
      <c r="D2958" s="111">
        <v>7.04</v>
      </c>
    </row>
    <row r="2959" spans="1:4" x14ac:dyDescent="0.25">
      <c r="A2959" s="106">
        <v>37982</v>
      </c>
      <c r="B2959" s="108" t="s">
        <v>8372</v>
      </c>
      <c r="C2959" s="110" t="s">
        <v>5755</v>
      </c>
      <c r="D2959" s="111">
        <v>10.69</v>
      </c>
    </row>
    <row r="2960" spans="1:4" x14ac:dyDescent="0.25">
      <c r="A2960" s="106">
        <v>37983</v>
      </c>
      <c r="B2960" s="108" t="s">
        <v>8373</v>
      </c>
      <c r="C2960" s="110" t="s">
        <v>5755</v>
      </c>
      <c r="D2960" s="111">
        <v>14.96</v>
      </c>
    </row>
    <row r="2961" spans="1:4" x14ac:dyDescent="0.25">
      <c r="A2961" s="106">
        <v>37984</v>
      </c>
      <c r="B2961" s="108" t="s">
        <v>8374</v>
      </c>
      <c r="C2961" s="110" t="s">
        <v>5755</v>
      </c>
      <c r="D2961" s="111">
        <v>25.84</v>
      </c>
    </row>
    <row r="2962" spans="1:4" x14ac:dyDescent="0.25">
      <c r="A2962" s="106">
        <v>37985</v>
      </c>
      <c r="B2962" s="108" t="s">
        <v>8375</v>
      </c>
      <c r="C2962" s="110" t="s">
        <v>5755</v>
      </c>
      <c r="D2962" s="111">
        <v>36.18</v>
      </c>
    </row>
    <row r="2963" spans="1:4" ht="25.5" x14ac:dyDescent="0.25">
      <c r="A2963" s="106">
        <v>3826</v>
      </c>
      <c r="B2963" s="108" t="s">
        <v>8376</v>
      </c>
      <c r="C2963" s="110" t="s">
        <v>5755</v>
      </c>
      <c r="D2963" s="111">
        <v>39.21</v>
      </c>
    </row>
    <row r="2964" spans="1:4" ht="25.5" x14ac:dyDescent="0.25">
      <c r="A2964" s="106">
        <v>3825</v>
      </c>
      <c r="B2964" s="108" t="s">
        <v>8377</v>
      </c>
      <c r="C2964" s="110" t="s">
        <v>5755</v>
      </c>
      <c r="D2964" s="111">
        <v>11.27</v>
      </c>
    </row>
    <row r="2965" spans="1:4" ht="25.5" x14ac:dyDescent="0.25">
      <c r="A2965" s="106">
        <v>3827</v>
      </c>
      <c r="B2965" s="108" t="s">
        <v>8378</v>
      </c>
      <c r="C2965" s="110" t="s">
        <v>5755</v>
      </c>
      <c r="D2965" s="111">
        <v>24.63</v>
      </c>
    </row>
    <row r="2966" spans="1:4" ht="25.5" x14ac:dyDescent="0.25">
      <c r="A2966" s="106">
        <v>20165</v>
      </c>
      <c r="B2966" s="108" t="s">
        <v>8379</v>
      </c>
      <c r="C2966" s="110" t="s">
        <v>5755</v>
      </c>
      <c r="D2966" s="111">
        <v>18.05</v>
      </c>
    </row>
    <row r="2967" spans="1:4" ht="25.5" x14ac:dyDescent="0.25">
      <c r="A2967" s="106">
        <v>20166</v>
      </c>
      <c r="B2967" s="108" t="s">
        <v>8380</v>
      </c>
      <c r="C2967" s="110" t="s">
        <v>5755</v>
      </c>
      <c r="D2967" s="111">
        <v>58.35</v>
      </c>
    </row>
    <row r="2968" spans="1:4" ht="25.5" x14ac:dyDescent="0.25">
      <c r="A2968" s="106">
        <v>20164</v>
      </c>
      <c r="B2968" s="108" t="s">
        <v>8381</v>
      </c>
      <c r="C2968" s="110" t="s">
        <v>5755</v>
      </c>
      <c r="D2968" s="111">
        <v>9.5299999999999994</v>
      </c>
    </row>
    <row r="2969" spans="1:4" x14ac:dyDescent="0.25">
      <c r="A2969" s="106">
        <v>3893</v>
      </c>
      <c r="B2969" s="108" t="s">
        <v>8382</v>
      </c>
      <c r="C2969" s="110" t="s">
        <v>5755</v>
      </c>
      <c r="D2969" s="111">
        <v>11.83</v>
      </c>
    </row>
    <row r="2970" spans="1:4" x14ac:dyDescent="0.25">
      <c r="A2970" s="106">
        <v>3848</v>
      </c>
      <c r="B2970" s="108" t="s">
        <v>8383</v>
      </c>
      <c r="C2970" s="110" t="s">
        <v>5755</v>
      </c>
      <c r="D2970" s="111">
        <v>7.19</v>
      </c>
    </row>
    <row r="2971" spans="1:4" x14ac:dyDescent="0.25">
      <c r="A2971" s="106">
        <v>3895</v>
      </c>
      <c r="B2971" s="108" t="s">
        <v>8384</v>
      </c>
      <c r="C2971" s="110" t="s">
        <v>5755</v>
      </c>
      <c r="D2971" s="111">
        <v>7.82</v>
      </c>
    </row>
    <row r="2972" spans="1:4" x14ac:dyDescent="0.25">
      <c r="A2972" s="106">
        <v>12404</v>
      </c>
      <c r="B2972" s="108" t="s">
        <v>8385</v>
      </c>
      <c r="C2972" s="110" t="s">
        <v>5755</v>
      </c>
      <c r="D2972" s="111">
        <v>5.83</v>
      </c>
    </row>
    <row r="2973" spans="1:4" x14ac:dyDescent="0.25">
      <c r="A2973" s="106">
        <v>3939</v>
      </c>
      <c r="B2973" s="108" t="s">
        <v>8386</v>
      </c>
      <c r="C2973" s="110" t="s">
        <v>5755</v>
      </c>
      <c r="D2973" s="111">
        <v>12.01</v>
      </c>
    </row>
    <row r="2974" spans="1:4" x14ac:dyDescent="0.25">
      <c r="A2974" s="106">
        <v>3911</v>
      </c>
      <c r="B2974" s="108" t="s">
        <v>8387</v>
      </c>
      <c r="C2974" s="110" t="s">
        <v>5755</v>
      </c>
      <c r="D2974" s="111">
        <v>9.81</v>
      </c>
    </row>
    <row r="2975" spans="1:4" x14ac:dyDescent="0.25">
      <c r="A2975" s="106">
        <v>3908</v>
      </c>
      <c r="B2975" s="108" t="s">
        <v>8388</v>
      </c>
      <c r="C2975" s="110" t="s">
        <v>5755</v>
      </c>
      <c r="D2975" s="111">
        <v>3.17</v>
      </c>
    </row>
    <row r="2976" spans="1:4" x14ac:dyDescent="0.25">
      <c r="A2976" s="106">
        <v>3910</v>
      </c>
      <c r="B2976" s="108" t="s">
        <v>8389</v>
      </c>
      <c r="C2976" s="110" t="s">
        <v>5755</v>
      </c>
      <c r="D2976" s="111">
        <v>7.02</v>
      </c>
    </row>
    <row r="2977" spans="1:4" x14ac:dyDescent="0.25">
      <c r="A2977" s="106">
        <v>3913</v>
      </c>
      <c r="B2977" s="108" t="s">
        <v>8390</v>
      </c>
      <c r="C2977" s="110" t="s">
        <v>5755</v>
      </c>
      <c r="D2977" s="111">
        <v>33.549999999999997</v>
      </c>
    </row>
    <row r="2978" spans="1:4" x14ac:dyDescent="0.25">
      <c r="A2978" s="106">
        <v>3912</v>
      </c>
      <c r="B2978" s="108" t="s">
        <v>8391</v>
      </c>
      <c r="C2978" s="110" t="s">
        <v>5755</v>
      </c>
      <c r="D2978" s="111">
        <v>18.39</v>
      </c>
    </row>
    <row r="2979" spans="1:4" x14ac:dyDescent="0.25">
      <c r="A2979" s="106">
        <v>3909</v>
      </c>
      <c r="B2979" s="108" t="s">
        <v>8392</v>
      </c>
      <c r="C2979" s="110" t="s">
        <v>5755</v>
      </c>
      <c r="D2979" s="111">
        <v>4.3099999999999996</v>
      </c>
    </row>
    <row r="2980" spans="1:4" x14ac:dyDescent="0.25">
      <c r="A2980" s="106">
        <v>3914</v>
      </c>
      <c r="B2980" s="108" t="s">
        <v>8393</v>
      </c>
      <c r="C2980" s="110" t="s">
        <v>5755</v>
      </c>
      <c r="D2980" s="111">
        <v>50.62</v>
      </c>
    </row>
    <row r="2981" spans="1:4" x14ac:dyDescent="0.25">
      <c r="A2981" s="106">
        <v>3915</v>
      </c>
      <c r="B2981" s="108" t="s">
        <v>8394</v>
      </c>
      <c r="C2981" s="110" t="s">
        <v>5755</v>
      </c>
      <c r="D2981" s="111">
        <v>79.83</v>
      </c>
    </row>
    <row r="2982" spans="1:4" x14ac:dyDescent="0.25">
      <c r="A2982" s="106">
        <v>3916</v>
      </c>
      <c r="B2982" s="108" t="s">
        <v>8395</v>
      </c>
      <c r="C2982" s="110" t="s">
        <v>5755</v>
      </c>
      <c r="D2982" s="111">
        <v>145.43</v>
      </c>
    </row>
    <row r="2983" spans="1:4" x14ac:dyDescent="0.25">
      <c r="A2983" s="106">
        <v>3917</v>
      </c>
      <c r="B2983" s="108" t="s">
        <v>8396</v>
      </c>
      <c r="C2983" s="110" t="s">
        <v>5755</v>
      </c>
      <c r="D2983" s="111">
        <v>239.87</v>
      </c>
    </row>
    <row r="2984" spans="1:4" x14ac:dyDescent="0.25">
      <c r="A2984" s="106">
        <v>1904</v>
      </c>
      <c r="B2984" s="108" t="s">
        <v>8397</v>
      </c>
      <c r="C2984" s="110" t="s">
        <v>5755</v>
      </c>
      <c r="D2984" s="111">
        <v>0.65</v>
      </c>
    </row>
    <row r="2985" spans="1:4" x14ac:dyDescent="0.25">
      <c r="A2985" s="106">
        <v>1899</v>
      </c>
      <c r="B2985" s="108" t="s">
        <v>8398</v>
      </c>
      <c r="C2985" s="110" t="s">
        <v>5755</v>
      </c>
      <c r="D2985" s="111">
        <v>0.74</v>
      </c>
    </row>
    <row r="2986" spans="1:4" x14ac:dyDescent="0.25">
      <c r="A2986" s="106">
        <v>1900</v>
      </c>
      <c r="B2986" s="108" t="s">
        <v>8399</v>
      </c>
      <c r="C2986" s="110" t="s">
        <v>5755</v>
      </c>
      <c r="D2986" s="111">
        <v>1.2</v>
      </c>
    </row>
    <row r="2987" spans="1:4" ht="25.5" x14ac:dyDescent="0.25">
      <c r="A2987" s="106">
        <v>12407</v>
      </c>
      <c r="B2987" s="108" t="s">
        <v>8400</v>
      </c>
      <c r="C2987" s="110" t="s">
        <v>5755</v>
      </c>
      <c r="D2987" s="111">
        <v>18.16</v>
      </c>
    </row>
    <row r="2988" spans="1:4" ht="25.5" x14ac:dyDescent="0.25">
      <c r="A2988" s="106">
        <v>12408</v>
      </c>
      <c r="B2988" s="108" t="s">
        <v>8401</v>
      </c>
      <c r="C2988" s="110" t="s">
        <v>5755</v>
      </c>
      <c r="D2988" s="111">
        <v>10.25</v>
      </c>
    </row>
    <row r="2989" spans="1:4" ht="25.5" x14ac:dyDescent="0.25">
      <c r="A2989" s="106">
        <v>12409</v>
      </c>
      <c r="B2989" s="108" t="s">
        <v>8402</v>
      </c>
      <c r="C2989" s="110" t="s">
        <v>5755</v>
      </c>
      <c r="D2989" s="111">
        <v>10.25</v>
      </c>
    </row>
    <row r="2990" spans="1:4" ht="25.5" x14ac:dyDescent="0.25">
      <c r="A2990" s="106">
        <v>12410</v>
      </c>
      <c r="B2990" s="108" t="s">
        <v>8403</v>
      </c>
      <c r="C2990" s="110" t="s">
        <v>5755</v>
      </c>
      <c r="D2990" s="111">
        <v>7.06</v>
      </c>
    </row>
    <row r="2991" spans="1:4" ht="25.5" x14ac:dyDescent="0.25">
      <c r="A2991" s="106">
        <v>3936</v>
      </c>
      <c r="B2991" s="108" t="s">
        <v>8404</v>
      </c>
      <c r="C2991" s="110" t="s">
        <v>5755</v>
      </c>
      <c r="D2991" s="111">
        <v>12.76</v>
      </c>
    </row>
    <row r="2992" spans="1:4" ht="25.5" x14ac:dyDescent="0.25">
      <c r="A2992" s="106">
        <v>3922</v>
      </c>
      <c r="B2992" s="108" t="s">
        <v>8405</v>
      </c>
      <c r="C2992" s="110" t="s">
        <v>5755</v>
      </c>
      <c r="D2992" s="111">
        <v>11.73</v>
      </c>
    </row>
    <row r="2993" spans="1:4" ht="25.5" x14ac:dyDescent="0.25">
      <c r="A2993" s="106">
        <v>3924</v>
      </c>
      <c r="B2993" s="108" t="s">
        <v>8406</v>
      </c>
      <c r="C2993" s="110" t="s">
        <v>5755</v>
      </c>
      <c r="D2993" s="111">
        <v>12.76</v>
      </c>
    </row>
    <row r="2994" spans="1:4" ht="25.5" x14ac:dyDescent="0.25">
      <c r="A2994" s="106">
        <v>3923</v>
      </c>
      <c r="B2994" s="108" t="s">
        <v>8407</v>
      </c>
      <c r="C2994" s="110" t="s">
        <v>5755</v>
      </c>
      <c r="D2994" s="111">
        <v>12.76</v>
      </c>
    </row>
    <row r="2995" spans="1:4" ht="25.5" x14ac:dyDescent="0.25">
      <c r="A2995" s="106">
        <v>3937</v>
      </c>
      <c r="B2995" s="108" t="s">
        <v>8408</v>
      </c>
      <c r="C2995" s="110" t="s">
        <v>5755</v>
      </c>
      <c r="D2995" s="111">
        <v>10.52</v>
      </c>
    </row>
    <row r="2996" spans="1:4" ht="25.5" x14ac:dyDescent="0.25">
      <c r="A2996" s="106">
        <v>3921</v>
      </c>
      <c r="B2996" s="108" t="s">
        <v>8409</v>
      </c>
      <c r="C2996" s="110" t="s">
        <v>5755</v>
      </c>
      <c r="D2996" s="111">
        <v>10.53</v>
      </c>
    </row>
    <row r="2997" spans="1:4" ht="25.5" x14ac:dyDescent="0.25">
      <c r="A2997" s="106">
        <v>3920</v>
      </c>
      <c r="B2997" s="108" t="s">
        <v>8410</v>
      </c>
      <c r="C2997" s="110" t="s">
        <v>5755</v>
      </c>
      <c r="D2997" s="111">
        <v>10.52</v>
      </c>
    </row>
    <row r="2998" spans="1:4" ht="25.5" x14ac:dyDescent="0.25">
      <c r="A2998" s="106">
        <v>3938</v>
      </c>
      <c r="B2998" s="108" t="s">
        <v>8411</v>
      </c>
      <c r="C2998" s="110" t="s">
        <v>5755</v>
      </c>
      <c r="D2998" s="111">
        <v>6.94</v>
      </c>
    </row>
    <row r="2999" spans="1:4" ht="25.5" x14ac:dyDescent="0.25">
      <c r="A2999" s="106">
        <v>3919</v>
      </c>
      <c r="B2999" s="108" t="s">
        <v>8412</v>
      </c>
      <c r="C2999" s="110" t="s">
        <v>5755</v>
      </c>
      <c r="D2999" s="111">
        <v>7.07</v>
      </c>
    </row>
    <row r="3000" spans="1:4" ht="25.5" x14ac:dyDescent="0.25">
      <c r="A3000" s="106">
        <v>3927</v>
      </c>
      <c r="B3000" s="108" t="s">
        <v>8413</v>
      </c>
      <c r="C3000" s="110" t="s">
        <v>5755</v>
      </c>
      <c r="D3000" s="111">
        <v>35.83</v>
      </c>
    </row>
    <row r="3001" spans="1:4" ht="25.5" x14ac:dyDescent="0.25">
      <c r="A3001" s="106">
        <v>3928</v>
      </c>
      <c r="B3001" s="108" t="s">
        <v>8414</v>
      </c>
      <c r="C3001" s="110" t="s">
        <v>5755</v>
      </c>
      <c r="D3001" s="111">
        <v>35.83</v>
      </c>
    </row>
    <row r="3002" spans="1:4" ht="25.5" x14ac:dyDescent="0.25">
      <c r="A3002" s="106">
        <v>3926</v>
      </c>
      <c r="B3002" s="108" t="s">
        <v>8415</v>
      </c>
      <c r="C3002" s="110" t="s">
        <v>5755</v>
      </c>
      <c r="D3002" s="111">
        <v>20.420000000000002</v>
      </c>
    </row>
    <row r="3003" spans="1:4" ht="25.5" x14ac:dyDescent="0.25">
      <c r="A3003" s="106">
        <v>3935</v>
      </c>
      <c r="B3003" s="108" t="s">
        <v>8416</v>
      </c>
      <c r="C3003" s="110" t="s">
        <v>5755</v>
      </c>
      <c r="D3003" s="111">
        <v>20.420000000000002</v>
      </c>
    </row>
    <row r="3004" spans="1:4" x14ac:dyDescent="0.25">
      <c r="A3004" s="106">
        <v>3925</v>
      </c>
      <c r="B3004" s="108" t="s">
        <v>8417</v>
      </c>
      <c r="C3004" s="110" t="s">
        <v>5755</v>
      </c>
      <c r="D3004" s="111">
        <v>20.420000000000002</v>
      </c>
    </row>
    <row r="3005" spans="1:4" ht="25.5" x14ac:dyDescent="0.25">
      <c r="A3005" s="106">
        <v>12406</v>
      </c>
      <c r="B3005" s="108" t="s">
        <v>8418</v>
      </c>
      <c r="C3005" s="110" t="s">
        <v>5755</v>
      </c>
      <c r="D3005" s="111">
        <v>5.01</v>
      </c>
    </row>
    <row r="3006" spans="1:4" ht="25.5" x14ac:dyDescent="0.25">
      <c r="A3006" s="106">
        <v>3929</v>
      </c>
      <c r="B3006" s="108" t="s">
        <v>8419</v>
      </c>
      <c r="C3006" s="110" t="s">
        <v>5755</v>
      </c>
      <c r="D3006" s="111">
        <v>54.59</v>
      </c>
    </row>
    <row r="3007" spans="1:4" ht="25.5" x14ac:dyDescent="0.25">
      <c r="A3007" s="106">
        <v>3931</v>
      </c>
      <c r="B3007" s="108" t="s">
        <v>8420</v>
      </c>
      <c r="C3007" s="110" t="s">
        <v>5755</v>
      </c>
      <c r="D3007" s="111">
        <v>54.59</v>
      </c>
    </row>
    <row r="3008" spans="1:4" x14ac:dyDescent="0.25">
      <c r="A3008" s="106">
        <v>3930</v>
      </c>
      <c r="B3008" s="108" t="s">
        <v>8421</v>
      </c>
      <c r="C3008" s="110" t="s">
        <v>5755</v>
      </c>
      <c r="D3008" s="111">
        <v>54.59</v>
      </c>
    </row>
    <row r="3009" spans="1:4" ht="25.5" x14ac:dyDescent="0.25">
      <c r="A3009" s="106">
        <v>3932</v>
      </c>
      <c r="B3009" s="108" t="s">
        <v>8422</v>
      </c>
      <c r="C3009" s="110" t="s">
        <v>5755</v>
      </c>
      <c r="D3009" s="111">
        <v>94.26</v>
      </c>
    </row>
    <row r="3010" spans="1:4" x14ac:dyDescent="0.25">
      <c r="A3010" s="106">
        <v>3933</v>
      </c>
      <c r="B3010" s="108" t="s">
        <v>8423</v>
      </c>
      <c r="C3010" s="110" t="s">
        <v>5755</v>
      </c>
      <c r="D3010" s="111">
        <v>94.26</v>
      </c>
    </row>
    <row r="3011" spans="1:4" x14ac:dyDescent="0.25">
      <c r="A3011" s="106">
        <v>3934</v>
      </c>
      <c r="B3011" s="108" t="s">
        <v>8424</v>
      </c>
      <c r="C3011" s="110" t="s">
        <v>5755</v>
      </c>
      <c r="D3011" s="111">
        <v>94.26</v>
      </c>
    </row>
    <row r="3012" spans="1:4" ht="25.5" x14ac:dyDescent="0.25">
      <c r="A3012" s="106">
        <v>40355</v>
      </c>
      <c r="B3012" s="108" t="s">
        <v>8425</v>
      </c>
      <c r="C3012" s="110" t="s">
        <v>5755</v>
      </c>
      <c r="D3012" s="111">
        <v>7.47</v>
      </c>
    </row>
    <row r="3013" spans="1:4" ht="25.5" x14ac:dyDescent="0.25">
      <c r="A3013" s="106">
        <v>40364</v>
      </c>
      <c r="B3013" s="108" t="s">
        <v>8426</v>
      </c>
      <c r="C3013" s="110" t="s">
        <v>5755</v>
      </c>
      <c r="D3013" s="111">
        <v>35.01</v>
      </c>
    </row>
    <row r="3014" spans="1:4" ht="25.5" x14ac:dyDescent="0.25">
      <c r="A3014" s="106">
        <v>40361</v>
      </c>
      <c r="B3014" s="108" t="s">
        <v>8427</v>
      </c>
      <c r="C3014" s="110" t="s">
        <v>5755</v>
      </c>
      <c r="D3014" s="111">
        <v>27.38</v>
      </c>
    </row>
    <row r="3015" spans="1:4" ht="25.5" x14ac:dyDescent="0.25">
      <c r="A3015" s="106">
        <v>40358</v>
      </c>
      <c r="B3015" s="108" t="s">
        <v>8428</v>
      </c>
      <c r="C3015" s="110" t="s">
        <v>5755</v>
      </c>
      <c r="D3015" s="111">
        <v>10.43</v>
      </c>
    </row>
    <row r="3016" spans="1:4" ht="25.5" x14ac:dyDescent="0.25">
      <c r="A3016" s="106">
        <v>40370</v>
      </c>
      <c r="B3016" s="108" t="s">
        <v>8429</v>
      </c>
      <c r="C3016" s="110" t="s">
        <v>5755</v>
      </c>
      <c r="D3016" s="111">
        <v>111.09</v>
      </c>
    </row>
    <row r="3017" spans="1:4" ht="25.5" x14ac:dyDescent="0.25">
      <c r="A3017" s="106">
        <v>40367</v>
      </c>
      <c r="B3017" s="108" t="s">
        <v>8430</v>
      </c>
      <c r="C3017" s="110" t="s">
        <v>5755</v>
      </c>
      <c r="D3017" s="111">
        <v>55.22</v>
      </c>
    </row>
    <row r="3018" spans="1:4" ht="25.5" x14ac:dyDescent="0.25">
      <c r="A3018" s="106">
        <v>40373</v>
      </c>
      <c r="B3018" s="108" t="s">
        <v>8431</v>
      </c>
      <c r="C3018" s="110" t="s">
        <v>5755</v>
      </c>
      <c r="D3018" s="111">
        <v>150.22999999999999</v>
      </c>
    </row>
    <row r="3019" spans="1:4" ht="25.5" x14ac:dyDescent="0.25">
      <c r="A3019" s="106">
        <v>38947</v>
      </c>
      <c r="B3019" s="108" t="s">
        <v>8432</v>
      </c>
      <c r="C3019" s="110" t="s">
        <v>5755</v>
      </c>
      <c r="D3019" s="111">
        <v>5.99</v>
      </c>
    </row>
    <row r="3020" spans="1:4" ht="25.5" x14ac:dyDescent="0.25">
      <c r="A3020" s="106">
        <v>38948</v>
      </c>
      <c r="B3020" s="108" t="s">
        <v>8433</v>
      </c>
      <c r="C3020" s="110" t="s">
        <v>5755</v>
      </c>
      <c r="D3020" s="111">
        <v>9.56</v>
      </c>
    </row>
    <row r="3021" spans="1:4" ht="25.5" x14ac:dyDescent="0.25">
      <c r="A3021" s="106">
        <v>38949</v>
      </c>
      <c r="B3021" s="108" t="s">
        <v>8434</v>
      </c>
      <c r="C3021" s="110" t="s">
        <v>5755</v>
      </c>
      <c r="D3021" s="111">
        <v>10.6</v>
      </c>
    </row>
    <row r="3022" spans="1:4" ht="25.5" x14ac:dyDescent="0.25">
      <c r="A3022" s="106">
        <v>38951</v>
      </c>
      <c r="B3022" s="108" t="s">
        <v>8435</v>
      </c>
      <c r="C3022" s="110" t="s">
        <v>5755</v>
      </c>
      <c r="D3022" s="111">
        <v>16.77</v>
      </c>
    </row>
    <row r="3023" spans="1:4" ht="25.5" x14ac:dyDescent="0.25">
      <c r="A3023" s="106">
        <v>39312</v>
      </c>
      <c r="B3023" s="108" t="s">
        <v>8436</v>
      </c>
      <c r="C3023" s="110" t="s">
        <v>5755</v>
      </c>
      <c r="D3023" s="111">
        <v>13.01</v>
      </c>
    </row>
    <row r="3024" spans="1:4" ht="25.5" x14ac:dyDescent="0.25">
      <c r="A3024" s="106">
        <v>39313</v>
      </c>
      <c r="B3024" s="108" t="s">
        <v>8437</v>
      </c>
      <c r="C3024" s="110" t="s">
        <v>5755</v>
      </c>
      <c r="D3024" s="111">
        <v>16.98</v>
      </c>
    </row>
    <row r="3025" spans="1:4" ht="25.5" x14ac:dyDescent="0.25">
      <c r="A3025" s="106">
        <v>38950</v>
      </c>
      <c r="B3025" s="108" t="s">
        <v>8438</v>
      </c>
      <c r="C3025" s="110" t="s">
        <v>5755</v>
      </c>
      <c r="D3025" s="111">
        <v>25.55</v>
      </c>
    </row>
    <row r="3026" spans="1:4" ht="25.5" x14ac:dyDescent="0.25">
      <c r="A3026" s="106">
        <v>39314</v>
      </c>
      <c r="B3026" s="108" t="s">
        <v>8439</v>
      </c>
      <c r="C3026" s="110" t="s">
        <v>5755</v>
      </c>
      <c r="D3026" s="111">
        <v>26.96</v>
      </c>
    </row>
    <row r="3027" spans="1:4" x14ac:dyDescent="0.25">
      <c r="A3027" s="106">
        <v>3907</v>
      </c>
      <c r="B3027" s="108" t="s">
        <v>8440</v>
      </c>
      <c r="C3027" s="110" t="s">
        <v>5755</v>
      </c>
      <c r="D3027" s="111">
        <v>3.29</v>
      </c>
    </row>
    <row r="3028" spans="1:4" x14ac:dyDescent="0.25">
      <c r="A3028" s="106">
        <v>3889</v>
      </c>
      <c r="B3028" s="108" t="s">
        <v>8441</v>
      </c>
      <c r="C3028" s="110" t="s">
        <v>5755</v>
      </c>
      <c r="D3028" s="111">
        <v>2.5099999999999998</v>
      </c>
    </row>
    <row r="3029" spans="1:4" ht="25.5" x14ac:dyDescent="0.25">
      <c r="A3029" s="106">
        <v>3868</v>
      </c>
      <c r="B3029" s="108" t="s">
        <v>8442</v>
      </c>
      <c r="C3029" s="110" t="s">
        <v>5755</v>
      </c>
      <c r="D3029" s="111">
        <v>0.97</v>
      </c>
    </row>
    <row r="3030" spans="1:4" ht="25.5" x14ac:dyDescent="0.25">
      <c r="A3030" s="106">
        <v>3869</v>
      </c>
      <c r="B3030" s="108" t="s">
        <v>8443</v>
      </c>
      <c r="C3030" s="110" t="s">
        <v>5755</v>
      </c>
      <c r="D3030" s="111">
        <v>2.79</v>
      </c>
    </row>
    <row r="3031" spans="1:4" ht="25.5" x14ac:dyDescent="0.25">
      <c r="A3031" s="106">
        <v>3872</v>
      </c>
      <c r="B3031" s="108" t="s">
        <v>8444</v>
      </c>
      <c r="C3031" s="110" t="s">
        <v>5755</v>
      </c>
      <c r="D3031" s="111">
        <v>3.39</v>
      </c>
    </row>
    <row r="3032" spans="1:4" ht="25.5" x14ac:dyDescent="0.25">
      <c r="A3032" s="106">
        <v>3850</v>
      </c>
      <c r="B3032" s="108" t="s">
        <v>8445</v>
      </c>
      <c r="C3032" s="110" t="s">
        <v>5755</v>
      </c>
      <c r="D3032" s="111">
        <v>8.74</v>
      </c>
    </row>
    <row r="3033" spans="1:4" ht="25.5" x14ac:dyDescent="0.25">
      <c r="A3033" s="106">
        <v>38023</v>
      </c>
      <c r="B3033" s="108" t="s">
        <v>8446</v>
      </c>
      <c r="C3033" s="110" t="s">
        <v>5755</v>
      </c>
      <c r="D3033" s="111">
        <v>3.69</v>
      </c>
    </row>
    <row r="3034" spans="1:4" ht="25.5" x14ac:dyDescent="0.25">
      <c r="A3034" s="106">
        <v>37986</v>
      </c>
      <c r="B3034" s="108" t="s">
        <v>8447</v>
      </c>
      <c r="C3034" s="110" t="s">
        <v>5755</v>
      </c>
      <c r="D3034" s="111">
        <v>2.42</v>
      </c>
    </row>
    <row r="3035" spans="1:4" ht="25.5" x14ac:dyDescent="0.25">
      <c r="A3035" s="106">
        <v>37987</v>
      </c>
      <c r="B3035" s="108" t="s">
        <v>8448</v>
      </c>
      <c r="C3035" s="110" t="s">
        <v>5755</v>
      </c>
      <c r="D3035" s="111">
        <v>180.59</v>
      </c>
    </row>
    <row r="3036" spans="1:4" ht="25.5" x14ac:dyDescent="0.25">
      <c r="A3036" s="106">
        <v>37988</v>
      </c>
      <c r="B3036" s="108" t="s">
        <v>8449</v>
      </c>
      <c r="C3036" s="110" t="s">
        <v>5755</v>
      </c>
      <c r="D3036" s="111">
        <v>294.57</v>
      </c>
    </row>
    <row r="3037" spans="1:4" x14ac:dyDescent="0.25">
      <c r="A3037" s="106">
        <v>21120</v>
      </c>
      <c r="B3037" s="108" t="s">
        <v>8450</v>
      </c>
      <c r="C3037" s="110" t="s">
        <v>5755</v>
      </c>
      <c r="D3037" s="111">
        <v>14.68</v>
      </c>
    </row>
    <row r="3038" spans="1:4" x14ac:dyDescent="0.25">
      <c r="A3038" s="106">
        <v>39318</v>
      </c>
      <c r="B3038" s="108" t="s">
        <v>8451</v>
      </c>
      <c r="C3038" s="110" t="s">
        <v>5755</v>
      </c>
      <c r="D3038" s="111">
        <v>12.11</v>
      </c>
    </row>
    <row r="3039" spans="1:4" x14ac:dyDescent="0.25">
      <c r="A3039" s="106">
        <v>20162</v>
      </c>
      <c r="B3039" s="108" t="s">
        <v>8452</v>
      </c>
      <c r="C3039" s="110" t="s">
        <v>5755</v>
      </c>
      <c r="D3039" s="111">
        <v>12.54</v>
      </c>
    </row>
    <row r="3040" spans="1:4" x14ac:dyDescent="0.25">
      <c r="A3040" s="106">
        <v>40366</v>
      </c>
      <c r="B3040" s="108" t="s">
        <v>8453</v>
      </c>
      <c r="C3040" s="110" t="s">
        <v>5755</v>
      </c>
      <c r="D3040" s="111">
        <v>27.31</v>
      </c>
    </row>
    <row r="3041" spans="1:4" x14ac:dyDescent="0.25">
      <c r="A3041" s="106">
        <v>40363</v>
      </c>
      <c r="B3041" s="108" t="s">
        <v>8454</v>
      </c>
      <c r="C3041" s="110" t="s">
        <v>5755</v>
      </c>
      <c r="D3041" s="111">
        <v>21.36</v>
      </c>
    </row>
    <row r="3042" spans="1:4" x14ac:dyDescent="0.25">
      <c r="A3042" s="106">
        <v>40354</v>
      </c>
      <c r="B3042" s="108" t="s">
        <v>8455</v>
      </c>
      <c r="C3042" s="110" t="s">
        <v>5755</v>
      </c>
      <c r="D3042" s="111">
        <v>9.3000000000000007</v>
      </c>
    </row>
    <row r="3043" spans="1:4" x14ac:dyDescent="0.25">
      <c r="A3043" s="106">
        <v>40360</v>
      </c>
      <c r="B3043" s="108" t="s">
        <v>8456</v>
      </c>
      <c r="C3043" s="110" t="s">
        <v>5755</v>
      </c>
      <c r="D3043" s="111">
        <v>14</v>
      </c>
    </row>
    <row r="3044" spans="1:4" x14ac:dyDescent="0.25">
      <c r="A3044" s="106">
        <v>40372</v>
      </c>
      <c r="B3044" s="108" t="s">
        <v>8457</v>
      </c>
      <c r="C3044" s="110" t="s">
        <v>5755</v>
      </c>
      <c r="D3044" s="111">
        <v>86.48</v>
      </c>
    </row>
    <row r="3045" spans="1:4" x14ac:dyDescent="0.25">
      <c r="A3045" s="106">
        <v>40369</v>
      </c>
      <c r="B3045" s="108" t="s">
        <v>8458</v>
      </c>
      <c r="C3045" s="110" t="s">
        <v>5755</v>
      </c>
      <c r="D3045" s="111">
        <v>43.04</v>
      </c>
    </row>
    <row r="3046" spans="1:4" x14ac:dyDescent="0.25">
      <c r="A3046" s="106">
        <v>40357</v>
      </c>
      <c r="B3046" s="108" t="s">
        <v>8459</v>
      </c>
      <c r="C3046" s="110" t="s">
        <v>5755</v>
      </c>
      <c r="D3046" s="111">
        <v>10.43</v>
      </c>
    </row>
    <row r="3047" spans="1:4" x14ac:dyDescent="0.25">
      <c r="A3047" s="106">
        <v>40375</v>
      </c>
      <c r="B3047" s="108" t="s">
        <v>8460</v>
      </c>
      <c r="C3047" s="110" t="s">
        <v>5755</v>
      </c>
      <c r="D3047" s="111">
        <v>117.07</v>
      </c>
    </row>
    <row r="3048" spans="1:4" x14ac:dyDescent="0.25">
      <c r="A3048" s="106">
        <v>1893</v>
      </c>
      <c r="B3048" s="108" t="s">
        <v>8461</v>
      </c>
      <c r="C3048" s="110" t="s">
        <v>5755</v>
      </c>
      <c r="D3048" s="111">
        <v>2.4700000000000002</v>
      </c>
    </row>
    <row r="3049" spans="1:4" x14ac:dyDescent="0.25">
      <c r="A3049" s="106">
        <v>1902</v>
      </c>
      <c r="B3049" s="108" t="s">
        <v>8462</v>
      </c>
      <c r="C3049" s="110" t="s">
        <v>5755</v>
      </c>
      <c r="D3049" s="111">
        <v>1.8</v>
      </c>
    </row>
    <row r="3050" spans="1:4" x14ac:dyDescent="0.25">
      <c r="A3050" s="106">
        <v>1901</v>
      </c>
      <c r="B3050" s="108" t="s">
        <v>8463</v>
      </c>
      <c r="C3050" s="110" t="s">
        <v>5755</v>
      </c>
      <c r="D3050" s="111">
        <v>0.56000000000000005</v>
      </c>
    </row>
    <row r="3051" spans="1:4" x14ac:dyDescent="0.25">
      <c r="A3051" s="106">
        <v>1892</v>
      </c>
      <c r="B3051" s="108" t="s">
        <v>669</v>
      </c>
      <c r="C3051" s="110" t="s">
        <v>5755</v>
      </c>
      <c r="D3051" s="111">
        <v>1.1599999999999999</v>
      </c>
    </row>
    <row r="3052" spans="1:4" x14ac:dyDescent="0.25">
      <c r="A3052" s="106">
        <v>1907</v>
      </c>
      <c r="B3052" s="108" t="s">
        <v>8464</v>
      </c>
      <c r="C3052" s="110" t="s">
        <v>5755</v>
      </c>
      <c r="D3052" s="111">
        <v>7.96</v>
      </c>
    </row>
    <row r="3053" spans="1:4" x14ac:dyDescent="0.25">
      <c r="A3053" s="106">
        <v>1894</v>
      </c>
      <c r="B3053" s="108" t="s">
        <v>8465</v>
      </c>
      <c r="C3053" s="110" t="s">
        <v>5755</v>
      </c>
      <c r="D3053" s="111">
        <v>3.58</v>
      </c>
    </row>
    <row r="3054" spans="1:4" x14ac:dyDescent="0.25">
      <c r="A3054" s="106">
        <v>1891</v>
      </c>
      <c r="B3054" s="108" t="s">
        <v>8466</v>
      </c>
      <c r="C3054" s="110" t="s">
        <v>5755</v>
      </c>
      <c r="D3054" s="111">
        <v>0.83</v>
      </c>
    </row>
    <row r="3055" spans="1:4" x14ac:dyDescent="0.25">
      <c r="A3055" s="106">
        <v>1896</v>
      </c>
      <c r="B3055" s="108" t="s">
        <v>8467</v>
      </c>
      <c r="C3055" s="110" t="s">
        <v>5755</v>
      </c>
      <c r="D3055" s="111">
        <v>10.69</v>
      </c>
    </row>
    <row r="3056" spans="1:4" x14ac:dyDescent="0.25">
      <c r="A3056" s="106">
        <v>1895</v>
      </c>
      <c r="B3056" s="108" t="s">
        <v>8468</v>
      </c>
      <c r="C3056" s="110" t="s">
        <v>5755</v>
      </c>
      <c r="D3056" s="111">
        <v>18.79</v>
      </c>
    </row>
    <row r="3057" spans="1:4" ht="25.5" x14ac:dyDescent="0.25">
      <c r="A3057" s="106">
        <v>2641</v>
      </c>
      <c r="B3057" s="108" t="s">
        <v>8469</v>
      </c>
      <c r="C3057" s="110" t="s">
        <v>5755</v>
      </c>
      <c r="D3057" s="111">
        <v>24.86</v>
      </c>
    </row>
    <row r="3058" spans="1:4" ht="25.5" x14ac:dyDescent="0.25">
      <c r="A3058" s="106">
        <v>2636</v>
      </c>
      <c r="B3058" s="108" t="s">
        <v>8470</v>
      </c>
      <c r="C3058" s="110" t="s">
        <v>5755</v>
      </c>
      <c r="D3058" s="111">
        <v>1.6</v>
      </c>
    </row>
    <row r="3059" spans="1:4" ht="25.5" x14ac:dyDescent="0.25">
      <c r="A3059" s="106">
        <v>2637</v>
      </c>
      <c r="B3059" s="108" t="s">
        <v>8471</v>
      </c>
      <c r="C3059" s="110" t="s">
        <v>5755</v>
      </c>
      <c r="D3059" s="111">
        <v>1.7</v>
      </c>
    </row>
    <row r="3060" spans="1:4" ht="25.5" x14ac:dyDescent="0.25">
      <c r="A3060" s="106">
        <v>2638</v>
      </c>
      <c r="B3060" s="108" t="s">
        <v>537</v>
      </c>
      <c r="C3060" s="110" t="s">
        <v>5755</v>
      </c>
      <c r="D3060" s="111">
        <v>1.98</v>
      </c>
    </row>
    <row r="3061" spans="1:4" ht="25.5" x14ac:dyDescent="0.25">
      <c r="A3061" s="106">
        <v>2639</v>
      </c>
      <c r="B3061" s="108" t="s">
        <v>8472</v>
      </c>
      <c r="C3061" s="110" t="s">
        <v>5755</v>
      </c>
      <c r="D3061" s="111">
        <v>3.51</v>
      </c>
    </row>
    <row r="3062" spans="1:4" ht="25.5" x14ac:dyDescent="0.25">
      <c r="A3062" s="106">
        <v>2644</v>
      </c>
      <c r="B3062" s="108" t="s">
        <v>8473</v>
      </c>
      <c r="C3062" s="110" t="s">
        <v>5755</v>
      </c>
      <c r="D3062" s="111">
        <v>5.08</v>
      </c>
    </row>
    <row r="3063" spans="1:4" ht="25.5" x14ac:dyDescent="0.25">
      <c r="A3063" s="106">
        <v>2643</v>
      </c>
      <c r="B3063" s="108" t="s">
        <v>8474</v>
      </c>
      <c r="C3063" s="110" t="s">
        <v>5755</v>
      </c>
      <c r="D3063" s="111">
        <v>7.09</v>
      </c>
    </row>
    <row r="3064" spans="1:4" ht="25.5" x14ac:dyDescent="0.25">
      <c r="A3064" s="106">
        <v>2640</v>
      </c>
      <c r="B3064" s="108" t="s">
        <v>8475</v>
      </c>
      <c r="C3064" s="110" t="s">
        <v>5755</v>
      </c>
      <c r="D3064" s="111">
        <v>10.34</v>
      </c>
    </row>
    <row r="3065" spans="1:4" ht="25.5" x14ac:dyDescent="0.25">
      <c r="A3065" s="106">
        <v>2642</v>
      </c>
      <c r="B3065" s="108" t="s">
        <v>8476</v>
      </c>
      <c r="C3065" s="110" t="s">
        <v>5755</v>
      </c>
      <c r="D3065" s="111">
        <v>15.75</v>
      </c>
    </row>
    <row r="3066" spans="1:4" ht="25.5" x14ac:dyDescent="0.25">
      <c r="A3066" s="106">
        <v>38943</v>
      </c>
      <c r="B3066" s="108" t="s">
        <v>8477</v>
      </c>
      <c r="C3066" s="110" t="s">
        <v>5755</v>
      </c>
      <c r="D3066" s="111">
        <v>4.42</v>
      </c>
    </row>
    <row r="3067" spans="1:4" ht="25.5" x14ac:dyDescent="0.25">
      <c r="A3067" s="106">
        <v>38944</v>
      </c>
      <c r="B3067" s="108" t="s">
        <v>8478</v>
      </c>
      <c r="C3067" s="110" t="s">
        <v>5755</v>
      </c>
      <c r="D3067" s="111">
        <v>6.83</v>
      </c>
    </row>
    <row r="3068" spans="1:4" ht="25.5" x14ac:dyDescent="0.25">
      <c r="A3068" s="106">
        <v>38945</v>
      </c>
      <c r="B3068" s="108" t="s">
        <v>8479</v>
      </c>
      <c r="C3068" s="110" t="s">
        <v>5755</v>
      </c>
      <c r="D3068" s="111">
        <v>13.86</v>
      </c>
    </row>
    <row r="3069" spans="1:4" ht="25.5" x14ac:dyDescent="0.25">
      <c r="A3069" s="106">
        <v>38946</v>
      </c>
      <c r="B3069" s="108" t="s">
        <v>8480</v>
      </c>
      <c r="C3069" s="110" t="s">
        <v>5755</v>
      </c>
      <c r="D3069" s="111">
        <v>20.67</v>
      </c>
    </row>
    <row r="3070" spans="1:4" ht="25.5" x14ac:dyDescent="0.25">
      <c r="A3070" s="106">
        <v>39308</v>
      </c>
      <c r="B3070" s="108" t="s">
        <v>8481</v>
      </c>
      <c r="C3070" s="110" t="s">
        <v>5755</v>
      </c>
      <c r="D3070" s="111">
        <v>9.01</v>
      </c>
    </row>
    <row r="3071" spans="1:4" ht="25.5" x14ac:dyDescent="0.25">
      <c r="A3071" s="106">
        <v>39309</v>
      </c>
      <c r="B3071" s="108" t="s">
        <v>8482</v>
      </c>
      <c r="C3071" s="110" t="s">
        <v>5755</v>
      </c>
      <c r="D3071" s="111">
        <v>13.04</v>
      </c>
    </row>
    <row r="3072" spans="1:4" ht="25.5" x14ac:dyDescent="0.25">
      <c r="A3072" s="106">
        <v>39310</v>
      </c>
      <c r="B3072" s="108" t="s">
        <v>8483</v>
      </c>
      <c r="C3072" s="110" t="s">
        <v>5755</v>
      </c>
      <c r="D3072" s="111">
        <v>19.75</v>
      </c>
    </row>
    <row r="3073" spans="1:4" ht="25.5" x14ac:dyDescent="0.25">
      <c r="A3073" s="106">
        <v>39311</v>
      </c>
      <c r="B3073" s="108" t="s">
        <v>8484</v>
      </c>
      <c r="C3073" s="110" t="s">
        <v>5755</v>
      </c>
      <c r="D3073" s="111">
        <v>29.69</v>
      </c>
    </row>
    <row r="3074" spans="1:4" x14ac:dyDescent="0.25">
      <c r="A3074" s="106">
        <v>39855</v>
      </c>
      <c r="B3074" s="108" t="s">
        <v>8485</v>
      </c>
      <c r="C3074" s="110" t="s">
        <v>5755</v>
      </c>
      <c r="D3074" s="111">
        <v>1.89</v>
      </c>
    </row>
    <row r="3075" spans="1:4" x14ac:dyDescent="0.25">
      <c r="A3075" s="106">
        <v>39856</v>
      </c>
      <c r="B3075" s="108" t="s">
        <v>8486</v>
      </c>
      <c r="C3075" s="110" t="s">
        <v>5755</v>
      </c>
      <c r="D3075" s="111">
        <v>4.47</v>
      </c>
    </row>
    <row r="3076" spans="1:4" x14ac:dyDescent="0.25">
      <c r="A3076" s="106">
        <v>39857</v>
      </c>
      <c r="B3076" s="108" t="s">
        <v>8487</v>
      </c>
      <c r="C3076" s="110" t="s">
        <v>5755</v>
      </c>
      <c r="D3076" s="111">
        <v>7.23</v>
      </c>
    </row>
    <row r="3077" spans="1:4" x14ac:dyDescent="0.25">
      <c r="A3077" s="106">
        <v>39858</v>
      </c>
      <c r="B3077" s="108" t="s">
        <v>8488</v>
      </c>
      <c r="C3077" s="110" t="s">
        <v>5755</v>
      </c>
      <c r="D3077" s="111">
        <v>16.05</v>
      </c>
    </row>
    <row r="3078" spans="1:4" x14ac:dyDescent="0.25">
      <c r="A3078" s="106">
        <v>39859</v>
      </c>
      <c r="B3078" s="108" t="s">
        <v>8489</v>
      </c>
      <c r="C3078" s="110" t="s">
        <v>5755</v>
      </c>
      <c r="D3078" s="111">
        <v>24.74</v>
      </c>
    </row>
    <row r="3079" spans="1:4" x14ac:dyDescent="0.25">
      <c r="A3079" s="106">
        <v>39860</v>
      </c>
      <c r="B3079" s="108" t="s">
        <v>8490</v>
      </c>
      <c r="C3079" s="110" t="s">
        <v>5755</v>
      </c>
      <c r="D3079" s="111">
        <v>37.97</v>
      </c>
    </row>
    <row r="3080" spans="1:4" x14ac:dyDescent="0.25">
      <c r="A3080" s="106">
        <v>39861</v>
      </c>
      <c r="B3080" s="108" t="s">
        <v>8491</v>
      </c>
      <c r="C3080" s="110" t="s">
        <v>5755</v>
      </c>
      <c r="D3080" s="111">
        <v>108.4</v>
      </c>
    </row>
    <row r="3081" spans="1:4" x14ac:dyDescent="0.25">
      <c r="A3081" s="106">
        <v>38447</v>
      </c>
      <c r="B3081" s="108" t="s">
        <v>8492</v>
      </c>
      <c r="C3081" s="110" t="s">
        <v>5755</v>
      </c>
      <c r="D3081" s="111">
        <v>78.58</v>
      </c>
    </row>
    <row r="3082" spans="1:4" x14ac:dyDescent="0.25">
      <c r="A3082" s="106">
        <v>36320</v>
      </c>
      <c r="B3082" s="108" t="s">
        <v>8493</v>
      </c>
      <c r="C3082" s="110" t="s">
        <v>5755</v>
      </c>
      <c r="D3082" s="111">
        <v>1.1399999999999999</v>
      </c>
    </row>
    <row r="3083" spans="1:4" x14ac:dyDescent="0.25">
      <c r="A3083" s="106">
        <v>36324</v>
      </c>
      <c r="B3083" s="108" t="s">
        <v>8494</v>
      </c>
      <c r="C3083" s="110" t="s">
        <v>5755</v>
      </c>
      <c r="D3083" s="111">
        <v>1.72</v>
      </c>
    </row>
    <row r="3084" spans="1:4" x14ac:dyDescent="0.25">
      <c r="A3084" s="106">
        <v>38441</v>
      </c>
      <c r="B3084" s="108" t="s">
        <v>8495</v>
      </c>
      <c r="C3084" s="110" t="s">
        <v>5755</v>
      </c>
      <c r="D3084" s="111">
        <v>2.2599999999999998</v>
      </c>
    </row>
    <row r="3085" spans="1:4" x14ac:dyDescent="0.25">
      <c r="A3085" s="106">
        <v>38442</v>
      </c>
      <c r="B3085" s="108" t="s">
        <v>8496</v>
      </c>
      <c r="C3085" s="110" t="s">
        <v>5755</v>
      </c>
      <c r="D3085" s="111">
        <v>5.76</v>
      </c>
    </row>
    <row r="3086" spans="1:4" x14ac:dyDescent="0.25">
      <c r="A3086" s="106">
        <v>38443</v>
      </c>
      <c r="B3086" s="108" t="s">
        <v>8497</v>
      </c>
      <c r="C3086" s="110" t="s">
        <v>5755</v>
      </c>
      <c r="D3086" s="111">
        <v>8.6999999999999993</v>
      </c>
    </row>
    <row r="3087" spans="1:4" x14ac:dyDescent="0.25">
      <c r="A3087" s="106">
        <v>38444</v>
      </c>
      <c r="B3087" s="108" t="s">
        <v>8498</v>
      </c>
      <c r="C3087" s="110" t="s">
        <v>5755</v>
      </c>
      <c r="D3087" s="111">
        <v>12.95</v>
      </c>
    </row>
    <row r="3088" spans="1:4" x14ac:dyDescent="0.25">
      <c r="A3088" s="106">
        <v>38445</v>
      </c>
      <c r="B3088" s="108" t="s">
        <v>8499</v>
      </c>
      <c r="C3088" s="110" t="s">
        <v>5755</v>
      </c>
      <c r="D3088" s="111">
        <v>30.43</v>
      </c>
    </row>
    <row r="3089" spans="1:4" x14ac:dyDescent="0.25">
      <c r="A3089" s="106">
        <v>38446</v>
      </c>
      <c r="B3089" s="108" t="s">
        <v>8500</v>
      </c>
      <c r="C3089" s="110" t="s">
        <v>5755</v>
      </c>
      <c r="D3089" s="111">
        <v>49.11</v>
      </c>
    </row>
    <row r="3090" spans="1:4" x14ac:dyDescent="0.25">
      <c r="A3090" s="106">
        <v>3867</v>
      </c>
      <c r="B3090" s="108" t="s">
        <v>8501</v>
      </c>
      <c r="C3090" s="110" t="s">
        <v>5755</v>
      </c>
      <c r="D3090" s="111">
        <v>58.74</v>
      </c>
    </row>
    <row r="3091" spans="1:4" x14ac:dyDescent="0.25">
      <c r="A3091" s="106">
        <v>3861</v>
      </c>
      <c r="B3091" s="108" t="s">
        <v>8502</v>
      </c>
      <c r="C3091" s="110" t="s">
        <v>5755</v>
      </c>
      <c r="D3091" s="111">
        <v>0.49</v>
      </c>
    </row>
    <row r="3092" spans="1:4" x14ac:dyDescent="0.25">
      <c r="A3092" s="106">
        <v>3904</v>
      </c>
      <c r="B3092" s="108" t="s">
        <v>8503</v>
      </c>
      <c r="C3092" s="110" t="s">
        <v>5755</v>
      </c>
      <c r="D3092" s="111">
        <v>0.59</v>
      </c>
    </row>
    <row r="3093" spans="1:4" x14ac:dyDescent="0.25">
      <c r="A3093" s="106">
        <v>3903</v>
      </c>
      <c r="B3093" s="108" t="s">
        <v>591</v>
      </c>
      <c r="C3093" s="110" t="s">
        <v>5755</v>
      </c>
      <c r="D3093" s="111">
        <v>1.46</v>
      </c>
    </row>
    <row r="3094" spans="1:4" x14ac:dyDescent="0.25">
      <c r="A3094" s="106">
        <v>3862</v>
      </c>
      <c r="B3094" s="108" t="s">
        <v>592</v>
      </c>
      <c r="C3094" s="110" t="s">
        <v>5755</v>
      </c>
      <c r="D3094" s="111">
        <v>2.97</v>
      </c>
    </row>
    <row r="3095" spans="1:4" x14ac:dyDescent="0.25">
      <c r="A3095" s="106">
        <v>3863</v>
      </c>
      <c r="B3095" s="108" t="s">
        <v>8504</v>
      </c>
      <c r="C3095" s="110" t="s">
        <v>5755</v>
      </c>
      <c r="D3095" s="111">
        <v>3.49</v>
      </c>
    </row>
    <row r="3096" spans="1:4" x14ac:dyDescent="0.25">
      <c r="A3096" s="106">
        <v>3864</v>
      </c>
      <c r="B3096" s="108" t="s">
        <v>8505</v>
      </c>
      <c r="C3096" s="110" t="s">
        <v>5755</v>
      </c>
      <c r="D3096" s="111">
        <v>9.09</v>
      </c>
    </row>
    <row r="3097" spans="1:4" x14ac:dyDescent="0.25">
      <c r="A3097" s="106">
        <v>3865</v>
      </c>
      <c r="B3097" s="108" t="s">
        <v>8506</v>
      </c>
      <c r="C3097" s="110" t="s">
        <v>5755</v>
      </c>
      <c r="D3097" s="111">
        <v>15.82</v>
      </c>
    </row>
    <row r="3098" spans="1:4" x14ac:dyDescent="0.25">
      <c r="A3098" s="106">
        <v>3866</v>
      </c>
      <c r="B3098" s="108" t="s">
        <v>8507</v>
      </c>
      <c r="C3098" s="110" t="s">
        <v>5755</v>
      </c>
      <c r="D3098" s="111">
        <v>36.21</v>
      </c>
    </row>
    <row r="3099" spans="1:4" x14ac:dyDescent="0.25">
      <c r="A3099" s="106">
        <v>3902</v>
      </c>
      <c r="B3099" s="108" t="s">
        <v>8508</v>
      </c>
      <c r="C3099" s="110" t="s">
        <v>5755</v>
      </c>
      <c r="D3099" s="111">
        <v>17.61</v>
      </c>
    </row>
    <row r="3100" spans="1:4" x14ac:dyDescent="0.25">
      <c r="A3100" s="106">
        <v>3878</v>
      </c>
      <c r="B3100" s="108" t="s">
        <v>8509</v>
      </c>
      <c r="C3100" s="110" t="s">
        <v>5755</v>
      </c>
      <c r="D3100" s="111">
        <v>5.56</v>
      </c>
    </row>
    <row r="3101" spans="1:4" x14ac:dyDescent="0.25">
      <c r="A3101" s="106">
        <v>3877</v>
      </c>
      <c r="B3101" s="108" t="s">
        <v>8510</v>
      </c>
      <c r="C3101" s="110" t="s">
        <v>5755</v>
      </c>
      <c r="D3101" s="111">
        <v>5.08</v>
      </c>
    </row>
    <row r="3102" spans="1:4" x14ac:dyDescent="0.25">
      <c r="A3102" s="106">
        <v>3879</v>
      </c>
      <c r="B3102" s="108" t="s">
        <v>8511</v>
      </c>
      <c r="C3102" s="110" t="s">
        <v>5755</v>
      </c>
      <c r="D3102" s="111">
        <v>11.22</v>
      </c>
    </row>
    <row r="3103" spans="1:4" x14ac:dyDescent="0.25">
      <c r="A3103" s="106">
        <v>3880</v>
      </c>
      <c r="B3103" s="108" t="s">
        <v>8512</v>
      </c>
      <c r="C3103" s="110" t="s">
        <v>5755</v>
      </c>
      <c r="D3103" s="111">
        <v>25.32</v>
      </c>
    </row>
    <row r="3104" spans="1:4" x14ac:dyDescent="0.25">
      <c r="A3104" s="106">
        <v>12892</v>
      </c>
      <c r="B3104" s="108" t="s">
        <v>8513</v>
      </c>
      <c r="C3104" s="110" t="s">
        <v>6130</v>
      </c>
      <c r="D3104" s="111">
        <v>10.75</v>
      </c>
    </row>
    <row r="3105" spans="1:4" x14ac:dyDescent="0.25">
      <c r="A3105" s="106">
        <v>3883</v>
      </c>
      <c r="B3105" s="108" t="s">
        <v>8514</v>
      </c>
      <c r="C3105" s="110" t="s">
        <v>5755</v>
      </c>
      <c r="D3105" s="111">
        <v>1.17</v>
      </c>
    </row>
    <row r="3106" spans="1:4" x14ac:dyDescent="0.25">
      <c r="A3106" s="106">
        <v>3876</v>
      </c>
      <c r="B3106" s="108" t="s">
        <v>8515</v>
      </c>
      <c r="C3106" s="110" t="s">
        <v>5755</v>
      </c>
      <c r="D3106" s="111">
        <v>2.93</v>
      </c>
    </row>
    <row r="3107" spans="1:4" x14ac:dyDescent="0.25">
      <c r="A3107" s="106">
        <v>3884</v>
      </c>
      <c r="B3107" s="108" t="s">
        <v>8516</v>
      </c>
      <c r="C3107" s="110" t="s">
        <v>5755</v>
      </c>
      <c r="D3107" s="111">
        <v>1.75</v>
      </c>
    </row>
    <row r="3108" spans="1:4" ht="25.5" x14ac:dyDescent="0.25">
      <c r="A3108" s="106">
        <v>3837</v>
      </c>
      <c r="B3108" s="108" t="s">
        <v>8517</v>
      </c>
      <c r="C3108" s="110" t="s">
        <v>5755</v>
      </c>
      <c r="D3108" s="111">
        <v>34.03</v>
      </c>
    </row>
    <row r="3109" spans="1:4" ht="25.5" x14ac:dyDescent="0.25">
      <c r="A3109" s="106">
        <v>3845</v>
      </c>
      <c r="B3109" s="108" t="s">
        <v>8518</v>
      </c>
      <c r="C3109" s="110" t="s">
        <v>5755</v>
      </c>
      <c r="D3109" s="111">
        <v>12.43</v>
      </c>
    </row>
    <row r="3110" spans="1:4" ht="25.5" x14ac:dyDescent="0.25">
      <c r="A3110" s="106">
        <v>11045</v>
      </c>
      <c r="B3110" s="108" t="s">
        <v>8519</v>
      </c>
      <c r="C3110" s="110" t="s">
        <v>5755</v>
      </c>
      <c r="D3110" s="111">
        <v>23.98</v>
      </c>
    </row>
    <row r="3111" spans="1:4" ht="25.5" x14ac:dyDescent="0.25">
      <c r="A3111" s="106">
        <v>20170</v>
      </c>
      <c r="B3111" s="108" t="s">
        <v>8520</v>
      </c>
      <c r="C3111" s="110" t="s">
        <v>5755</v>
      </c>
      <c r="D3111" s="111">
        <v>10.16</v>
      </c>
    </row>
    <row r="3112" spans="1:4" ht="25.5" x14ac:dyDescent="0.25">
      <c r="A3112" s="106">
        <v>20171</v>
      </c>
      <c r="B3112" s="108" t="s">
        <v>8521</v>
      </c>
      <c r="C3112" s="110" t="s">
        <v>5755</v>
      </c>
      <c r="D3112" s="111">
        <v>30.19</v>
      </c>
    </row>
    <row r="3113" spans="1:4" x14ac:dyDescent="0.25">
      <c r="A3113" s="106">
        <v>20167</v>
      </c>
      <c r="B3113" s="108" t="s">
        <v>8522</v>
      </c>
      <c r="C3113" s="110" t="s">
        <v>5755</v>
      </c>
      <c r="D3113" s="111">
        <v>3.77</v>
      </c>
    </row>
    <row r="3114" spans="1:4" x14ac:dyDescent="0.25">
      <c r="A3114" s="106">
        <v>20168</v>
      </c>
      <c r="B3114" s="108" t="s">
        <v>8523</v>
      </c>
      <c r="C3114" s="110" t="s">
        <v>5755</v>
      </c>
      <c r="D3114" s="111">
        <v>5.92</v>
      </c>
    </row>
    <row r="3115" spans="1:4" x14ac:dyDescent="0.25">
      <c r="A3115" s="106">
        <v>20169</v>
      </c>
      <c r="B3115" s="108" t="s">
        <v>8524</v>
      </c>
      <c r="C3115" s="110" t="s">
        <v>5755</v>
      </c>
      <c r="D3115" s="111">
        <v>8.3800000000000008</v>
      </c>
    </row>
    <row r="3116" spans="1:4" ht="25.5" x14ac:dyDescent="0.25">
      <c r="A3116" s="106">
        <v>3899</v>
      </c>
      <c r="B3116" s="108" t="s">
        <v>613</v>
      </c>
      <c r="C3116" s="110" t="s">
        <v>5755</v>
      </c>
      <c r="D3116" s="111">
        <v>4.4400000000000004</v>
      </c>
    </row>
    <row r="3117" spans="1:4" ht="25.5" x14ac:dyDescent="0.25">
      <c r="A3117" s="106">
        <v>38676</v>
      </c>
      <c r="B3117" s="108" t="s">
        <v>604</v>
      </c>
      <c r="C3117" s="110" t="s">
        <v>5755</v>
      </c>
      <c r="D3117" s="111">
        <v>21.48</v>
      </c>
    </row>
    <row r="3118" spans="1:4" ht="25.5" x14ac:dyDescent="0.25">
      <c r="A3118" s="106">
        <v>3897</v>
      </c>
      <c r="B3118" s="108" t="s">
        <v>8525</v>
      </c>
      <c r="C3118" s="110" t="s">
        <v>5755</v>
      </c>
      <c r="D3118" s="111">
        <v>0.93</v>
      </c>
    </row>
    <row r="3119" spans="1:4" ht="25.5" x14ac:dyDescent="0.25">
      <c r="A3119" s="106">
        <v>3875</v>
      </c>
      <c r="B3119" s="108" t="s">
        <v>8526</v>
      </c>
      <c r="C3119" s="110" t="s">
        <v>5755</v>
      </c>
      <c r="D3119" s="111">
        <v>2.02</v>
      </c>
    </row>
    <row r="3120" spans="1:4" ht="25.5" x14ac:dyDescent="0.25">
      <c r="A3120" s="106">
        <v>3898</v>
      </c>
      <c r="B3120" s="108" t="s">
        <v>8527</v>
      </c>
      <c r="C3120" s="110" t="s">
        <v>5755</v>
      </c>
      <c r="D3120" s="111">
        <v>3.82</v>
      </c>
    </row>
    <row r="3121" spans="1:4" x14ac:dyDescent="0.25">
      <c r="A3121" s="106">
        <v>3855</v>
      </c>
      <c r="B3121" s="108" t="s">
        <v>8528</v>
      </c>
      <c r="C3121" s="110" t="s">
        <v>5755</v>
      </c>
      <c r="D3121" s="111">
        <v>3.89</v>
      </c>
    </row>
    <row r="3122" spans="1:4" x14ac:dyDescent="0.25">
      <c r="A3122" s="106">
        <v>3874</v>
      </c>
      <c r="B3122" s="108" t="s">
        <v>8529</v>
      </c>
      <c r="C3122" s="110" t="s">
        <v>5755</v>
      </c>
      <c r="D3122" s="111">
        <v>4.12</v>
      </c>
    </row>
    <row r="3123" spans="1:4" x14ac:dyDescent="0.25">
      <c r="A3123" s="106">
        <v>3870</v>
      </c>
      <c r="B3123" s="108" t="s">
        <v>8530</v>
      </c>
      <c r="C3123" s="110" t="s">
        <v>5755</v>
      </c>
      <c r="D3123" s="111">
        <v>5.12</v>
      </c>
    </row>
    <row r="3124" spans="1:4" x14ac:dyDescent="0.25">
      <c r="A3124" s="106">
        <v>38678</v>
      </c>
      <c r="B3124" s="108" t="s">
        <v>8531</v>
      </c>
      <c r="C3124" s="110" t="s">
        <v>5755</v>
      </c>
      <c r="D3124" s="111">
        <v>13.94</v>
      </c>
    </row>
    <row r="3125" spans="1:4" ht="25.5" x14ac:dyDescent="0.25">
      <c r="A3125" s="106">
        <v>3859</v>
      </c>
      <c r="B3125" s="108" t="s">
        <v>8532</v>
      </c>
      <c r="C3125" s="110" t="s">
        <v>5755</v>
      </c>
      <c r="D3125" s="111">
        <v>1.03</v>
      </c>
    </row>
    <row r="3126" spans="1:4" ht="25.5" x14ac:dyDescent="0.25">
      <c r="A3126" s="106">
        <v>3856</v>
      </c>
      <c r="B3126" s="108" t="s">
        <v>8533</v>
      </c>
      <c r="C3126" s="110" t="s">
        <v>5755</v>
      </c>
      <c r="D3126" s="111">
        <v>1.31</v>
      </c>
    </row>
    <row r="3127" spans="1:4" ht="25.5" x14ac:dyDescent="0.25">
      <c r="A3127" s="106">
        <v>3906</v>
      </c>
      <c r="B3127" s="108" t="s">
        <v>8534</v>
      </c>
      <c r="C3127" s="110" t="s">
        <v>5755</v>
      </c>
      <c r="D3127" s="111">
        <v>1.23</v>
      </c>
    </row>
    <row r="3128" spans="1:4" x14ac:dyDescent="0.25">
      <c r="A3128" s="106">
        <v>3860</v>
      </c>
      <c r="B3128" s="108" t="s">
        <v>8535</v>
      </c>
      <c r="C3128" s="110" t="s">
        <v>5755</v>
      </c>
      <c r="D3128" s="111">
        <v>4.05</v>
      </c>
    </row>
    <row r="3129" spans="1:4" ht="25.5" x14ac:dyDescent="0.25">
      <c r="A3129" s="106">
        <v>3905</v>
      </c>
      <c r="B3129" s="108" t="s">
        <v>8536</v>
      </c>
      <c r="C3129" s="110" t="s">
        <v>5755</v>
      </c>
      <c r="D3129" s="111">
        <v>8.9700000000000006</v>
      </c>
    </row>
    <row r="3130" spans="1:4" ht="25.5" x14ac:dyDescent="0.25">
      <c r="A3130" s="106">
        <v>3871</v>
      </c>
      <c r="B3130" s="108" t="s">
        <v>8537</v>
      </c>
      <c r="C3130" s="110" t="s">
        <v>5755</v>
      </c>
      <c r="D3130" s="111">
        <v>18.62</v>
      </c>
    </row>
    <row r="3131" spans="1:4" x14ac:dyDescent="0.25">
      <c r="A3131" s="106">
        <v>37429</v>
      </c>
      <c r="B3131" s="108" t="s">
        <v>8538</v>
      </c>
      <c r="C3131" s="110" t="s">
        <v>5755</v>
      </c>
      <c r="D3131" s="111">
        <v>1886.68</v>
      </c>
    </row>
    <row r="3132" spans="1:4" x14ac:dyDescent="0.25">
      <c r="A3132" s="106">
        <v>37426</v>
      </c>
      <c r="B3132" s="108" t="s">
        <v>8539</v>
      </c>
      <c r="C3132" s="110" t="s">
        <v>5755</v>
      </c>
      <c r="D3132" s="111">
        <v>18.149999999999999</v>
      </c>
    </row>
    <row r="3133" spans="1:4" x14ac:dyDescent="0.25">
      <c r="A3133" s="106">
        <v>37427</v>
      </c>
      <c r="B3133" s="108" t="s">
        <v>8540</v>
      </c>
      <c r="C3133" s="110" t="s">
        <v>5755</v>
      </c>
      <c r="D3133" s="111">
        <v>43.29</v>
      </c>
    </row>
    <row r="3134" spans="1:4" x14ac:dyDescent="0.25">
      <c r="A3134" s="106">
        <v>37424</v>
      </c>
      <c r="B3134" s="108" t="s">
        <v>8541</v>
      </c>
      <c r="C3134" s="110" t="s">
        <v>5755</v>
      </c>
      <c r="D3134" s="111">
        <v>8.34</v>
      </c>
    </row>
    <row r="3135" spans="1:4" x14ac:dyDescent="0.25">
      <c r="A3135" s="106">
        <v>37428</v>
      </c>
      <c r="B3135" s="108" t="s">
        <v>8542</v>
      </c>
      <c r="C3135" s="110" t="s">
        <v>5755</v>
      </c>
      <c r="D3135" s="111">
        <v>149.19</v>
      </c>
    </row>
    <row r="3136" spans="1:4" x14ac:dyDescent="0.25">
      <c r="A3136" s="106">
        <v>37425</v>
      </c>
      <c r="B3136" s="108" t="s">
        <v>8543</v>
      </c>
      <c r="C3136" s="110" t="s">
        <v>5755</v>
      </c>
      <c r="D3136" s="111">
        <v>8.99</v>
      </c>
    </row>
    <row r="3137" spans="1:4" ht="38.25" x14ac:dyDescent="0.25">
      <c r="A3137" s="106">
        <v>11519</v>
      </c>
      <c r="B3137" s="108" t="s">
        <v>8544</v>
      </c>
      <c r="C3137" s="110" t="s">
        <v>6130</v>
      </c>
      <c r="D3137" s="111">
        <v>27.9</v>
      </c>
    </row>
    <row r="3138" spans="1:4" ht="25.5" x14ac:dyDescent="0.25">
      <c r="A3138" s="106">
        <v>11520</v>
      </c>
      <c r="B3138" s="108" t="s">
        <v>8545</v>
      </c>
      <c r="C3138" s="110" t="s">
        <v>6130</v>
      </c>
      <c r="D3138" s="111">
        <v>11.06</v>
      </c>
    </row>
    <row r="3139" spans="1:4" ht="25.5" x14ac:dyDescent="0.25">
      <c r="A3139" s="106">
        <v>11518</v>
      </c>
      <c r="B3139" s="108" t="s">
        <v>8546</v>
      </c>
      <c r="C3139" s="110" t="s">
        <v>6130</v>
      </c>
      <c r="D3139" s="111">
        <v>32.19</v>
      </c>
    </row>
    <row r="3140" spans="1:4" x14ac:dyDescent="0.25">
      <c r="A3140" s="106">
        <v>38473</v>
      </c>
      <c r="B3140" s="108" t="s">
        <v>8547</v>
      </c>
      <c r="C3140" s="110" t="s">
        <v>5755</v>
      </c>
      <c r="D3140" s="111">
        <v>132.82</v>
      </c>
    </row>
    <row r="3141" spans="1:4" x14ac:dyDescent="0.25">
      <c r="A3141" s="106">
        <v>4244</v>
      </c>
      <c r="B3141" s="108" t="s">
        <v>8548</v>
      </c>
      <c r="C3141" s="110" t="s">
        <v>5759</v>
      </c>
      <c r="D3141" s="111">
        <v>12.51</v>
      </c>
    </row>
    <row r="3142" spans="1:4" x14ac:dyDescent="0.25">
      <c r="A3142" s="106">
        <v>40977</v>
      </c>
      <c r="B3142" s="108" t="s">
        <v>8549</v>
      </c>
      <c r="C3142" s="110" t="s">
        <v>5906</v>
      </c>
      <c r="D3142" s="111">
        <v>2217.7199999999998</v>
      </c>
    </row>
    <row r="3143" spans="1:4" ht="25.5" x14ac:dyDescent="0.25">
      <c r="A3143" s="106">
        <v>2742</v>
      </c>
      <c r="B3143" s="108" t="s">
        <v>8550</v>
      </c>
      <c r="C3143" s="110" t="s">
        <v>5767</v>
      </c>
      <c r="D3143" s="111">
        <v>2.1800000000000002</v>
      </c>
    </row>
    <row r="3144" spans="1:4" ht="25.5" x14ac:dyDescent="0.25">
      <c r="A3144" s="106">
        <v>2748</v>
      </c>
      <c r="B3144" s="108" t="s">
        <v>8551</v>
      </c>
      <c r="C3144" s="110" t="s">
        <v>5767</v>
      </c>
      <c r="D3144" s="111">
        <v>6.39</v>
      </c>
    </row>
    <row r="3145" spans="1:4" ht="25.5" x14ac:dyDescent="0.25">
      <c r="A3145" s="106">
        <v>2736</v>
      </c>
      <c r="B3145" s="108" t="s">
        <v>8552</v>
      </c>
      <c r="C3145" s="110" t="s">
        <v>5767</v>
      </c>
      <c r="D3145" s="111">
        <v>8.92</v>
      </c>
    </row>
    <row r="3146" spans="1:4" ht="25.5" x14ac:dyDescent="0.25">
      <c r="A3146" s="106">
        <v>2745</v>
      </c>
      <c r="B3146" s="108" t="s">
        <v>8553</v>
      </c>
      <c r="C3146" s="110" t="s">
        <v>5767</v>
      </c>
      <c r="D3146" s="111">
        <v>1.8</v>
      </c>
    </row>
    <row r="3147" spans="1:4" ht="25.5" x14ac:dyDescent="0.25">
      <c r="A3147" s="106">
        <v>2751</v>
      </c>
      <c r="B3147" s="108" t="s">
        <v>8554</v>
      </c>
      <c r="C3147" s="110" t="s">
        <v>5767</v>
      </c>
      <c r="D3147" s="111">
        <v>2.2999999999999998</v>
      </c>
    </row>
    <row r="3148" spans="1:4" ht="25.5" x14ac:dyDescent="0.25">
      <c r="A3148" s="106">
        <v>14439</v>
      </c>
      <c r="B3148" s="108" t="s">
        <v>8555</v>
      </c>
      <c r="C3148" s="110" t="s">
        <v>5767</v>
      </c>
      <c r="D3148" s="111">
        <v>2.04</v>
      </c>
    </row>
    <row r="3149" spans="1:4" ht="25.5" x14ac:dyDescent="0.25">
      <c r="A3149" s="106">
        <v>2731</v>
      </c>
      <c r="B3149" s="108" t="s">
        <v>672</v>
      </c>
      <c r="C3149" s="110" t="s">
        <v>5767</v>
      </c>
      <c r="D3149" s="111">
        <v>56.59</v>
      </c>
    </row>
    <row r="3150" spans="1:4" ht="25.5" x14ac:dyDescent="0.25">
      <c r="A3150" s="106">
        <v>21138</v>
      </c>
      <c r="B3150" s="108" t="s">
        <v>8556</v>
      </c>
      <c r="C3150" s="110" t="s">
        <v>5767</v>
      </c>
      <c r="D3150" s="111">
        <v>6.14</v>
      </c>
    </row>
    <row r="3151" spans="1:4" ht="25.5" x14ac:dyDescent="0.25">
      <c r="A3151" s="106">
        <v>2747</v>
      </c>
      <c r="B3151" s="108" t="s">
        <v>8557</v>
      </c>
      <c r="C3151" s="110" t="s">
        <v>5767</v>
      </c>
      <c r="D3151" s="111">
        <v>15.17</v>
      </c>
    </row>
    <row r="3152" spans="1:4" ht="25.5" x14ac:dyDescent="0.25">
      <c r="A3152" s="106">
        <v>4115</v>
      </c>
      <c r="B3152" s="108" t="s">
        <v>8558</v>
      </c>
      <c r="C3152" s="110" t="s">
        <v>5767</v>
      </c>
      <c r="D3152" s="111">
        <v>11.88</v>
      </c>
    </row>
    <row r="3153" spans="1:4" ht="25.5" x14ac:dyDescent="0.25">
      <c r="A3153" s="106">
        <v>2729</v>
      </c>
      <c r="B3153" s="108" t="s">
        <v>8559</v>
      </c>
      <c r="C3153" s="110" t="s">
        <v>5755</v>
      </c>
      <c r="D3153" s="111">
        <v>14.3</v>
      </c>
    </row>
    <row r="3154" spans="1:4" ht="25.5" x14ac:dyDescent="0.25">
      <c r="A3154" s="106">
        <v>4119</v>
      </c>
      <c r="B3154" s="108" t="s">
        <v>8560</v>
      </c>
      <c r="C3154" s="110" t="s">
        <v>5767</v>
      </c>
      <c r="D3154" s="111">
        <v>23.9</v>
      </c>
    </row>
    <row r="3155" spans="1:4" ht="25.5" x14ac:dyDescent="0.25">
      <c r="A3155" s="106">
        <v>2794</v>
      </c>
      <c r="B3155" s="108" t="s">
        <v>8561</v>
      </c>
      <c r="C3155" s="110" t="s">
        <v>5767</v>
      </c>
      <c r="D3155" s="111">
        <v>59.01</v>
      </c>
    </row>
    <row r="3156" spans="1:4" ht="25.5" x14ac:dyDescent="0.25">
      <c r="A3156" s="106">
        <v>2788</v>
      </c>
      <c r="B3156" s="108" t="s">
        <v>8562</v>
      </c>
      <c r="C3156" s="110" t="s">
        <v>5767</v>
      </c>
      <c r="D3156" s="111">
        <v>119.31</v>
      </c>
    </row>
    <row r="3157" spans="1:4" ht="25.5" x14ac:dyDescent="0.25">
      <c r="A3157" s="106">
        <v>4006</v>
      </c>
      <c r="B3157" s="108" t="s">
        <v>8563</v>
      </c>
      <c r="C3157" s="110" t="s">
        <v>5902</v>
      </c>
      <c r="D3157" s="111">
        <v>1682.44</v>
      </c>
    </row>
    <row r="3158" spans="1:4" x14ac:dyDescent="0.25">
      <c r="A3158" s="106">
        <v>36151</v>
      </c>
      <c r="B3158" s="108" t="s">
        <v>8564</v>
      </c>
      <c r="C3158" s="110" t="s">
        <v>5755</v>
      </c>
      <c r="D3158" s="111">
        <v>23.9</v>
      </c>
    </row>
    <row r="3159" spans="1:4" ht="25.5" x14ac:dyDescent="0.25">
      <c r="A3159" s="106">
        <v>37457</v>
      </c>
      <c r="B3159" s="108" t="s">
        <v>8565</v>
      </c>
      <c r="C3159" s="110" t="s">
        <v>5767</v>
      </c>
      <c r="D3159" s="111">
        <v>1.89</v>
      </c>
    </row>
    <row r="3160" spans="1:4" x14ac:dyDescent="0.25">
      <c r="A3160" s="106">
        <v>37456</v>
      </c>
      <c r="B3160" s="108" t="s">
        <v>8566</v>
      </c>
      <c r="C3160" s="110" t="s">
        <v>5767</v>
      </c>
      <c r="D3160" s="111">
        <v>0.99</v>
      </c>
    </row>
    <row r="3161" spans="1:4" ht="25.5" x14ac:dyDescent="0.25">
      <c r="A3161" s="106">
        <v>37461</v>
      </c>
      <c r="B3161" s="108" t="s">
        <v>8567</v>
      </c>
      <c r="C3161" s="110" t="s">
        <v>5767</v>
      </c>
      <c r="D3161" s="111">
        <v>7.02</v>
      </c>
    </row>
    <row r="3162" spans="1:4" ht="25.5" x14ac:dyDescent="0.25">
      <c r="A3162" s="106">
        <v>37460</v>
      </c>
      <c r="B3162" s="108" t="s">
        <v>8568</v>
      </c>
      <c r="C3162" s="110" t="s">
        <v>5767</v>
      </c>
      <c r="D3162" s="111">
        <v>9.58</v>
      </c>
    </row>
    <row r="3163" spans="1:4" x14ac:dyDescent="0.25">
      <c r="A3163" s="106">
        <v>37458</v>
      </c>
      <c r="B3163" s="108" t="s">
        <v>8569</v>
      </c>
      <c r="C3163" s="110" t="s">
        <v>5767</v>
      </c>
      <c r="D3163" s="111">
        <v>2.81</v>
      </c>
    </row>
    <row r="3164" spans="1:4" x14ac:dyDescent="0.25">
      <c r="A3164" s="106">
        <v>37454</v>
      </c>
      <c r="B3164" s="108" t="s">
        <v>8570</v>
      </c>
      <c r="C3164" s="110" t="s">
        <v>5767</v>
      </c>
      <c r="D3164" s="111">
        <v>0.73</v>
      </c>
    </row>
    <row r="3165" spans="1:4" x14ac:dyDescent="0.25">
      <c r="A3165" s="106">
        <v>37455</v>
      </c>
      <c r="B3165" s="108" t="s">
        <v>8571</v>
      </c>
      <c r="C3165" s="110" t="s">
        <v>5767</v>
      </c>
      <c r="D3165" s="111">
        <v>1.24</v>
      </c>
    </row>
    <row r="3166" spans="1:4" x14ac:dyDescent="0.25">
      <c r="A3166" s="106">
        <v>37459</v>
      </c>
      <c r="B3166" s="108" t="s">
        <v>8572</v>
      </c>
      <c r="C3166" s="110" t="s">
        <v>5767</v>
      </c>
      <c r="D3166" s="111">
        <v>3.94</v>
      </c>
    </row>
    <row r="3167" spans="1:4" ht="38.25" x14ac:dyDescent="0.25">
      <c r="A3167" s="106">
        <v>21029</v>
      </c>
      <c r="B3167" s="108" t="s">
        <v>634</v>
      </c>
      <c r="C3167" s="110" t="s">
        <v>5755</v>
      </c>
      <c r="D3167" s="111">
        <v>284.75</v>
      </c>
    </row>
    <row r="3168" spans="1:4" ht="38.25" x14ac:dyDescent="0.25">
      <c r="A3168" s="106">
        <v>21030</v>
      </c>
      <c r="B3168" s="108" t="s">
        <v>8573</v>
      </c>
      <c r="C3168" s="110" t="s">
        <v>5755</v>
      </c>
      <c r="D3168" s="111">
        <v>351</v>
      </c>
    </row>
    <row r="3169" spans="1:4" ht="38.25" x14ac:dyDescent="0.25">
      <c r="A3169" s="106">
        <v>21031</v>
      </c>
      <c r="B3169" s="108" t="s">
        <v>8574</v>
      </c>
      <c r="C3169" s="110" t="s">
        <v>5755</v>
      </c>
      <c r="D3169" s="111">
        <v>436.99</v>
      </c>
    </row>
    <row r="3170" spans="1:4" ht="38.25" x14ac:dyDescent="0.25">
      <c r="A3170" s="106">
        <v>21032</v>
      </c>
      <c r="B3170" s="108" t="s">
        <v>8575</v>
      </c>
      <c r="C3170" s="110" t="s">
        <v>5755</v>
      </c>
      <c r="D3170" s="111">
        <v>466.59</v>
      </c>
    </row>
    <row r="3171" spans="1:4" ht="38.25" x14ac:dyDescent="0.25">
      <c r="A3171" s="106">
        <v>37527</v>
      </c>
      <c r="B3171" s="108" t="s">
        <v>8576</v>
      </c>
      <c r="C3171" s="110" t="s">
        <v>5755</v>
      </c>
      <c r="D3171" s="111">
        <v>421.48</v>
      </c>
    </row>
    <row r="3172" spans="1:4" ht="38.25" x14ac:dyDescent="0.25">
      <c r="A3172" s="106">
        <v>37528</v>
      </c>
      <c r="B3172" s="108" t="s">
        <v>8577</v>
      </c>
      <c r="C3172" s="110" t="s">
        <v>5755</v>
      </c>
      <c r="D3172" s="111">
        <v>502.54</v>
      </c>
    </row>
    <row r="3173" spans="1:4" ht="38.25" x14ac:dyDescent="0.25">
      <c r="A3173" s="106">
        <v>37529</v>
      </c>
      <c r="B3173" s="108" t="s">
        <v>8578</v>
      </c>
      <c r="C3173" s="110" t="s">
        <v>5755</v>
      </c>
      <c r="D3173" s="111">
        <v>507.47</v>
      </c>
    </row>
    <row r="3174" spans="1:4" ht="38.25" x14ac:dyDescent="0.25">
      <c r="A3174" s="106">
        <v>37530</v>
      </c>
      <c r="B3174" s="108" t="s">
        <v>8579</v>
      </c>
      <c r="C3174" s="110" t="s">
        <v>5755</v>
      </c>
      <c r="D3174" s="111">
        <v>662.53</v>
      </c>
    </row>
    <row r="3175" spans="1:4" ht="38.25" x14ac:dyDescent="0.25">
      <c r="A3175" s="106">
        <v>21034</v>
      </c>
      <c r="B3175" s="108" t="s">
        <v>8580</v>
      </c>
      <c r="C3175" s="110" t="s">
        <v>5755</v>
      </c>
      <c r="D3175" s="111">
        <v>565.27</v>
      </c>
    </row>
    <row r="3176" spans="1:4" ht="38.25" x14ac:dyDescent="0.25">
      <c r="A3176" s="106">
        <v>37531</v>
      </c>
      <c r="B3176" s="108" t="s">
        <v>8581</v>
      </c>
      <c r="C3176" s="110" t="s">
        <v>5755</v>
      </c>
      <c r="D3176" s="111">
        <v>711.87</v>
      </c>
    </row>
    <row r="3177" spans="1:4" ht="38.25" x14ac:dyDescent="0.25">
      <c r="A3177" s="106">
        <v>21036</v>
      </c>
      <c r="B3177" s="108" t="s">
        <v>8582</v>
      </c>
      <c r="C3177" s="110" t="s">
        <v>5755</v>
      </c>
      <c r="D3177" s="111">
        <v>865.52</v>
      </c>
    </row>
    <row r="3178" spans="1:4" ht="38.25" x14ac:dyDescent="0.25">
      <c r="A3178" s="106">
        <v>21037</v>
      </c>
      <c r="B3178" s="108" t="s">
        <v>8583</v>
      </c>
      <c r="C3178" s="110" t="s">
        <v>5755</v>
      </c>
      <c r="D3178" s="111">
        <v>986.75</v>
      </c>
    </row>
    <row r="3179" spans="1:4" ht="25.5" x14ac:dyDescent="0.25">
      <c r="A3179" s="106">
        <v>20185</v>
      </c>
      <c r="B3179" s="108" t="s">
        <v>8584</v>
      </c>
      <c r="C3179" s="110" t="s">
        <v>5767</v>
      </c>
      <c r="D3179" s="111">
        <v>11.41</v>
      </c>
    </row>
    <row r="3180" spans="1:4" ht="25.5" x14ac:dyDescent="0.25">
      <c r="A3180" s="106">
        <v>20260</v>
      </c>
      <c r="B3180" s="108" t="s">
        <v>8585</v>
      </c>
      <c r="C3180" s="110" t="s">
        <v>5755</v>
      </c>
      <c r="D3180" s="111">
        <v>9.18</v>
      </c>
    </row>
    <row r="3181" spans="1:4" ht="25.5" x14ac:dyDescent="0.25">
      <c r="A3181" s="106">
        <v>37523</v>
      </c>
      <c r="B3181" s="108" t="s">
        <v>8586</v>
      </c>
      <c r="C3181" s="110" t="s">
        <v>5755</v>
      </c>
      <c r="D3181" s="111">
        <v>418767.64</v>
      </c>
    </row>
    <row r="3182" spans="1:4" ht="25.5" x14ac:dyDescent="0.25">
      <c r="A3182" s="106">
        <v>37515</v>
      </c>
      <c r="B3182" s="108" t="s">
        <v>8587</v>
      </c>
      <c r="C3182" s="110" t="s">
        <v>5755</v>
      </c>
      <c r="D3182" s="111">
        <v>372305.85</v>
      </c>
    </row>
    <row r="3183" spans="1:4" ht="25.5" x14ac:dyDescent="0.25">
      <c r="A3183" s="106">
        <v>12899</v>
      </c>
      <c r="B3183" s="108" t="s">
        <v>8588</v>
      </c>
      <c r="C3183" s="110" t="s">
        <v>5755</v>
      </c>
      <c r="D3183" s="111">
        <v>83.64</v>
      </c>
    </row>
    <row r="3184" spans="1:4" ht="25.5" x14ac:dyDescent="0.25">
      <c r="A3184" s="106">
        <v>12898</v>
      </c>
      <c r="B3184" s="108" t="s">
        <v>8589</v>
      </c>
      <c r="C3184" s="110" t="s">
        <v>5755</v>
      </c>
      <c r="D3184" s="111">
        <v>132.68</v>
      </c>
    </row>
    <row r="3185" spans="1:4" ht="25.5" x14ac:dyDescent="0.25">
      <c r="A3185" s="106">
        <v>42528</v>
      </c>
      <c r="B3185" s="108" t="s">
        <v>8590</v>
      </c>
      <c r="C3185" s="110" t="s">
        <v>5757</v>
      </c>
      <c r="D3185" s="111">
        <v>5.79</v>
      </c>
    </row>
    <row r="3186" spans="1:4" x14ac:dyDescent="0.25">
      <c r="A3186" s="106">
        <v>39696</v>
      </c>
      <c r="B3186" s="108" t="s">
        <v>8591</v>
      </c>
      <c r="C3186" s="110" t="s">
        <v>5757</v>
      </c>
      <c r="D3186" s="111">
        <v>4.07</v>
      </c>
    </row>
    <row r="3187" spans="1:4" x14ac:dyDescent="0.25">
      <c r="A3187" s="106">
        <v>39700</v>
      </c>
      <c r="B3187" s="108" t="s">
        <v>8592</v>
      </c>
      <c r="C3187" s="110" t="s">
        <v>5757</v>
      </c>
      <c r="D3187" s="111">
        <v>18.09</v>
      </c>
    </row>
    <row r="3188" spans="1:4" ht="25.5" x14ac:dyDescent="0.25">
      <c r="A3188" s="106">
        <v>11621</v>
      </c>
      <c r="B3188" s="108" t="s">
        <v>8593</v>
      </c>
      <c r="C3188" s="110" t="s">
        <v>5757</v>
      </c>
      <c r="D3188" s="111">
        <v>35.99</v>
      </c>
    </row>
    <row r="3189" spans="1:4" ht="25.5" x14ac:dyDescent="0.25">
      <c r="A3189" s="106">
        <v>4014</v>
      </c>
      <c r="B3189" s="108" t="s">
        <v>8594</v>
      </c>
      <c r="C3189" s="110" t="s">
        <v>5757</v>
      </c>
      <c r="D3189" s="111">
        <v>37.24</v>
      </c>
    </row>
    <row r="3190" spans="1:4" ht="25.5" x14ac:dyDescent="0.25">
      <c r="A3190" s="106">
        <v>4015</v>
      </c>
      <c r="B3190" s="108" t="s">
        <v>8595</v>
      </c>
      <c r="C3190" s="110" t="s">
        <v>5757</v>
      </c>
      <c r="D3190" s="111">
        <v>45.73</v>
      </c>
    </row>
    <row r="3191" spans="1:4" ht="25.5" x14ac:dyDescent="0.25">
      <c r="A3191" s="106">
        <v>4017</v>
      </c>
      <c r="B3191" s="108" t="s">
        <v>8596</v>
      </c>
      <c r="C3191" s="110" t="s">
        <v>5757</v>
      </c>
      <c r="D3191" s="111">
        <v>66.53</v>
      </c>
    </row>
    <row r="3192" spans="1:4" ht="25.5" x14ac:dyDescent="0.25">
      <c r="A3192" s="106">
        <v>4016</v>
      </c>
      <c r="B3192" s="108" t="s">
        <v>8597</v>
      </c>
      <c r="C3192" s="110" t="s">
        <v>5757</v>
      </c>
      <c r="D3192" s="111">
        <v>26.28</v>
      </c>
    </row>
    <row r="3193" spans="1:4" x14ac:dyDescent="0.25">
      <c r="A3193" s="106">
        <v>39699</v>
      </c>
      <c r="B3193" s="108" t="s">
        <v>8598</v>
      </c>
      <c r="C3193" s="110" t="s">
        <v>5757</v>
      </c>
      <c r="D3193" s="111">
        <v>12.93</v>
      </c>
    </row>
    <row r="3194" spans="1:4" x14ac:dyDescent="0.25">
      <c r="A3194" s="106">
        <v>38544</v>
      </c>
      <c r="B3194" s="108" t="s">
        <v>8599</v>
      </c>
      <c r="C3194" s="110" t="s">
        <v>5757</v>
      </c>
      <c r="D3194" s="111">
        <v>6.74</v>
      </c>
    </row>
    <row r="3195" spans="1:4" x14ac:dyDescent="0.25">
      <c r="A3195" s="106">
        <v>38545</v>
      </c>
      <c r="B3195" s="108" t="s">
        <v>8600</v>
      </c>
      <c r="C3195" s="110" t="s">
        <v>5757</v>
      </c>
      <c r="D3195" s="111">
        <v>4.33</v>
      </c>
    </row>
    <row r="3196" spans="1:4" ht="25.5" x14ac:dyDescent="0.25">
      <c r="A3196" s="106">
        <v>42527</v>
      </c>
      <c r="B3196" s="108" t="s">
        <v>8601</v>
      </c>
      <c r="C3196" s="110" t="s">
        <v>5757</v>
      </c>
      <c r="D3196" s="111">
        <v>15.29</v>
      </c>
    </row>
    <row r="3197" spans="1:4" ht="25.5" x14ac:dyDescent="0.25">
      <c r="A3197" s="106">
        <v>39323</v>
      </c>
      <c r="B3197" s="108" t="s">
        <v>8602</v>
      </c>
      <c r="C3197" s="110" t="s">
        <v>5757</v>
      </c>
      <c r="D3197" s="111">
        <v>16.53</v>
      </c>
    </row>
    <row r="3198" spans="1:4" ht="38.25" x14ac:dyDescent="0.25">
      <c r="A3198" s="106">
        <v>626</v>
      </c>
      <c r="B3198" s="108" t="s">
        <v>8603</v>
      </c>
      <c r="C3198" s="110" t="s">
        <v>5816</v>
      </c>
      <c r="D3198" s="111">
        <v>9.57</v>
      </c>
    </row>
    <row r="3199" spans="1:4" ht="25.5" x14ac:dyDescent="0.25">
      <c r="A3199" s="106">
        <v>25860</v>
      </c>
      <c r="B3199" s="108" t="s">
        <v>8604</v>
      </c>
      <c r="C3199" s="110" t="s">
        <v>5757</v>
      </c>
      <c r="D3199" s="111">
        <v>9.52</v>
      </c>
    </row>
    <row r="3200" spans="1:4" ht="25.5" x14ac:dyDescent="0.25">
      <c r="A3200" s="106">
        <v>25861</v>
      </c>
      <c r="B3200" s="108" t="s">
        <v>8605</v>
      </c>
      <c r="C3200" s="110" t="s">
        <v>5757</v>
      </c>
      <c r="D3200" s="111">
        <v>14.37</v>
      </c>
    </row>
    <row r="3201" spans="1:4" ht="25.5" x14ac:dyDescent="0.25">
      <c r="A3201" s="106">
        <v>25862</v>
      </c>
      <c r="B3201" s="108" t="s">
        <v>8606</v>
      </c>
      <c r="C3201" s="110" t="s">
        <v>5757</v>
      </c>
      <c r="D3201" s="111">
        <v>15.25</v>
      </c>
    </row>
    <row r="3202" spans="1:4" ht="25.5" x14ac:dyDescent="0.25">
      <c r="A3202" s="106">
        <v>25863</v>
      </c>
      <c r="B3202" s="108" t="s">
        <v>8607</v>
      </c>
      <c r="C3202" s="110" t="s">
        <v>5757</v>
      </c>
      <c r="D3202" s="111">
        <v>19.059999999999999</v>
      </c>
    </row>
    <row r="3203" spans="1:4" ht="25.5" x14ac:dyDescent="0.25">
      <c r="A3203" s="106">
        <v>25864</v>
      </c>
      <c r="B3203" s="108" t="s">
        <v>8608</v>
      </c>
      <c r="C3203" s="110" t="s">
        <v>5757</v>
      </c>
      <c r="D3203" s="111">
        <v>28.59</v>
      </c>
    </row>
    <row r="3204" spans="1:4" ht="25.5" x14ac:dyDescent="0.25">
      <c r="A3204" s="106">
        <v>25865</v>
      </c>
      <c r="B3204" s="108" t="s">
        <v>8609</v>
      </c>
      <c r="C3204" s="110" t="s">
        <v>5757</v>
      </c>
      <c r="D3204" s="111">
        <v>38.29</v>
      </c>
    </row>
    <row r="3205" spans="1:4" ht="25.5" x14ac:dyDescent="0.25">
      <c r="A3205" s="106">
        <v>25866</v>
      </c>
      <c r="B3205" s="108" t="s">
        <v>8610</v>
      </c>
      <c r="C3205" s="110" t="s">
        <v>5757</v>
      </c>
      <c r="D3205" s="111">
        <v>47.55</v>
      </c>
    </row>
    <row r="3206" spans="1:4" ht="25.5" x14ac:dyDescent="0.25">
      <c r="A3206" s="106">
        <v>25868</v>
      </c>
      <c r="B3206" s="108" t="s">
        <v>8611</v>
      </c>
      <c r="C3206" s="110" t="s">
        <v>5757</v>
      </c>
      <c r="D3206" s="111">
        <v>10.61</v>
      </c>
    </row>
    <row r="3207" spans="1:4" ht="25.5" x14ac:dyDescent="0.25">
      <c r="A3207" s="106">
        <v>25869</v>
      </c>
      <c r="B3207" s="108" t="s">
        <v>8612</v>
      </c>
      <c r="C3207" s="110" t="s">
        <v>5757</v>
      </c>
      <c r="D3207" s="111">
        <v>14.98</v>
      </c>
    </row>
    <row r="3208" spans="1:4" ht="25.5" x14ac:dyDescent="0.25">
      <c r="A3208" s="106">
        <v>25870</v>
      </c>
      <c r="B3208" s="108" t="s">
        <v>8613</v>
      </c>
      <c r="C3208" s="110" t="s">
        <v>5757</v>
      </c>
      <c r="D3208" s="111">
        <v>16.98</v>
      </c>
    </row>
    <row r="3209" spans="1:4" ht="25.5" x14ac:dyDescent="0.25">
      <c r="A3209" s="106">
        <v>25871</v>
      </c>
      <c r="B3209" s="108" t="s">
        <v>8614</v>
      </c>
      <c r="C3209" s="110" t="s">
        <v>5757</v>
      </c>
      <c r="D3209" s="111">
        <v>20.85</v>
      </c>
    </row>
    <row r="3210" spans="1:4" ht="25.5" x14ac:dyDescent="0.25">
      <c r="A3210" s="106">
        <v>25867</v>
      </c>
      <c r="B3210" s="108" t="s">
        <v>8615</v>
      </c>
      <c r="C3210" s="110" t="s">
        <v>5757</v>
      </c>
      <c r="D3210" s="111">
        <v>30.87</v>
      </c>
    </row>
    <row r="3211" spans="1:4" ht="25.5" x14ac:dyDescent="0.25">
      <c r="A3211" s="106">
        <v>25872</v>
      </c>
      <c r="B3211" s="108" t="s">
        <v>8616</v>
      </c>
      <c r="C3211" s="110" t="s">
        <v>5757</v>
      </c>
      <c r="D3211" s="111">
        <v>41.72</v>
      </c>
    </row>
    <row r="3212" spans="1:4" ht="25.5" x14ac:dyDescent="0.25">
      <c r="A3212" s="106">
        <v>25873</v>
      </c>
      <c r="B3212" s="108" t="s">
        <v>8617</v>
      </c>
      <c r="C3212" s="110" t="s">
        <v>5757</v>
      </c>
      <c r="D3212" s="111">
        <v>52.03</v>
      </c>
    </row>
    <row r="3213" spans="1:4" ht="25.5" x14ac:dyDescent="0.25">
      <c r="A3213" s="106">
        <v>40637</v>
      </c>
      <c r="B3213" s="108" t="s">
        <v>8618</v>
      </c>
      <c r="C3213" s="110" t="s">
        <v>5755</v>
      </c>
      <c r="D3213" s="111">
        <v>505925.24</v>
      </c>
    </row>
    <row r="3214" spans="1:4" ht="25.5" x14ac:dyDescent="0.25">
      <c r="A3214" s="106">
        <v>13836</v>
      </c>
      <c r="B3214" s="108" t="s">
        <v>8619</v>
      </c>
      <c r="C3214" s="110" t="s">
        <v>5755</v>
      </c>
      <c r="D3214" s="111">
        <v>58739.81</v>
      </c>
    </row>
    <row r="3215" spans="1:4" ht="38.25" x14ac:dyDescent="0.25">
      <c r="A3215" s="106">
        <v>14534</v>
      </c>
      <c r="B3215" s="108" t="s">
        <v>8620</v>
      </c>
      <c r="C3215" s="110" t="s">
        <v>5755</v>
      </c>
      <c r="D3215" s="111">
        <v>24590.04</v>
      </c>
    </row>
    <row r="3216" spans="1:4" ht="25.5" x14ac:dyDescent="0.25">
      <c r="A3216" s="106">
        <v>14619</v>
      </c>
      <c r="B3216" s="108" t="s">
        <v>8621</v>
      </c>
      <c r="C3216" s="110" t="s">
        <v>5755</v>
      </c>
      <c r="D3216" s="111">
        <v>14615.23</v>
      </c>
    </row>
    <row r="3217" spans="1:4" ht="38.25" x14ac:dyDescent="0.25">
      <c r="A3217" s="106">
        <v>14535</v>
      </c>
      <c r="B3217" s="108" t="s">
        <v>8622</v>
      </c>
      <c r="C3217" s="110" t="s">
        <v>5755</v>
      </c>
      <c r="D3217" s="111">
        <v>244058.49</v>
      </c>
    </row>
    <row r="3218" spans="1:4" ht="63.75" x14ac:dyDescent="0.25">
      <c r="A3218" s="106">
        <v>39813</v>
      </c>
      <c r="B3218" s="108" t="s">
        <v>10502</v>
      </c>
      <c r="C3218" s="110" t="s">
        <v>5755</v>
      </c>
      <c r="D3218" s="111">
        <v>17291.87</v>
      </c>
    </row>
    <row r="3219" spans="1:4" ht="51" x14ac:dyDescent="0.25">
      <c r="A3219" s="106">
        <v>40403</v>
      </c>
      <c r="B3219" s="108" t="s">
        <v>8623</v>
      </c>
      <c r="C3219" s="110" t="s">
        <v>5755</v>
      </c>
      <c r="D3219" s="111">
        <v>788.43</v>
      </c>
    </row>
    <row r="3220" spans="1:4" x14ac:dyDescent="0.25">
      <c r="A3220" s="106">
        <v>12868</v>
      </c>
      <c r="B3220" s="108" t="s">
        <v>8624</v>
      </c>
      <c r="C3220" s="110" t="s">
        <v>5759</v>
      </c>
      <c r="D3220" s="111">
        <v>13.06</v>
      </c>
    </row>
    <row r="3221" spans="1:4" x14ac:dyDescent="0.25">
      <c r="A3221" s="106">
        <v>40916</v>
      </c>
      <c r="B3221" s="108" t="s">
        <v>8625</v>
      </c>
      <c r="C3221" s="110" t="s">
        <v>5906</v>
      </c>
      <c r="D3221" s="111">
        <v>2316.61</v>
      </c>
    </row>
    <row r="3222" spans="1:4" x14ac:dyDescent="0.25">
      <c r="A3222" s="106">
        <v>4755</v>
      </c>
      <c r="B3222" s="108" t="s">
        <v>8626</v>
      </c>
      <c r="C3222" s="110" t="s">
        <v>5759</v>
      </c>
      <c r="D3222" s="111">
        <v>13.06</v>
      </c>
    </row>
    <row r="3223" spans="1:4" x14ac:dyDescent="0.25">
      <c r="A3223" s="106">
        <v>41067</v>
      </c>
      <c r="B3223" s="108" t="s">
        <v>8627</v>
      </c>
      <c r="C3223" s="110" t="s">
        <v>5906</v>
      </c>
      <c r="D3223" s="111">
        <v>2317.29</v>
      </c>
    </row>
    <row r="3224" spans="1:4" x14ac:dyDescent="0.25">
      <c r="A3224" s="106">
        <v>38463</v>
      </c>
      <c r="B3224" s="108" t="s">
        <v>8628</v>
      </c>
      <c r="C3224" s="110" t="s">
        <v>5755</v>
      </c>
      <c r="D3224" s="111">
        <v>32.26</v>
      </c>
    </row>
    <row r="3225" spans="1:4" ht="38.25" x14ac:dyDescent="0.25">
      <c r="A3225" s="106">
        <v>40703</v>
      </c>
      <c r="B3225" s="108" t="s">
        <v>8629</v>
      </c>
      <c r="C3225" s="110" t="s">
        <v>5755</v>
      </c>
      <c r="D3225" s="111">
        <v>10770</v>
      </c>
    </row>
    <row r="3226" spans="1:4" ht="25.5" x14ac:dyDescent="0.25">
      <c r="A3226" s="106">
        <v>14531</v>
      </c>
      <c r="B3226" s="108" t="s">
        <v>8630</v>
      </c>
      <c r="C3226" s="110" t="s">
        <v>5755</v>
      </c>
      <c r="D3226" s="111">
        <v>20079.34</v>
      </c>
    </row>
    <row r="3227" spans="1:4" ht="25.5" x14ac:dyDescent="0.25">
      <c r="A3227" s="106">
        <v>36533</v>
      </c>
      <c r="B3227" s="108" t="s">
        <v>8631</v>
      </c>
      <c r="C3227" s="110" t="s">
        <v>5755</v>
      </c>
      <c r="D3227" s="111">
        <v>23106.18</v>
      </c>
    </row>
    <row r="3228" spans="1:4" x14ac:dyDescent="0.25">
      <c r="A3228" s="106">
        <v>11616</v>
      </c>
      <c r="B3228" s="108" t="s">
        <v>8632</v>
      </c>
      <c r="C3228" s="110" t="s">
        <v>5755</v>
      </c>
      <c r="D3228" s="111">
        <v>21823.45</v>
      </c>
    </row>
    <row r="3229" spans="1:4" ht="25.5" x14ac:dyDescent="0.25">
      <c r="A3229" s="106">
        <v>41898</v>
      </c>
      <c r="B3229" s="108" t="s">
        <v>8633</v>
      </c>
      <c r="C3229" s="110" t="s">
        <v>5755</v>
      </c>
      <c r="D3229" s="111">
        <v>24554.35</v>
      </c>
    </row>
    <row r="3230" spans="1:4" ht="25.5" x14ac:dyDescent="0.25">
      <c r="A3230" s="106">
        <v>13447</v>
      </c>
      <c r="B3230" s="108" t="s">
        <v>8634</v>
      </c>
      <c r="C3230" s="110" t="s">
        <v>5755</v>
      </c>
      <c r="D3230" s="111">
        <v>45181.68</v>
      </c>
    </row>
    <row r="3231" spans="1:4" ht="25.5" x14ac:dyDescent="0.25">
      <c r="A3231" s="106">
        <v>14529</v>
      </c>
      <c r="B3231" s="108" t="s">
        <v>8635</v>
      </c>
      <c r="C3231" s="110" t="s">
        <v>5755</v>
      </c>
      <c r="D3231" s="111">
        <v>25268.97</v>
      </c>
    </row>
    <row r="3232" spans="1:4" ht="25.5" x14ac:dyDescent="0.25">
      <c r="A3232" s="106">
        <v>10747</v>
      </c>
      <c r="B3232" s="108" t="s">
        <v>8636</v>
      </c>
      <c r="C3232" s="110" t="s">
        <v>5755</v>
      </c>
      <c r="D3232" s="111">
        <v>24792.720000000001</v>
      </c>
    </row>
    <row r="3233" spans="1:4" ht="25.5" x14ac:dyDescent="0.25">
      <c r="A3233" s="106">
        <v>36141</v>
      </c>
      <c r="B3233" s="108" t="s">
        <v>8637</v>
      </c>
      <c r="C3233" s="110" t="s">
        <v>5755</v>
      </c>
      <c r="D3233" s="111">
        <v>32.26</v>
      </c>
    </row>
    <row r="3234" spans="1:4" ht="38.25" x14ac:dyDescent="0.25">
      <c r="A3234" s="106">
        <v>39434</v>
      </c>
      <c r="B3234" s="108" t="s">
        <v>8638</v>
      </c>
      <c r="C3234" s="110" t="s">
        <v>5816</v>
      </c>
      <c r="D3234" s="111">
        <v>3.97</v>
      </c>
    </row>
    <row r="3235" spans="1:4" ht="25.5" x14ac:dyDescent="0.25">
      <c r="A3235" s="106">
        <v>39433</v>
      </c>
      <c r="B3235" s="108" t="s">
        <v>427</v>
      </c>
      <c r="C3235" s="110" t="s">
        <v>5816</v>
      </c>
      <c r="D3235" s="111">
        <v>2.85</v>
      </c>
    </row>
    <row r="3236" spans="1:4" x14ac:dyDescent="0.25">
      <c r="A3236" s="106">
        <v>4049</v>
      </c>
      <c r="B3236" s="108" t="s">
        <v>8639</v>
      </c>
      <c r="C3236" s="110" t="s">
        <v>5818</v>
      </c>
      <c r="D3236" s="111">
        <v>45.67</v>
      </c>
    </row>
    <row r="3237" spans="1:4" x14ac:dyDescent="0.25">
      <c r="A3237" s="106">
        <v>38120</v>
      </c>
      <c r="B3237" s="108" t="s">
        <v>8640</v>
      </c>
      <c r="C3237" s="110" t="s">
        <v>5816</v>
      </c>
      <c r="D3237" s="111">
        <v>68.099999999999994</v>
      </c>
    </row>
    <row r="3238" spans="1:4" x14ac:dyDescent="0.25">
      <c r="A3238" s="106">
        <v>38877</v>
      </c>
      <c r="B3238" s="108" t="s">
        <v>8641</v>
      </c>
      <c r="C3238" s="110" t="s">
        <v>5816</v>
      </c>
      <c r="D3238" s="111">
        <v>6.33</v>
      </c>
    </row>
    <row r="3239" spans="1:4" ht="25.5" x14ac:dyDescent="0.25">
      <c r="A3239" s="106">
        <v>34546</v>
      </c>
      <c r="B3239" s="108" t="s">
        <v>8642</v>
      </c>
      <c r="C3239" s="110" t="s">
        <v>5816</v>
      </c>
      <c r="D3239" s="111">
        <v>6.38</v>
      </c>
    </row>
    <row r="3240" spans="1:4" x14ac:dyDescent="0.25">
      <c r="A3240" s="106">
        <v>10498</v>
      </c>
      <c r="B3240" s="108" t="s">
        <v>8643</v>
      </c>
      <c r="C3240" s="110" t="s">
        <v>5816</v>
      </c>
      <c r="D3240" s="111">
        <v>7.06</v>
      </c>
    </row>
    <row r="3241" spans="1:4" x14ac:dyDescent="0.25">
      <c r="A3241" s="106">
        <v>4823</v>
      </c>
      <c r="B3241" s="108" t="s">
        <v>483</v>
      </c>
      <c r="C3241" s="110" t="s">
        <v>5816</v>
      </c>
      <c r="D3241" s="111">
        <v>37.57</v>
      </c>
    </row>
    <row r="3242" spans="1:4" ht="25.5" x14ac:dyDescent="0.25">
      <c r="A3242" s="106">
        <v>12357</v>
      </c>
      <c r="B3242" s="108" t="s">
        <v>8644</v>
      </c>
      <c r="C3242" s="110" t="s">
        <v>5755</v>
      </c>
      <c r="D3242" s="111">
        <v>152.06</v>
      </c>
    </row>
    <row r="3243" spans="1:4" ht="25.5" x14ac:dyDescent="0.25">
      <c r="A3243" s="106">
        <v>12358</v>
      </c>
      <c r="B3243" s="108" t="s">
        <v>8645</v>
      </c>
      <c r="C3243" s="110" t="s">
        <v>5755</v>
      </c>
      <c r="D3243" s="111">
        <v>171.04</v>
      </c>
    </row>
    <row r="3244" spans="1:4" ht="25.5" x14ac:dyDescent="0.25">
      <c r="A3244" s="106">
        <v>11079</v>
      </c>
      <c r="B3244" s="108" t="s">
        <v>8646</v>
      </c>
      <c r="C3244" s="110" t="s">
        <v>5902</v>
      </c>
      <c r="D3244" s="111">
        <v>998.08</v>
      </c>
    </row>
    <row r="3245" spans="1:4" ht="25.5" x14ac:dyDescent="0.25">
      <c r="A3245" s="106">
        <v>11082</v>
      </c>
      <c r="B3245" s="108" t="s">
        <v>8647</v>
      </c>
      <c r="C3245" s="110" t="s">
        <v>5902</v>
      </c>
      <c r="D3245" s="111">
        <v>1018.28</v>
      </c>
    </row>
    <row r="3246" spans="1:4" x14ac:dyDescent="0.25">
      <c r="A3246" s="106">
        <v>4058</v>
      </c>
      <c r="B3246" s="108" t="s">
        <v>8648</v>
      </c>
      <c r="C3246" s="110" t="s">
        <v>5759</v>
      </c>
      <c r="D3246" s="111">
        <v>14</v>
      </c>
    </row>
    <row r="3247" spans="1:4" x14ac:dyDescent="0.25">
      <c r="A3247" s="106">
        <v>40974</v>
      </c>
      <c r="B3247" s="108" t="s">
        <v>8649</v>
      </c>
      <c r="C3247" s="110" t="s">
        <v>5906</v>
      </c>
      <c r="D3247" s="111">
        <v>2483.5300000000002</v>
      </c>
    </row>
    <row r="3248" spans="1:4" x14ac:dyDescent="0.25">
      <c r="A3248" s="106">
        <v>34794</v>
      </c>
      <c r="B3248" s="108" t="s">
        <v>8650</v>
      </c>
      <c r="C3248" s="110" t="s">
        <v>5759</v>
      </c>
      <c r="D3248" s="111">
        <v>14.55</v>
      </c>
    </row>
    <row r="3249" spans="1:4" x14ac:dyDescent="0.25">
      <c r="A3249" s="106">
        <v>40925</v>
      </c>
      <c r="B3249" s="108" t="s">
        <v>8651</v>
      </c>
      <c r="C3249" s="110" t="s">
        <v>5906</v>
      </c>
      <c r="D3249" s="111">
        <v>2581.2600000000002</v>
      </c>
    </row>
    <row r="3250" spans="1:4" ht="25.5" x14ac:dyDescent="0.25">
      <c r="A3250" s="106">
        <v>13741</v>
      </c>
      <c r="B3250" s="108" t="s">
        <v>8652</v>
      </c>
      <c r="C3250" s="110" t="s">
        <v>5755</v>
      </c>
      <c r="D3250" s="111">
        <v>1769.39</v>
      </c>
    </row>
    <row r="3251" spans="1:4" ht="25.5" x14ac:dyDescent="0.25">
      <c r="A3251" s="106">
        <v>3288</v>
      </c>
      <c r="B3251" s="108" t="s">
        <v>8653</v>
      </c>
      <c r="C3251" s="110" t="s">
        <v>5767</v>
      </c>
      <c r="D3251" s="111">
        <v>4.1500000000000004</v>
      </c>
    </row>
    <row r="3252" spans="1:4" ht="25.5" x14ac:dyDescent="0.25">
      <c r="A3252" s="106">
        <v>13587</v>
      </c>
      <c r="B3252" s="108" t="s">
        <v>8654</v>
      </c>
      <c r="C3252" s="110" t="s">
        <v>5767</v>
      </c>
      <c r="D3252" s="111">
        <v>2.5</v>
      </c>
    </row>
    <row r="3253" spans="1:4" ht="25.5" x14ac:dyDescent="0.25">
      <c r="A3253" s="106">
        <v>38598</v>
      </c>
      <c r="B3253" s="108" t="s">
        <v>13076</v>
      </c>
      <c r="C3253" s="110" t="s">
        <v>5755</v>
      </c>
      <c r="D3253" s="111">
        <v>2.2400000000000002</v>
      </c>
    </row>
    <row r="3254" spans="1:4" ht="25.5" x14ac:dyDescent="0.25">
      <c r="A3254" s="106">
        <v>38595</v>
      </c>
      <c r="B3254" s="108" t="s">
        <v>13077</v>
      </c>
      <c r="C3254" s="110" t="s">
        <v>5755</v>
      </c>
      <c r="D3254" s="111">
        <v>1.9</v>
      </c>
    </row>
    <row r="3255" spans="1:4" ht="25.5" x14ac:dyDescent="0.25">
      <c r="A3255" s="106">
        <v>38592</v>
      </c>
      <c r="B3255" s="108" t="s">
        <v>13078</v>
      </c>
      <c r="C3255" s="110" t="s">
        <v>5755</v>
      </c>
      <c r="D3255" s="111">
        <v>1.92</v>
      </c>
    </row>
    <row r="3256" spans="1:4" ht="25.5" x14ac:dyDescent="0.25">
      <c r="A3256" s="106">
        <v>38588</v>
      </c>
      <c r="B3256" s="108" t="s">
        <v>13079</v>
      </c>
      <c r="C3256" s="110" t="s">
        <v>5755</v>
      </c>
      <c r="D3256" s="111">
        <v>1.54</v>
      </c>
    </row>
    <row r="3257" spans="1:4" ht="25.5" x14ac:dyDescent="0.25">
      <c r="A3257" s="106">
        <v>38593</v>
      </c>
      <c r="B3257" s="108" t="s">
        <v>13080</v>
      </c>
      <c r="C3257" s="110" t="s">
        <v>5755</v>
      </c>
      <c r="D3257" s="111">
        <v>2.12</v>
      </c>
    </row>
    <row r="3258" spans="1:4" ht="25.5" x14ac:dyDescent="0.25">
      <c r="A3258" s="106">
        <v>38589</v>
      </c>
      <c r="B3258" s="108" t="s">
        <v>13081</v>
      </c>
      <c r="C3258" s="110" t="s">
        <v>5755</v>
      </c>
      <c r="D3258" s="111">
        <v>1.61</v>
      </c>
    </row>
    <row r="3259" spans="1:4" ht="25.5" x14ac:dyDescent="0.25">
      <c r="A3259" s="106">
        <v>38594</v>
      </c>
      <c r="B3259" s="108" t="s">
        <v>13082</v>
      </c>
      <c r="C3259" s="110" t="s">
        <v>5755</v>
      </c>
      <c r="D3259" s="111">
        <v>3.35</v>
      </c>
    </row>
    <row r="3260" spans="1:4" ht="25.5" x14ac:dyDescent="0.25">
      <c r="A3260" s="106">
        <v>34773</v>
      </c>
      <c r="B3260" s="108" t="s">
        <v>13083</v>
      </c>
      <c r="C3260" s="110" t="s">
        <v>5755</v>
      </c>
      <c r="D3260" s="111">
        <v>1.58</v>
      </c>
    </row>
    <row r="3261" spans="1:4" ht="25.5" x14ac:dyDescent="0.25">
      <c r="A3261" s="106">
        <v>34769</v>
      </c>
      <c r="B3261" s="108" t="s">
        <v>13084</v>
      </c>
      <c r="C3261" s="110" t="s">
        <v>5755</v>
      </c>
      <c r="D3261" s="111">
        <v>1.96</v>
      </c>
    </row>
    <row r="3262" spans="1:4" ht="25.5" x14ac:dyDescent="0.25">
      <c r="A3262" s="106">
        <v>34763</v>
      </c>
      <c r="B3262" s="108" t="s">
        <v>13085</v>
      </c>
      <c r="C3262" s="110" t="s">
        <v>5755</v>
      </c>
      <c r="D3262" s="111">
        <v>1.21</v>
      </c>
    </row>
    <row r="3263" spans="1:4" ht="25.5" x14ac:dyDescent="0.25">
      <c r="A3263" s="106">
        <v>34774</v>
      </c>
      <c r="B3263" s="108" t="s">
        <v>13086</v>
      </c>
      <c r="C3263" s="110" t="s">
        <v>5755</v>
      </c>
      <c r="D3263" s="111">
        <v>1.5</v>
      </c>
    </row>
    <row r="3264" spans="1:4" ht="25.5" x14ac:dyDescent="0.25">
      <c r="A3264" s="106">
        <v>34771</v>
      </c>
      <c r="B3264" s="108" t="s">
        <v>13087</v>
      </c>
      <c r="C3264" s="110" t="s">
        <v>5755</v>
      </c>
      <c r="D3264" s="111">
        <v>1.81</v>
      </c>
    </row>
    <row r="3265" spans="1:4" ht="25.5" x14ac:dyDescent="0.25">
      <c r="A3265" s="106">
        <v>34764</v>
      </c>
      <c r="B3265" s="108" t="s">
        <v>13088</v>
      </c>
      <c r="C3265" s="110" t="s">
        <v>5755</v>
      </c>
      <c r="D3265" s="111">
        <v>1.19</v>
      </c>
    </row>
    <row r="3266" spans="1:4" ht="25.5" x14ac:dyDescent="0.25">
      <c r="A3266" s="106">
        <v>34787</v>
      </c>
      <c r="B3266" s="108" t="s">
        <v>8655</v>
      </c>
      <c r="C3266" s="110" t="s">
        <v>5755</v>
      </c>
      <c r="D3266" s="111">
        <v>0.99</v>
      </c>
    </row>
    <row r="3267" spans="1:4" ht="25.5" x14ac:dyDescent="0.25">
      <c r="A3267" s="106">
        <v>34788</v>
      </c>
      <c r="B3267" s="108" t="s">
        <v>8656</v>
      </c>
      <c r="C3267" s="110" t="s">
        <v>5755</v>
      </c>
      <c r="D3267" s="111">
        <v>0.99</v>
      </c>
    </row>
    <row r="3268" spans="1:4" ht="25.5" x14ac:dyDescent="0.25">
      <c r="A3268" s="106">
        <v>34784</v>
      </c>
      <c r="B3268" s="108" t="s">
        <v>8657</v>
      </c>
      <c r="C3268" s="110" t="s">
        <v>5755</v>
      </c>
      <c r="D3268" s="111">
        <v>1.0900000000000001</v>
      </c>
    </row>
    <row r="3269" spans="1:4" ht="25.5" x14ac:dyDescent="0.25">
      <c r="A3269" s="106">
        <v>34781</v>
      </c>
      <c r="B3269" s="108" t="s">
        <v>8658</v>
      </c>
      <c r="C3269" s="110" t="s">
        <v>5755</v>
      </c>
      <c r="D3269" s="111">
        <v>1.24</v>
      </c>
    </row>
    <row r="3270" spans="1:4" ht="25.5" x14ac:dyDescent="0.25">
      <c r="A3270" s="106">
        <v>4062</v>
      </c>
      <c r="B3270" s="108" t="s">
        <v>8659</v>
      </c>
      <c r="C3270" s="110" t="s">
        <v>5755</v>
      </c>
      <c r="D3270" s="111">
        <v>20.62</v>
      </c>
    </row>
    <row r="3271" spans="1:4" ht="25.5" x14ac:dyDescent="0.25">
      <c r="A3271" s="106">
        <v>4059</v>
      </c>
      <c r="B3271" s="108" t="s">
        <v>8660</v>
      </c>
      <c r="C3271" s="110" t="s">
        <v>5767</v>
      </c>
      <c r="D3271" s="111">
        <v>25</v>
      </c>
    </row>
    <row r="3272" spans="1:4" ht="25.5" x14ac:dyDescent="0.25">
      <c r="A3272" s="106">
        <v>4061</v>
      </c>
      <c r="B3272" s="108" t="s">
        <v>8661</v>
      </c>
      <c r="C3272" s="110" t="s">
        <v>5755</v>
      </c>
      <c r="D3272" s="111">
        <v>20</v>
      </c>
    </row>
    <row r="3273" spans="1:4" ht="25.5" x14ac:dyDescent="0.25">
      <c r="A3273" s="106">
        <v>41315</v>
      </c>
      <c r="B3273" s="108" t="s">
        <v>10692</v>
      </c>
      <c r="C3273" s="110" t="s">
        <v>5816</v>
      </c>
      <c r="D3273" s="111">
        <v>61.76</v>
      </c>
    </row>
    <row r="3274" spans="1:4" x14ac:dyDescent="0.25">
      <c r="A3274" s="106">
        <v>43148</v>
      </c>
      <c r="B3274" s="108" t="s">
        <v>10693</v>
      </c>
      <c r="C3274" s="110" t="s">
        <v>5816</v>
      </c>
      <c r="D3274" s="111">
        <v>41.92</v>
      </c>
    </row>
    <row r="3275" spans="1:4" x14ac:dyDescent="0.25">
      <c r="A3275" s="106">
        <v>43147</v>
      </c>
      <c r="B3275" s="108" t="s">
        <v>10694</v>
      </c>
      <c r="C3275" s="110" t="s">
        <v>5816</v>
      </c>
      <c r="D3275" s="111">
        <v>16.23</v>
      </c>
    </row>
    <row r="3276" spans="1:4" ht="25.5" x14ac:dyDescent="0.25">
      <c r="A3276" s="106">
        <v>10608</v>
      </c>
      <c r="B3276" s="108" t="s">
        <v>8662</v>
      </c>
      <c r="C3276" s="110" t="s">
        <v>5755</v>
      </c>
      <c r="D3276" s="111">
        <v>8402.98</v>
      </c>
    </row>
    <row r="3277" spans="1:4" x14ac:dyDescent="0.25">
      <c r="A3277" s="106">
        <v>4069</v>
      </c>
      <c r="B3277" s="108" t="s">
        <v>8663</v>
      </c>
      <c r="C3277" s="110" t="s">
        <v>5759</v>
      </c>
      <c r="D3277" s="111">
        <v>26</v>
      </c>
    </row>
    <row r="3278" spans="1:4" x14ac:dyDescent="0.25">
      <c r="A3278" s="106">
        <v>40819</v>
      </c>
      <c r="B3278" s="108" t="s">
        <v>8664</v>
      </c>
      <c r="C3278" s="110" t="s">
        <v>5906</v>
      </c>
      <c r="D3278" s="111">
        <v>4607.95</v>
      </c>
    </row>
    <row r="3279" spans="1:4" x14ac:dyDescent="0.25">
      <c r="A3279" s="106">
        <v>34361</v>
      </c>
      <c r="B3279" s="108" t="s">
        <v>8665</v>
      </c>
      <c r="C3279" s="110" t="s">
        <v>5816</v>
      </c>
      <c r="D3279" s="111">
        <v>11.82</v>
      </c>
    </row>
    <row r="3280" spans="1:4" ht="25.5" x14ac:dyDescent="0.25">
      <c r="A3280" s="106">
        <v>36512</v>
      </c>
      <c r="B3280" s="108" t="s">
        <v>8666</v>
      </c>
      <c r="C3280" s="110" t="s">
        <v>5755</v>
      </c>
      <c r="D3280" s="111">
        <v>10535.03</v>
      </c>
    </row>
    <row r="3281" spans="1:4" ht="25.5" x14ac:dyDescent="0.25">
      <c r="A3281" s="106">
        <v>25972</v>
      </c>
      <c r="B3281" s="108" t="s">
        <v>8667</v>
      </c>
      <c r="C3281" s="110" t="s">
        <v>5816</v>
      </c>
      <c r="D3281" s="111">
        <v>9.26</v>
      </c>
    </row>
    <row r="3282" spans="1:4" ht="25.5" x14ac:dyDescent="0.25">
      <c r="A3282" s="106">
        <v>25973</v>
      </c>
      <c r="B3282" s="108" t="s">
        <v>8668</v>
      </c>
      <c r="C3282" s="110" t="s">
        <v>5816</v>
      </c>
      <c r="D3282" s="111">
        <v>9.26</v>
      </c>
    </row>
    <row r="3283" spans="1:4" ht="25.5" x14ac:dyDescent="0.25">
      <c r="A3283" s="106">
        <v>11697</v>
      </c>
      <c r="B3283" s="108" t="s">
        <v>8669</v>
      </c>
      <c r="C3283" s="110" t="s">
        <v>5755</v>
      </c>
      <c r="D3283" s="111">
        <v>510</v>
      </c>
    </row>
    <row r="3284" spans="1:4" ht="25.5" x14ac:dyDescent="0.25">
      <c r="A3284" s="106">
        <v>11698</v>
      </c>
      <c r="B3284" s="108" t="s">
        <v>8670</v>
      </c>
      <c r="C3284" s="110" t="s">
        <v>5755</v>
      </c>
      <c r="D3284" s="111">
        <v>608.4</v>
      </c>
    </row>
    <row r="3285" spans="1:4" ht="25.5" x14ac:dyDescent="0.25">
      <c r="A3285" s="106">
        <v>11699</v>
      </c>
      <c r="B3285" s="108" t="s">
        <v>8671</v>
      </c>
      <c r="C3285" s="110" t="s">
        <v>5755</v>
      </c>
      <c r="D3285" s="111">
        <v>672.42</v>
      </c>
    </row>
    <row r="3286" spans="1:4" x14ac:dyDescent="0.25">
      <c r="A3286" s="106">
        <v>10432</v>
      </c>
      <c r="B3286" s="108" t="s">
        <v>8672</v>
      </c>
      <c r="C3286" s="110" t="s">
        <v>5755</v>
      </c>
      <c r="D3286" s="111">
        <v>243.13</v>
      </c>
    </row>
    <row r="3287" spans="1:4" x14ac:dyDescent="0.25">
      <c r="A3287" s="106">
        <v>10430</v>
      </c>
      <c r="B3287" s="108" t="s">
        <v>8673</v>
      </c>
      <c r="C3287" s="110" t="s">
        <v>5755</v>
      </c>
      <c r="D3287" s="111">
        <v>261.85000000000002</v>
      </c>
    </row>
    <row r="3288" spans="1:4" ht="25.5" x14ac:dyDescent="0.25">
      <c r="A3288" s="106">
        <v>37514</v>
      </c>
      <c r="B3288" s="108" t="s">
        <v>8674</v>
      </c>
      <c r="C3288" s="110" t="s">
        <v>5755</v>
      </c>
      <c r="D3288" s="111">
        <v>168371.38</v>
      </c>
    </row>
    <row r="3289" spans="1:4" ht="25.5" x14ac:dyDescent="0.25">
      <c r="A3289" s="106">
        <v>37519</v>
      </c>
      <c r="B3289" s="108" t="s">
        <v>8675</v>
      </c>
      <c r="C3289" s="110" t="s">
        <v>5755</v>
      </c>
      <c r="D3289" s="111">
        <v>259846.43</v>
      </c>
    </row>
    <row r="3290" spans="1:4" ht="25.5" x14ac:dyDescent="0.25">
      <c r="A3290" s="106">
        <v>37520</v>
      </c>
      <c r="B3290" s="108" t="s">
        <v>8676</v>
      </c>
      <c r="C3290" s="110" t="s">
        <v>5755</v>
      </c>
      <c r="D3290" s="111">
        <v>255586.66</v>
      </c>
    </row>
    <row r="3291" spans="1:4" ht="25.5" x14ac:dyDescent="0.25">
      <c r="A3291" s="106">
        <v>37521</v>
      </c>
      <c r="B3291" s="108" t="s">
        <v>8677</v>
      </c>
      <c r="C3291" s="110" t="s">
        <v>5755</v>
      </c>
      <c r="D3291" s="111">
        <v>311815.73</v>
      </c>
    </row>
    <row r="3292" spans="1:4" ht="25.5" x14ac:dyDescent="0.25">
      <c r="A3292" s="106">
        <v>37522</v>
      </c>
      <c r="B3292" s="108" t="s">
        <v>8678</v>
      </c>
      <c r="C3292" s="110" t="s">
        <v>5755</v>
      </c>
      <c r="D3292" s="111">
        <v>321196.94</v>
      </c>
    </row>
    <row r="3293" spans="1:4" ht="38.25" x14ac:dyDescent="0.25">
      <c r="A3293" s="106">
        <v>21109</v>
      </c>
      <c r="B3293" s="108" t="s">
        <v>8679</v>
      </c>
      <c r="C3293" s="110" t="s">
        <v>5755</v>
      </c>
      <c r="D3293" s="111">
        <v>60.51</v>
      </c>
    </row>
    <row r="3294" spans="1:4" ht="25.5" x14ac:dyDescent="0.25">
      <c r="A3294" s="106">
        <v>36800</v>
      </c>
      <c r="B3294" s="108" t="s">
        <v>8680</v>
      </c>
      <c r="C3294" s="110" t="s">
        <v>5755</v>
      </c>
      <c r="D3294" s="111">
        <v>82.54</v>
      </c>
    </row>
    <row r="3295" spans="1:4" ht="25.5" x14ac:dyDescent="0.25">
      <c r="A3295" s="106">
        <v>11769</v>
      </c>
      <c r="B3295" s="108" t="s">
        <v>8681</v>
      </c>
      <c r="C3295" s="110" t="s">
        <v>5755</v>
      </c>
      <c r="D3295" s="111">
        <v>202.28</v>
      </c>
    </row>
    <row r="3296" spans="1:4" x14ac:dyDescent="0.25">
      <c r="A3296" s="106">
        <v>36793</v>
      </c>
      <c r="B3296" s="108" t="s">
        <v>8682</v>
      </c>
      <c r="C3296" s="110" t="s">
        <v>5755</v>
      </c>
      <c r="D3296" s="111">
        <v>327.5</v>
      </c>
    </row>
    <row r="3297" spans="1:4" ht="38.25" x14ac:dyDescent="0.25">
      <c r="A3297" s="106">
        <v>37546</v>
      </c>
      <c r="B3297" s="108" t="s">
        <v>8683</v>
      </c>
      <c r="C3297" s="110" t="s">
        <v>5755</v>
      </c>
      <c r="D3297" s="111">
        <v>9272.09</v>
      </c>
    </row>
    <row r="3298" spans="1:4" ht="38.25" x14ac:dyDescent="0.25">
      <c r="A3298" s="106">
        <v>37544</v>
      </c>
      <c r="B3298" s="108" t="s">
        <v>8684</v>
      </c>
      <c r="C3298" s="110" t="s">
        <v>5755</v>
      </c>
      <c r="D3298" s="111">
        <v>9806.7900000000009</v>
      </c>
    </row>
    <row r="3299" spans="1:4" ht="38.25" x14ac:dyDescent="0.25">
      <c r="A3299" s="106">
        <v>37545</v>
      </c>
      <c r="B3299" s="108" t="s">
        <v>8685</v>
      </c>
      <c r="C3299" s="110" t="s">
        <v>5755</v>
      </c>
      <c r="D3299" s="111">
        <v>11668.76</v>
      </c>
    </row>
    <row r="3300" spans="1:4" ht="25.5" x14ac:dyDescent="0.25">
      <c r="A3300" s="106">
        <v>11771</v>
      </c>
      <c r="B3300" s="108" t="s">
        <v>8686</v>
      </c>
      <c r="C3300" s="110" t="s">
        <v>5755</v>
      </c>
      <c r="D3300" s="111">
        <v>250.9</v>
      </c>
    </row>
    <row r="3301" spans="1:4" ht="38.25" x14ac:dyDescent="0.25">
      <c r="A3301" s="106">
        <v>39919</v>
      </c>
      <c r="B3301" s="108" t="s">
        <v>8687</v>
      </c>
      <c r="C3301" s="110" t="s">
        <v>5755</v>
      </c>
      <c r="D3301" s="111">
        <v>46411.93</v>
      </c>
    </row>
    <row r="3302" spans="1:4" ht="25.5" x14ac:dyDescent="0.25">
      <c r="A3302" s="106">
        <v>38385</v>
      </c>
      <c r="B3302" s="108" t="s">
        <v>8688</v>
      </c>
      <c r="C3302" s="110" t="s">
        <v>5755</v>
      </c>
      <c r="D3302" s="111">
        <v>43.7</v>
      </c>
    </row>
    <row r="3303" spans="1:4" ht="25.5" x14ac:dyDescent="0.25">
      <c r="A3303" s="106">
        <v>37587</v>
      </c>
      <c r="B3303" s="108" t="s">
        <v>8689</v>
      </c>
      <c r="C3303" s="110" t="s">
        <v>5755</v>
      </c>
      <c r="D3303" s="111">
        <v>228.21</v>
      </c>
    </row>
    <row r="3304" spans="1:4" x14ac:dyDescent="0.25">
      <c r="A3304" s="106">
        <v>11561</v>
      </c>
      <c r="B3304" s="108" t="s">
        <v>708</v>
      </c>
      <c r="C3304" s="110" t="s">
        <v>5755</v>
      </c>
      <c r="D3304" s="111">
        <v>149.94999999999999</v>
      </c>
    </row>
    <row r="3305" spans="1:4" x14ac:dyDescent="0.25">
      <c r="A3305" s="106">
        <v>11560</v>
      </c>
      <c r="B3305" s="108" t="s">
        <v>8690</v>
      </c>
      <c r="C3305" s="110" t="s">
        <v>5755</v>
      </c>
      <c r="D3305" s="111">
        <v>127.63</v>
      </c>
    </row>
    <row r="3306" spans="1:4" x14ac:dyDescent="0.25">
      <c r="A3306" s="106">
        <v>11499</v>
      </c>
      <c r="B3306" s="108" t="s">
        <v>8691</v>
      </c>
      <c r="C3306" s="110" t="s">
        <v>5755</v>
      </c>
      <c r="D3306" s="111">
        <v>1109.8499999999999</v>
      </c>
    </row>
    <row r="3307" spans="1:4" x14ac:dyDescent="0.25">
      <c r="A3307" s="106">
        <v>34761</v>
      </c>
      <c r="B3307" s="108" t="s">
        <v>8692</v>
      </c>
      <c r="C3307" s="110" t="s">
        <v>5759</v>
      </c>
      <c r="D3307" s="111">
        <v>12.92</v>
      </c>
    </row>
    <row r="3308" spans="1:4" x14ac:dyDescent="0.25">
      <c r="A3308" s="106">
        <v>40924</v>
      </c>
      <c r="B3308" s="108" t="s">
        <v>8693</v>
      </c>
      <c r="C3308" s="110" t="s">
        <v>5906</v>
      </c>
      <c r="D3308" s="111">
        <v>2290.1</v>
      </c>
    </row>
    <row r="3309" spans="1:4" x14ac:dyDescent="0.25">
      <c r="A3309" s="106">
        <v>25957</v>
      </c>
      <c r="B3309" s="108" t="s">
        <v>8694</v>
      </c>
      <c r="C3309" s="110" t="s">
        <v>5759</v>
      </c>
      <c r="D3309" s="111">
        <v>8.76</v>
      </c>
    </row>
    <row r="3310" spans="1:4" x14ac:dyDescent="0.25">
      <c r="A3310" s="106">
        <v>40983</v>
      </c>
      <c r="B3310" s="108" t="s">
        <v>8695</v>
      </c>
      <c r="C3310" s="110" t="s">
        <v>5906</v>
      </c>
      <c r="D3310" s="111">
        <v>1552.79</v>
      </c>
    </row>
    <row r="3311" spans="1:4" x14ac:dyDescent="0.25">
      <c r="A3311" s="106">
        <v>2437</v>
      </c>
      <c r="B3311" s="108" t="s">
        <v>8696</v>
      </c>
      <c r="C3311" s="110" t="s">
        <v>5759</v>
      </c>
      <c r="D3311" s="111">
        <v>14.39</v>
      </c>
    </row>
    <row r="3312" spans="1:4" x14ac:dyDescent="0.25">
      <c r="A3312" s="106">
        <v>40921</v>
      </c>
      <c r="B3312" s="108" t="s">
        <v>8697</v>
      </c>
      <c r="C3312" s="110" t="s">
        <v>5906</v>
      </c>
      <c r="D3312" s="111">
        <v>2552.7399999999998</v>
      </c>
    </row>
    <row r="3313" spans="1:4" ht="25.5" x14ac:dyDescent="0.25">
      <c r="A3313" s="106">
        <v>14252</v>
      </c>
      <c r="B3313" s="108" t="s">
        <v>8698</v>
      </c>
      <c r="C3313" s="110" t="s">
        <v>5755</v>
      </c>
      <c r="D3313" s="111">
        <v>1968.83</v>
      </c>
    </row>
    <row r="3314" spans="1:4" ht="38.25" x14ac:dyDescent="0.25">
      <c r="A3314" s="106">
        <v>730</v>
      </c>
      <c r="B3314" s="108" t="s">
        <v>8699</v>
      </c>
      <c r="C3314" s="110" t="s">
        <v>5755</v>
      </c>
      <c r="D3314" s="111">
        <v>5260.34</v>
      </c>
    </row>
    <row r="3315" spans="1:4" ht="38.25" x14ac:dyDescent="0.25">
      <c r="A3315" s="106">
        <v>723</v>
      </c>
      <c r="B3315" s="108" t="s">
        <v>8700</v>
      </c>
      <c r="C3315" s="110" t="s">
        <v>5755</v>
      </c>
      <c r="D3315" s="111">
        <v>2614.5700000000002</v>
      </c>
    </row>
    <row r="3316" spans="1:4" ht="38.25" x14ac:dyDescent="0.25">
      <c r="A3316" s="106">
        <v>36502</v>
      </c>
      <c r="B3316" s="108" t="s">
        <v>8701</v>
      </c>
      <c r="C3316" s="110" t="s">
        <v>5755</v>
      </c>
      <c r="D3316" s="111">
        <v>2457.38</v>
      </c>
    </row>
    <row r="3317" spans="1:4" ht="38.25" x14ac:dyDescent="0.25">
      <c r="A3317" s="106">
        <v>36503</v>
      </c>
      <c r="B3317" s="108" t="s">
        <v>8702</v>
      </c>
      <c r="C3317" s="110" t="s">
        <v>5755</v>
      </c>
      <c r="D3317" s="111">
        <v>3030.25</v>
      </c>
    </row>
    <row r="3318" spans="1:4" ht="25.5" x14ac:dyDescent="0.25">
      <c r="A3318" s="106">
        <v>4090</v>
      </c>
      <c r="B3318" s="108" t="s">
        <v>8703</v>
      </c>
      <c r="C3318" s="110" t="s">
        <v>5755</v>
      </c>
      <c r="D3318" s="111">
        <v>542000</v>
      </c>
    </row>
    <row r="3319" spans="1:4" ht="25.5" x14ac:dyDescent="0.25">
      <c r="A3319" s="106">
        <v>13227</v>
      </c>
      <c r="B3319" s="108" t="s">
        <v>8704</v>
      </c>
      <c r="C3319" s="110" t="s">
        <v>5755</v>
      </c>
      <c r="D3319" s="111">
        <v>673502.58</v>
      </c>
    </row>
    <row r="3320" spans="1:4" ht="25.5" x14ac:dyDescent="0.25">
      <c r="A3320" s="106">
        <v>10597</v>
      </c>
      <c r="B3320" s="108" t="s">
        <v>8705</v>
      </c>
      <c r="C3320" s="110" t="s">
        <v>5755</v>
      </c>
      <c r="D3320" s="111">
        <v>708948.35</v>
      </c>
    </row>
    <row r="3321" spans="1:4" x14ac:dyDescent="0.25">
      <c r="A3321" s="106">
        <v>39628</v>
      </c>
      <c r="B3321" s="108" t="s">
        <v>8706</v>
      </c>
      <c r="C3321" s="110" t="s">
        <v>5755</v>
      </c>
      <c r="D3321" s="111">
        <v>3158.7</v>
      </c>
    </row>
    <row r="3322" spans="1:4" x14ac:dyDescent="0.25">
      <c r="A3322" s="106">
        <v>39404</v>
      </c>
      <c r="B3322" s="108" t="s">
        <v>8707</v>
      </c>
      <c r="C3322" s="110" t="s">
        <v>5755</v>
      </c>
      <c r="D3322" s="111">
        <v>1566.29</v>
      </c>
    </row>
    <row r="3323" spans="1:4" ht="25.5" x14ac:dyDescent="0.25">
      <c r="A3323" s="106">
        <v>39402</v>
      </c>
      <c r="B3323" s="108" t="s">
        <v>8708</v>
      </c>
      <c r="C3323" s="110" t="s">
        <v>5755</v>
      </c>
      <c r="D3323" s="111">
        <v>1290.33</v>
      </c>
    </row>
    <row r="3324" spans="1:4" ht="25.5" x14ac:dyDescent="0.25">
      <c r="A3324" s="106">
        <v>39403</v>
      </c>
      <c r="B3324" s="108" t="s">
        <v>8709</v>
      </c>
      <c r="C3324" s="110" t="s">
        <v>5755</v>
      </c>
      <c r="D3324" s="111">
        <v>1262.26</v>
      </c>
    </row>
    <row r="3325" spans="1:4" x14ac:dyDescent="0.25">
      <c r="A3325" s="106">
        <v>4093</v>
      </c>
      <c r="B3325" s="108" t="s">
        <v>8710</v>
      </c>
      <c r="C3325" s="110" t="s">
        <v>5759</v>
      </c>
      <c r="D3325" s="111">
        <v>10.16</v>
      </c>
    </row>
    <row r="3326" spans="1:4" x14ac:dyDescent="0.25">
      <c r="A3326" s="106">
        <v>10512</v>
      </c>
      <c r="B3326" s="108" t="s">
        <v>8711</v>
      </c>
      <c r="C3326" s="110" t="s">
        <v>5906</v>
      </c>
      <c r="D3326" s="111">
        <v>1802.69</v>
      </c>
    </row>
    <row r="3327" spans="1:4" x14ac:dyDescent="0.25">
      <c r="A3327" s="106">
        <v>20020</v>
      </c>
      <c r="B3327" s="108" t="s">
        <v>8712</v>
      </c>
      <c r="C3327" s="110" t="s">
        <v>5759</v>
      </c>
      <c r="D3327" s="111">
        <v>9.58</v>
      </c>
    </row>
    <row r="3328" spans="1:4" x14ac:dyDescent="0.25">
      <c r="A3328" s="106">
        <v>41038</v>
      </c>
      <c r="B3328" s="108" t="s">
        <v>8713</v>
      </c>
      <c r="C3328" s="110" t="s">
        <v>5906</v>
      </c>
      <c r="D3328" s="111">
        <v>1700.4</v>
      </c>
    </row>
    <row r="3329" spans="1:4" x14ac:dyDescent="0.25">
      <c r="A3329" s="106">
        <v>4094</v>
      </c>
      <c r="B3329" s="108" t="s">
        <v>8714</v>
      </c>
      <c r="C3329" s="110" t="s">
        <v>5759</v>
      </c>
      <c r="D3329" s="111">
        <v>13.58</v>
      </c>
    </row>
    <row r="3330" spans="1:4" x14ac:dyDescent="0.25">
      <c r="A3330" s="106">
        <v>40988</v>
      </c>
      <c r="B3330" s="108" t="s">
        <v>8715</v>
      </c>
      <c r="C3330" s="110" t="s">
        <v>5906</v>
      </c>
      <c r="D3330" s="111">
        <v>2407.38</v>
      </c>
    </row>
    <row r="3331" spans="1:4" x14ac:dyDescent="0.25">
      <c r="A3331" s="106">
        <v>4095</v>
      </c>
      <c r="B3331" s="108" t="s">
        <v>8716</v>
      </c>
      <c r="C3331" s="110" t="s">
        <v>5759</v>
      </c>
      <c r="D3331" s="111">
        <v>9.42</v>
      </c>
    </row>
    <row r="3332" spans="1:4" x14ac:dyDescent="0.25">
      <c r="A3332" s="106">
        <v>40990</v>
      </c>
      <c r="B3332" s="108" t="s">
        <v>8717</v>
      </c>
      <c r="C3332" s="110" t="s">
        <v>5906</v>
      </c>
      <c r="D3332" s="111">
        <v>1670.53</v>
      </c>
    </row>
    <row r="3333" spans="1:4" x14ac:dyDescent="0.25">
      <c r="A3333" s="106">
        <v>4097</v>
      </c>
      <c r="B3333" s="108" t="s">
        <v>8718</v>
      </c>
      <c r="C3333" s="110" t="s">
        <v>5759</v>
      </c>
      <c r="D3333" s="111">
        <v>11.09</v>
      </c>
    </row>
    <row r="3334" spans="1:4" x14ac:dyDescent="0.25">
      <c r="A3334" s="106">
        <v>40994</v>
      </c>
      <c r="B3334" s="108" t="s">
        <v>8719</v>
      </c>
      <c r="C3334" s="110" t="s">
        <v>5906</v>
      </c>
      <c r="D3334" s="111">
        <v>1966.73</v>
      </c>
    </row>
    <row r="3335" spans="1:4" x14ac:dyDescent="0.25">
      <c r="A3335" s="106">
        <v>4096</v>
      </c>
      <c r="B3335" s="108" t="s">
        <v>8720</v>
      </c>
      <c r="C3335" s="110" t="s">
        <v>5759</v>
      </c>
      <c r="D3335" s="111">
        <v>11.9</v>
      </c>
    </row>
    <row r="3336" spans="1:4" x14ac:dyDescent="0.25">
      <c r="A3336" s="106">
        <v>40992</v>
      </c>
      <c r="B3336" s="108" t="s">
        <v>8721</v>
      </c>
      <c r="C3336" s="110" t="s">
        <v>5906</v>
      </c>
      <c r="D3336" s="111">
        <v>2110.63</v>
      </c>
    </row>
    <row r="3337" spans="1:4" x14ac:dyDescent="0.25">
      <c r="A3337" s="106">
        <v>13955</v>
      </c>
      <c r="B3337" s="108" t="s">
        <v>8722</v>
      </c>
      <c r="C3337" s="110" t="s">
        <v>5755</v>
      </c>
      <c r="D3337" s="111">
        <v>2008.71</v>
      </c>
    </row>
    <row r="3338" spans="1:4" ht="25.5" x14ac:dyDescent="0.25">
      <c r="A3338" s="106">
        <v>4114</v>
      </c>
      <c r="B3338" s="108" t="s">
        <v>8723</v>
      </c>
      <c r="C3338" s="110" t="s">
        <v>5755</v>
      </c>
      <c r="D3338" s="111">
        <v>43.72</v>
      </c>
    </row>
    <row r="3339" spans="1:4" ht="25.5" x14ac:dyDescent="0.25">
      <c r="A3339" s="106">
        <v>36797</v>
      </c>
      <c r="B3339" s="108" t="s">
        <v>8724</v>
      </c>
      <c r="C3339" s="110" t="s">
        <v>5755</v>
      </c>
      <c r="D3339" s="111">
        <v>38.229999999999997</v>
      </c>
    </row>
    <row r="3340" spans="1:4" x14ac:dyDescent="0.25">
      <c r="A3340" s="106">
        <v>4107</v>
      </c>
      <c r="B3340" s="108" t="s">
        <v>8725</v>
      </c>
      <c r="C3340" s="110" t="s">
        <v>5755</v>
      </c>
      <c r="D3340" s="111">
        <v>36.81</v>
      </c>
    </row>
    <row r="3341" spans="1:4" ht="25.5" x14ac:dyDescent="0.25">
      <c r="A3341" s="106">
        <v>36799</v>
      </c>
      <c r="B3341" s="108" t="s">
        <v>8726</v>
      </c>
      <c r="C3341" s="110" t="s">
        <v>5755</v>
      </c>
      <c r="D3341" s="111">
        <v>35.14</v>
      </c>
    </row>
    <row r="3342" spans="1:4" x14ac:dyDescent="0.25">
      <c r="A3342" s="106">
        <v>4108</v>
      </c>
      <c r="B3342" s="108" t="s">
        <v>8727</v>
      </c>
      <c r="C3342" s="110" t="s">
        <v>5755</v>
      </c>
      <c r="D3342" s="111">
        <v>29.59</v>
      </c>
    </row>
    <row r="3343" spans="1:4" x14ac:dyDescent="0.25">
      <c r="A3343" s="106">
        <v>4102</v>
      </c>
      <c r="B3343" s="108" t="s">
        <v>8728</v>
      </c>
      <c r="C3343" s="110" t="s">
        <v>5755</v>
      </c>
      <c r="D3343" s="111">
        <v>44.03</v>
      </c>
    </row>
    <row r="3344" spans="1:4" ht="25.5" x14ac:dyDescent="0.25">
      <c r="A3344" s="106">
        <v>10826</v>
      </c>
      <c r="B3344" s="108" t="s">
        <v>8729</v>
      </c>
      <c r="C3344" s="110" t="s">
        <v>5755</v>
      </c>
      <c r="D3344" s="111">
        <v>86.2</v>
      </c>
    </row>
    <row r="3345" spans="1:4" ht="25.5" x14ac:dyDescent="0.25">
      <c r="A3345" s="106">
        <v>365</v>
      </c>
      <c r="B3345" s="108" t="s">
        <v>8730</v>
      </c>
      <c r="C3345" s="110" t="s">
        <v>5755</v>
      </c>
      <c r="D3345" s="111">
        <v>53.44</v>
      </c>
    </row>
    <row r="3346" spans="1:4" x14ac:dyDescent="0.25">
      <c r="A3346" s="106">
        <v>38639</v>
      </c>
      <c r="B3346" s="108" t="s">
        <v>8731</v>
      </c>
      <c r="C3346" s="110" t="s">
        <v>5755</v>
      </c>
      <c r="D3346" s="111">
        <v>206.89</v>
      </c>
    </row>
    <row r="3347" spans="1:4" x14ac:dyDescent="0.25">
      <c r="A3347" s="106">
        <v>38640</v>
      </c>
      <c r="B3347" s="108" t="s">
        <v>8732</v>
      </c>
      <c r="C3347" s="110" t="s">
        <v>5755</v>
      </c>
      <c r="D3347" s="111">
        <v>3.1</v>
      </c>
    </row>
    <row r="3348" spans="1:4" ht="25.5" x14ac:dyDescent="0.25">
      <c r="A3348" s="106">
        <v>358</v>
      </c>
      <c r="B3348" s="108" t="s">
        <v>8733</v>
      </c>
      <c r="C3348" s="110" t="s">
        <v>5755</v>
      </c>
      <c r="D3348" s="111">
        <v>63.79</v>
      </c>
    </row>
    <row r="3349" spans="1:4" ht="25.5" x14ac:dyDescent="0.25">
      <c r="A3349" s="106">
        <v>359</v>
      </c>
      <c r="B3349" s="108" t="s">
        <v>8734</v>
      </c>
      <c r="C3349" s="110" t="s">
        <v>5755</v>
      </c>
      <c r="D3349" s="111">
        <v>131.03</v>
      </c>
    </row>
    <row r="3350" spans="1:4" x14ac:dyDescent="0.25">
      <c r="A3350" s="106">
        <v>38641</v>
      </c>
      <c r="B3350" s="108" t="s">
        <v>8735</v>
      </c>
      <c r="C3350" s="110" t="s">
        <v>5755</v>
      </c>
      <c r="D3350" s="111">
        <v>129.31</v>
      </c>
    </row>
    <row r="3351" spans="1:4" ht="25.5" x14ac:dyDescent="0.25">
      <c r="A3351" s="106">
        <v>360</v>
      </c>
      <c r="B3351" s="108" t="s">
        <v>8736</v>
      </c>
      <c r="C3351" s="110" t="s">
        <v>5755</v>
      </c>
      <c r="D3351" s="111">
        <v>3</v>
      </c>
    </row>
    <row r="3352" spans="1:4" ht="25.5" x14ac:dyDescent="0.25">
      <c r="A3352" s="106">
        <v>4127</v>
      </c>
      <c r="B3352" s="108" t="s">
        <v>8737</v>
      </c>
      <c r="C3352" s="110" t="s">
        <v>5755</v>
      </c>
      <c r="D3352" s="111">
        <v>202.03</v>
      </c>
    </row>
    <row r="3353" spans="1:4" ht="25.5" x14ac:dyDescent="0.25">
      <c r="A3353" s="106">
        <v>4154</v>
      </c>
      <c r="B3353" s="108" t="s">
        <v>8738</v>
      </c>
      <c r="C3353" s="110" t="s">
        <v>5755</v>
      </c>
      <c r="D3353" s="111">
        <v>246.84</v>
      </c>
    </row>
    <row r="3354" spans="1:4" ht="25.5" x14ac:dyDescent="0.25">
      <c r="A3354" s="106">
        <v>4168</v>
      </c>
      <c r="B3354" s="108" t="s">
        <v>8739</v>
      </c>
      <c r="C3354" s="110" t="s">
        <v>5755</v>
      </c>
      <c r="D3354" s="111">
        <v>260.69</v>
      </c>
    </row>
    <row r="3355" spans="1:4" ht="25.5" x14ac:dyDescent="0.25">
      <c r="A3355" s="106">
        <v>4161</v>
      </c>
      <c r="B3355" s="108" t="s">
        <v>8740</v>
      </c>
      <c r="C3355" s="110" t="s">
        <v>5755</v>
      </c>
      <c r="D3355" s="111">
        <v>250.91</v>
      </c>
    </row>
    <row r="3356" spans="1:4" ht="38.25" x14ac:dyDescent="0.25">
      <c r="A3356" s="106">
        <v>42430</v>
      </c>
      <c r="B3356" s="108" t="s">
        <v>8741</v>
      </c>
      <c r="C3356" s="110" t="s">
        <v>5755</v>
      </c>
      <c r="D3356" s="111">
        <v>3654.84</v>
      </c>
    </row>
    <row r="3357" spans="1:4" x14ac:dyDescent="0.25">
      <c r="A3357" s="106">
        <v>4214</v>
      </c>
      <c r="B3357" s="108" t="s">
        <v>8742</v>
      </c>
      <c r="C3357" s="110" t="s">
        <v>5755</v>
      </c>
      <c r="D3357" s="111">
        <v>6.96</v>
      </c>
    </row>
    <row r="3358" spans="1:4" x14ac:dyDescent="0.25">
      <c r="A3358" s="106">
        <v>4215</v>
      </c>
      <c r="B3358" s="108" t="s">
        <v>8743</v>
      </c>
      <c r="C3358" s="110" t="s">
        <v>5755</v>
      </c>
      <c r="D3358" s="111">
        <v>4.58</v>
      </c>
    </row>
    <row r="3359" spans="1:4" x14ac:dyDescent="0.25">
      <c r="A3359" s="106">
        <v>4210</v>
      </c>
      <c r="B3359" s="108" t="s">
        <v>8744</v>
      </c>
      <c r="C3359" s="110" t="s">
        <v>5755</v>
      </c>
      <c r="D3359" s="111">
        <v>0.77</v>
      </c>
    </row>
    <row r="3360" spans="1:4" x14ac:dyDescent="0.25">
      <c r="A3360" s="106">
        <v>4212</v>
      </c>
      <c r="B3360" s="108" t="s">
        <v>8745</v>
      </c>
      <c r="C3360" s="110" t="s">
        <v>5755</v>
      </c>
      <c r="D3360" s="111">
        <v>2.21</v>
      </c>
    </row>
    <row r="3361" spans="1:4" x14ac:dyDescent="0.25">
      <c r="A3361" s="106">
        <v>4213</v>
      </c>
      <c r="B3361" s="108" t="s">
        <v>8746</v>
      </c>
      <c r="C3361" s="110" t="s">
        <v>5755</v>
      </c>
      <c r="D3361" s="111">
        <v>9.89</v>
      </c>
    </row>
    <row r="3362" spans="1:4" x14ac:dyDescent="0.25">
      <c r="A3362" s="106">
        <v>4211</v>
      </c>
      <c r="B3362" s="108" t="s">
        <v>8747</v>
      </c>
      <c r="C3362" s="110" t="s">
        <v>5755</v>
      </c>
      <c r="D3362" s="111">
        <v>1.1000000000000001</v>
      </c>
    </row>
    <row r="3363" spans="1:4" x14ac:dyDescent="0.25">
      <c r="A3363" s="106">
        <v>4209</v>
      </c>
      <c r="B3363" s="108" t="s">
        <v>8748</v>
      </c>
      <c r="C3363" s="110" t="s">
        <v>5755</v>
      </c>
      <c r="D3363" s="111">
        <v>11.83</v>
      </c>
    </row>
    <row r="3364" spans="1:4" x14ac:dyDescent="0.25">
      <c r="A3364" s="106">
        <v>4180</v>
      </c>
      <c r="B3364" s="108" t="s">
        <v>8749</v>
      </c>
      <c r="C3364" s="110" t="s">
        <v>5755</v>
      </c>
      <c r="D3364" s="111">
        <v>8.91</v>
      </c>
    </row>
    <row r="3365" spans="1:4" x14ac:dyDescent="0.25">
      <c r="A3365" s="106">
        <v>4177</v>
      </c>
      <c r="B3365" s="108" t="s">
        <v>8750</v>
      </c>
      <c r="C3365" s="110" t="s">
        <v>5755</v>
      </c>
      <c r="D3365" s="111">
        <v>2.95</v>
      </c>
    </row>
    <row r="3366" spans="1:4" x14ac:dyDescent="0.25">
      <c r="A3366" s="106">
        <v>4179</v>
      </c>
      <c r="B3366" s="108" t="s">
        <v>8751</v>
      </c>
      <c r="C3366" s="110" t="s">
        <v>5755</v>
      </c>
      <c r="D3366" s="111">
        <v>6.05</v>
      </c>
    </row>
    <row r="3367" spans="1:4" x14ac:dyDescent="0.25">
      <c r="A3367" s="106">
        <v>4208</v>
      </c>
      <c r="B3367" s="108" t="s">
        <v>8752</v>
      </c>
      <c r="C3367" s="110" t="s">
        <v>5755</v>
      </c>
      <c r="D3367" s="111">
        <v>28.17</v>
      </c>
    </row>
    <row r="3368" spans="1:4" x14ac:dyDescent="0.25">
      <c r="A3368" s="106">
        <v>4181</v>
      </c>
      <c r="B3368" s="108" t="s">
        <v>8753</v>
      </c>
      <c r="C3368" s="110" t="s">
        <v>5755</v>
      </c>
      <c r="D3368" s="111">
        <v>18.41</v>
      </c>
    </row>
    <row r="3369" spans="1:4" x14ac:dyDescent="0.25">
      <c r="A3369" s="106">
        <v>4178</v>
      </c>
      <c r="B3369" s="108" t="s">
        <v>8754</v>
      </c>
      <c r="C3369" s="110" t="s">
        <v>5755</v>
      </c>
      <c r="D3369" s="111">
        <v>4.0999999999999996</v>
      </c>
    </row>
    <row r="3370" spans="1:4" x14ac:dyDescent="0.25">
      <c r="A3370" s="106">
        <v>4182</v>
      </c>
      <c r="B3370" s="108" t="s">
        <v>8755</v>
      </c>
      <c r="C3370" s="110" t="s">
        <v>5755</v>
      </c>
      <c r="D3370" s="111">
        <v>45.83</v>
      </c>
    </row>
    <row r="3371" spans="1:4" x14ac:dyDescent="0.25">
      <c r="A3371" s="106">
        <v>4183</v>
      </c>
      <c r="B3371" s="108" t="s">
        <v>8756</v>
      </c>
      <c r="C3371" s="110" t="s">
        <v>5755</v>
      </c>
      <c r="D3371" s="111">
        <v>73.790000000000006</v>
      </c>
    </row>
    <row r="3372" spans="1:4" x14ac:dyDescent="0.25">
      <c r="A3372" s="106">
        <v>4184</v>
      </c>
      <c r="B3372" s="108" t="s">
        <v>8757</v>
      </c>
      <c r="C3372" s="110" t="s">
        <v>5755</v>
      </c>
      <c r="D3372" s="111">
        <v>162.88</v>
      </c>
    </row>
    <row r="3373" spans="1:4" x14ac:dyDescent="0.25">
      <c r="A3373" s="106">
        <v>4185</v>
      </c>
      <c r="B3373" s="108" t="s">
        <v>8758</v>
      </c>
      <c r="C3373" s="110" t="s">
        <v>5755</v>
      </c>
      <c r="D3373" s="111">
        <v>270.63</v>
      </c>
    </row>
    <row r="3374" spans="1:4" ht="25.5" x14ac:dyDescent="0.25">
      <c r="A3374" s="106">
        <v>4205</v>
      </c>
      <c r="B3374" s="108" t="s">
        <v>8759</v>
      </c>
      <c r="C3374" s="110" t="s">
        <v>5755</v>
      </c>
      <c r="D3374" s="111">
        <v>15.63</v>
      </c>
    </row>
    <row r="3375" spans="1:4" ht="25.5" x14ac:dyDescent="0.25">
      <c r="A3375" s="106">
        <v>4192</v>
      </c>
      <c r="B3375" s="108" t="s">
        <v>8760</v>
      </c>
      <c r="C3375" s="110" t="s">
        <v>5755</v>
      </c>
      <c r="D3375" s="111">
        <v>15.63</v>
      </c>
    </row>
    <row r="3376" spans="1:4" ht="25.5" x14ac:dyDescent="0.25">
      <c r="A3376" s="106">
        <v>4191</v>
      </c>
      <c r="B3376" s="108" t="s">
        <v>8761</v>
      </c>
      <c r="C3376" s="110" t="s">
        <v>5755</v>
      </c>
      <c r="D3376" s="111">
        <v>15.63</v>
      </c>
    </row>
    <row r="3377" spans="1:4" ht="25.5" x14ac:dyDescent="0.25">
      <c r="A3377" s="106">
        <v>4207</v>
      </c>
      <c r="B3377" s="108" t="s">
        <v>8762</v>
      </c>
      <c r="C3377" s="110" t="s">
        <v>5755</v>
      </c>
      <c r="D3377" s="111">
        <v>12.57</v>
      </c>
    </row>
    <row r="3378" spans="1:4" ht="25.5" x14ac:dyDescent="0.25">
      <c r="A3378" s="106">
        <v>4206</v>
      </c>
      <c r="B3378" s="108" t="s">
        <v>8763</v>
      </c>
      <c r="C3378" s="110" t="s">
        <v>5755</v>
      </c>
      <c r="D3378" s="111">
        <v>12.21</v>
      </c>
    </row>
    <row r="3379" spans="1:4" ht="25.5" x14ac:dyDescent="0.25">
      <c r="A3379" s="106">
        <v>4190</v>
      </c>
      <c r="B3379" s="108" t="s">
        <v>8764</v>
      </c>
      <c r="C3379" s="110" t="s">
        <v>5755</v>
      </c>
      <c r="D3379" s="111">
        <v>12.21</v>
      </c>
    </row>
    <row r="3380" spans="1:4" ht="25.5" x14ac:dyDescent="0.25">
      <c r="A3380" s="106">
        <v>4186</v>
      </c>
      <c r="B3380" s="108" t="s">
        <v>8765</v>
      </c>
      <c r="C3380" s="110" t="s">
        <v>5755</v>
      </c>
      <c r="D3380" s="111">
        <v>3.61</v>
      </c>
    </row>
    <row r="3381" spans="1:4" ht="25.5" x14ac:dyDescent="0.25">
      <c r="A3381" s="106">
        <v>4188</v>
      </c>
      <c r="B3381" s="108" t="s">
        <v>8766</v>
      </c>
      <c r="C3381" s="110" t="s">
        <v>5755</v>
      </c>
      <c r="D3381" s="111">
        <v>7.37</v>
      </c>
    </row>
    <row r="3382" spans="1:4" ht="25.5" x14ac:dyDescent="0.25">
      <c r="A3382" s="106">
        <v>4189</v>
      </c>
      <c r="B3382" s="108" t="s">
        <v>8767</v>
      </c>
      <c r="C3382" s="110" t="s">
        <v>5755</v>
      </c>
      <c r="D3382" s="111">
        <v>7.37</v>
      </c>
    </row>
    <row r="3383" spans="1:4" ht="25.5" x14ac:dyDescent="0.25">
      <c r="A3383" s="106">
        <v>4197</v>
      </c>
      <c r="B3383" s="108" t="s">
        <v>8768</v>
      </c>
      <c r="C3383" s="110" t="s">
        <v>5755</v>
      </c>
      <c r="D3383" s="111">
        <v>39.020000000000003</v>
      </c>
    </row>
    <row r="3384" spans="1:4" ht="25.5" x14ac:dyDescent="0.25">
      <c r="A3384" s="106">
        <v>4194</v>
      </c>
      <c r="B3384" s="108" t="s">
        <v>8769</v>
      </c>
      <c r="C3384" s="110" t="s">
        <v>5755</v>
      </c>
      <c r="D3384" s="111">
        <v>23.58</v>
      </c>
    </row>
    <row r="3385" spans="1:4" ht="25.5" x14ac:dyDescent="0.25">
      <c r="A3385" s="106">
        <v>4193</v>
      </c>
      <c r="B3385" s="108" t="s">
        <v>8770</v>
      </c>
      <c r="C3385" s="110" t="s">
        <v>5755</v>
      </c>
      <c r="D3385" s="111">
        <v>23.58</v>
      </c>
    </row>
    <row r="3386" spans="1:4" x14ac:dyDescent="0.25">
      <c r="A3386" s="106">
        <v>4204</v>
      </c>
      <c r="B3386" s="108" t="s">
        <v>8771</v>
      </c>
      <c r="C3386" s="110" t="s">
        <v>5755</v>
      </c>
      <c r="D3386" s="111">
        <v>23.58</v>
      </c>
    </row>
    <row r="3387" spans="1:4" ht="25.5" x14ac:dyDescent="0.25">
      <c r="A3387" s="106">
        <v>4187</v>
      </c>
      <c r="B3387" s="108" t="s">
        <v>625</v>
      </c>
      <c r="C3387" s="110" t="s">
        <v>5755</v>
      </c>
      <c r="D3387" s="111">
        <v>4.7</v>
      </c>
    </row>
    <row r="3388" spans="1:4" ht="25.5" x14ac:dyDescent="0.25">
      <c r="A3388" s="106">
        <v>4202</v>
      </c>
      <c r="B3388" s="108" t="s">
        <v>8772</v>
      </c>
      <c r="C3388" s="110" t="s">
        <v>5755</v>
      </c>
      <c r="D3388" s="111">
        <v>71.27</v>
      </c>
    </row>
    <row r="3389" spans="1:4" x14ac:dyDescent="0.25">
      <c r="A3389" s="106">
        <v>4203</v>
      </c>
      <c r="B3389" s="108" t="s">
        <v>8773</v>
      </c>
      <c r="C3389" s="110" t="s">
        <v>5755</v>
      </c>
      <c r="D3389" s="111">
        <v>62.94</v>
      </c>
    </row>
    <row r="3390" spans="1:4" ht="25.5" x14ac:dyDescent="0.25">
      <c r="A3390" s="106">
        <v>40368</v>
      </c>
      <c r="B3390" s="108" t="s">
        <v>8774</v>
      </c>
      <c r="C3390" s="110" t="s">
        <v>5755</v>
      </c>
      <c r="D3390" s="111">
        <v>33.46</v>
      </c>
    </row>
    <row r="3391" spans="1:4" ht="25.5" x14ac:dyDescent="0.25">
      <c r="A3391" s="106">
        <v>40365</v>
      </c>
      <c r="B3391" s="108" t="s">
        <v>8775</v>
      </c>
      <c r="C3391" s="110" t="s">
        <v>5755</v>
      </c>
      <c r="D3391" s="111">
        <v>22.57</v>
      </c>
    </row>
    <row r="3392" spans="1:4" ht="25.5" x14ac:dyDescent="0.25">
      <c r="A3392" s="106">
        <v>40356</v>
      </c>
      <c r="B3392" s="108" t="s">
        <v>8776</v>
      </c>
      <c r="C3392" s="110" t="s">
        <v>5755</v>
      </c>
      <c r="D3392" s="111">
        <v>7.71</v>
      </c>
    </row>
    <row r="3393" spans="1:4" ht="25.5" x14ac:dyDescent="0.25">
      <c r="A3393" s="106">
        <v>40362</v>
      </c>
      <c r="B3393" s="108" t="s">
        <v>8777</v>
      </c>
      <c r="C3393" s="110" t="s">
        <v>5755</v>
      </c>
      <c r="D3393" s="111">
        <v>14.95</v>
      </c>
    </row>
    <row r="3394" spans="1:4" ht="25.5" x14ac:dyDescent="0.25">
      <c r="A3394" s="106">
        <v>40374</v>
      </c>
      <c r="B3394" s="108" t="s">
        <v>8778</v>
      </c>
      <c r="C3394" s="110" t="s">
        <v>5755</v>
      </c>
      <c r="D3394" s="111">
        <v>87.45</v>
      </c>
    </row>
    <row r="3395" spans="1:4" ht="25.5" x14ac:dyDescent="0.25">
      <c r="A3395" s="106">
        <v>40371</v>
      </c>
      <c r="B3395" s="108" t="s">
        <v>8779</v>
      </c>
      <c r="C3395" s="110" t="s">
        <v>5755</v>
      </c>
      <c r="D3395" s="111">
        <v>55.04</v>
      </c>
    </row>
    <row r="3396" spans="1:4" ht="25.5" x14ac:dyDescent="0.25">
      <c r="A3396" s="106">
        <v>40359</v>
      </c>
      <c r="B3396" s="108" t="s">
        <v>8780</v>
      </c>
      <c r="C3396" s="110" t="s">
        <v>5755</v>
      </c>
      <c r="D3396" s="111">
        <v>9.9600000000000009</v>
      </c>
    </row>
    <row r="3397" spans="1:4" x14ac:dyDescent="0.25">
      <c r="A3397" s="106">
        <v>7595</v>
      </c>
      <c r="B3397" s="108" t="s">
        <v>8781</v>
      </c>
      <c r="C3397" s="110" t="s">
        <v>5759</v>
      </c>
      <c r="D3397" s="111">
        <v>6.35</v>
      </c>
    </row>
    <row r="3398" spans="1:4" x14ac:dyDescent="0.25">
      <c r="A3398" s="106">
        <v>41094</v>
      </c>
      <c r="B3398" s="108" t="s">
        <v>8782</v>
      </c>
      <c r="C3398" s="110" t="s">
        <v>5906</v>
      </c>
      <c r="D3398" s="111">
        <v>1127.67</v>
      </c>
    </row>
    <row r="3399" spans="1:4" ht="25.5" x14ac:dyDescent="0.25">
      <c r="A3399" s="106">
        <v>39609</v>
      </c>
      <c r="B3399" s="108" t="s">
        <v>10695</v>
      </c>
      <c r="C3399" s="110" t="s">
        <v>5755</v>
      </c>
      <c r="D3399" s="111">
        <v>50584.36</v>
      </c>
    </row>
    <row r="3400" spans="1:4" ht="25.5" x14ac:dyDescent="0.25">
      <c r="A3400" s="106">
        <v>39610</v>
      </c>
      <c r="B3400" s="108" t="s">
        <v>10696</v>
      </c>
      <c r="C3400" s="110" t="s">
        <v>5755</v>
      </c>
      <c r="D3400" s="111">
        <v>73837.38</v>
      </c>
    </row>
    <row r="3401" spans="1:4" ht="25.5" x14ac:dyDescent="0.25">
      <c r="A3401" s="106">
        <v>39611</v>
      </c>
      <c r="B3401" s="108" t="s">
        <v>10697</v>
      </c>
      <c r="C3401" s="110" t="s">
        <v>5755</v>
      </c>
      <c r="D3401" s="111">
        <v>89355.32</v>
      </c>
    </row>
    <row r="3402" spans="1:4" ht="25.5" x14ac:dyDescent="0.25">
      <c r="A3402" s="106">
        <v>39612</v>
      </c>
      <c r="B3402" s="108" t="s">
        <v>10698</v>
      </c>
      <c r="C3402" s="110" t="s">
        <v>5755</v>
      </c>
      <c r="D3402" s="111">
        <v>139977.12</v>
      </c>
    </row>
    <row r="3403" spans="1:4" ht="25.5" x14ac:dyDescent="0.25">
      <c r="A3403" s="106">
        <v>39608</v>
      </c>
      <c r="B3403" s="108" t="s">
        <v>10699</v>
      </c>
      <c r="C3403" s="110" t="s">
        <v>5755</v>
      </c>
      <c r="D3403" s="111">
        <v>40446.720000000001</v>
      </c>
    </row>
    <row r="3404" spans="1:4" ht="25.5" x14ac:dyDescent="0.25">
      <c r="A3404" s="106">
        <v>38175</v>
      </c>
      <c r="B3404" s="108" t="s">
        <v>8783</v>
      </c>
      <c r="C3404" s="110" t="s">
        <v>5755</v>
      </c>
      <c r="D3404" s="111">
        <v>2.58</v>
      </c>
    </row>
    <row r="3405" spans="1:4" ht="25.5" x14ac:dyDescent="0.25">
      <c r="A3405" s="106">
        <v>38176</v>
      </c>
      <c r="B3405" s="108" t="s">
        <v>8784</v>
      </c>
      <c r="C3405" s="110" t="s">
        <v>5755</v>
      </c>
      <c r="D3405" s="111">
        <v>7.01</v>
      </c>
    </row>
    <row r="3406" spans="1:4" ht="25.5" x14ac:dyDescent="0.25">
      <c r="A3406" s="106">
        <v>36152</v>
      </c>
      <c r="B3406" s="108" t="s">
        <v>8785</v>
      </c>
      <c r="C3406" s="110" t="s">
        <v>5755</v>
      </c>
      <c r="D3406" s="111">
        <v>4.66</v>
      </c>
    </row>
    <row r="3407" spans="1:4" x14ac:dyDescent="0.25">
      <c r="A3407" s="106">
        <v>11138</v>
      </c>
      <c r="B3407" s="108" t="s">
        <v>8786</v>
      </c>
      <c r="C3407" s="110" t="s">
        <v>5818</v>
      </c>
      <c r="D3407" s="111">
        <v>2.09</v>
      </c>
    </row>
    <row r="3408" spans="1:4" x14ac:dyDescent="0.25">
      <c r="A3408" s="106">
        <v>5333</v>
      </c>
      <c r="B3408" s="108" t="s">
        <v>8787</v>
      </c>
      <c r="C3408" s="110" t="s">
        <v>5818</v>
      </c>
      <c r="D3408" s="111">
        <v>18.86</v>
      </c>
    </row>
    <row r="3409" spans="1:4" x14ac:dyDescent="0.25">
      <c r="A3409" s="106">
        <v>4221</v>
      </c>
      <c r="B3409" s="108" t="s">
        <v>8788</v>
      </c>
      <c r="C3409" s="110" t="s">
        <v>5818</v>
      </c>
      <c r="D3409" s="111">
        <v>3.26</v>
      </c>
    </row>
    <row r="3410" spans="1:4" ht="25.5" x14ac:dyDescent="0.25">
      <c r="A3410" s="106">
        <v>4227</v>
      </c>
      <c r="B3410" s="108" t="s">
        <v>8789</v>
      </c>
      <c r="C3410" s="110" t="s">
        <v>5818</v>
      </c>
      <c r="D3410" s="111">
        <v>13.63</v>
      </c>
    </row>
    <row r="3411" spans="1:4" ht="38.25" x14ac:dyDescent="0.25">
      <c r="A3411" s="106">
        <v>38170</v>
      </c>
      <c r="B3411" s="108" t="s">
        <v>8790</v>
      </c>
      <c r="C3411" s="110" t="s">
        <v>5755</v>
      </c>
      <c r="D3411" s="111">
        <v>11.81</v>
      </c>
    </row>
    <row r="3412" spans="1:4" x14ac:dyDescent="0.25">
      <c r="A3412" s="106">
        <v>4252</v>
      </c>
      <c r="B3412" s="108" t="s">
        <v>8791</v>
      </c>
      <c r="C3412" s="110" t="s">
        <v>5759</v>
      </c>
      <c r="D3412" s="111">
        <v>10.69</v>
      </c>
    </row>
    <row r="3413" spans="1:4" x14ac:dyDescent="0.25">
      <c r="A3413" s="106">
        <v>40980</v>
      </c>
      <c r="B3413" s="108" t="s">
        <v>8792</v>
      </c>
      <c r="C3413" s="110" t="s">
        <v>5906</v>
      </c>
      <c r="D3413" s="111">
        <v>1895.23</v>
      </c>
    </row>
    <row r="3414" spans="1:4" x14ac:dyDescent="0.25">
      <c r="A3414" s="106">
        <v>4243</v>
      </c>
      <c r="B3414" s="108" t="s">
        <v>8793</v>
      </c>
      <c r="C3414" s="110" t="s">
        <v>5759</v>
      </c>
      <c r="D3414" s="111">
        <v>9.16</v>
      </c>
    </row>
    <row r="3415" spans="1:4" x14ac:dyDescent="0.25">
      <c r="A3415" s="106">
        <v>41031</v>
      </c>
      <c r="B3415" s="108" t="s">
        <v>8794</v>
      </c>
      <c r="C3415" s="110" t="s">
        <v>5906</v>
      </c>
      <c r="D3415" s="111">
        <v>1625.38</v>
      </c>
    </row>
    <row r="3416" spans="1:4" x14ac:dyDescent="0.25">
      <c r="A3416" s="106">
        <v>37666</v>
      </c>
      <c r="B3416" s="108" t="s">
        <v>10700</v>
      </c>
      <c r="C3416" s="110" t="s">
        <v>5759</v>
      </c>
      <c r="D3416" s="111">
        <v>8.83</v>
      </c>
    </row>
    <row r="3417" spans="1:4" x14ac:dyDescent="0.25">
      <c r="A3417" s="106">
        <v>40986</v>
      </c>
      <c r="B3417" s="108" t="s">
        <v>8795</v>
      </c>
      <c r="C3417" s="110" t="s">
        <v>5906</v>
      </c>
      <c r="D3417" s="111">
        <v>1568.55</v>
      </c>
    </row>
    <row r="3418" spans="1:4" x14ac:dyDescent="0.25">
      <c r="A3418" s="106">
        <v>4250</v>
      </c>
      <c r="B3418" s="108" t="s">
        <v>8796</v>
      </c>
      <c r="C3418" s="110" t="s">
        <v>5759</v>
      </c>
      <c r="D3418" s="111">
        <v>9.64</v>
      </c>
    </row>
    <row r="3419" spans="1:4" x14ac:dyDescent="0.25">
      <c r="A3419" s="106">
        <v>40978</v>
      </c>
      <c r="B3419" s="108" t="s">
        <v>8797</v>
      </c>
      <c r="C3419" s="110" t="s">
        <v>5906</v>
      </c>
      <c r="D3419" s="111">
        <v>1709.5</v>
      </c>
    </row>
    <row r="3420" spans="1:4" x14ac:dyDescent="0.25">
      <c r="A3420" s="106">
        <v>25960</v>
      </c>
      <c r="B3420" s="108" t="s">
        <v>8798</v>
      </c>
      <c r="C3420" s="110" t="s">
        <v>5759</v>
      </c>
      <c r="D3420" s="111">
        <v>11.28</v>
      </c>
    </row>
    <row r="3421" spans="1:4" x14ac:dyDescent="0.25">
      <c r="A3421" s="106">
        <v>41043</v>
      </c>
      <c r="B3421" s="108" t="s">
        <v>8799</v>
      </c>
      <c r="C3421" s="110" t="s">
        <v>5906</v>
      </c>
      <c r="D3421" s="111">
        <v>2000.46</v>
      </c>
    </row>
    <row r="3422" spans="1:4" x14ac:dyDescent="0.25">
      <c r="A3422" s="106">
        <v>4234</v>
      </c>
      <c r="B3422" s="108" t="s">
        <v>8800</v>
      </c>
      <c r="C3422" s="110" t="s">
        <v>5759</v>
      </c>
      <c r="D3422" s="111">
        <v>12.36</v>
      </c>
    </row>
    <row r="3423" spans="1:4" x14ac:dyDescent="0.25">
      <c r="A3423" s="106">
        <v>40987</v>
      </c>
      <c r="B3423" s="108" t="s">
        <v>8801</v>
      </c>
      <c r="C3423" s="110" t="s">
        <v>5906</v>
      </c>
      <c r="D3423" s="111">
        <v>2191.4299999999998</v>
      </c>
    </row>
    <row r="3424" spans="1:4" x14ac:dyDescent="0.25">
      <c r="A3424" s="106">
        <v>4253</v>
      </c>
      <c r="B3424" s="108" t="s">
        <v>10701</v>
      </c>
      <c r="C3424" s="110" t="s">
        <v>5759</v>
      </c>
      <c r="D3424" s="111">
        <v>8.89</v>
      </c>
    </row>
    <row r="3425" spans="1:4" x14ac:dyDescent="0.25">
      <c r="A3425" s="106">
        <v>40981</v>
      </c>
      <c r="B3425" s="108" t="s">
        <v>8802</v>
      </c>
      <c r="C3425" s="110" t="s">
        <v>5906</v>
      </c>
      <c r="D3425" s="111">
        <v>1576.3</v>
      </c>
    </row>
    <row r="3426" spans="1:4" x14ac:dyDescent="0.25">
      <c r="A3426" s="106">
        <v>4254</v>
      </c>
      <c r="B3426" s="108" t="s">
        <v>8803</v>
      </c>
      <c r="C3426" s="110" t="s">
        <v>5759</v>
      </c>
      <c r="D3426" s="111">
        <v>8.94</v>
      </c>
    </row>
    <row r="3427" spans="1:4" x14ac:dyDescent="0.25">
      <c r="A3427" s="106">
        <v>41036</v>
      </c>
      <c r="B3427" s="108" t="s">
        <v>8804</v>
      </c>
      <c r="C3427" s="110" t="s">
        <v>5906</v>
      </c>
      <c r="D3427" s="111">
        <v>1584.96</v>
      </c>
    </row>
    <row r="3428" spans="1:4" x14ac:dyDescent="0.25">
      <c r="A3428" s="106">
        <v>4251</v>
      </c>
      <c r="B3428" s="108" t="s">
        <v>8805</v>
      </c>
      <c r="C3428" s="110" t="s">
        <v>5759</v>
      </c>
      <c r="D3428" s="111">
        <v>11.06</v>
      </c>
    </row>
    <row r="3429" spans="1:4" x14ac:dyDescent="0.25">
      <c r="A3429" s="106">
        <v>40979</v>
      </c>
      <c r="B3429" s="108" t="s">
        <v>8806</v>
      </c>
      <c r="C3429" s="110" t="s">
        <v>5906</v>
      </c>
      <c r="D3429" s="111">
        <v>1961.82</v>
      </c>
    </row>
    <row r="3430" spans="1:4" x14ac:dyDescent="0.25">
      <c r="A3430" s="106">
        <v>4230</v>
      </c>
      <c r="B3430" s="108" t="s">
        <v>8807</v>
      </c>
      <c r="C3430" s="110" t="s">
        <v>5759</v>
      </c>
      <c r="D3430" s="111">
        <v>9.42</v>
      </c>
    </row>
    <row r="3431" spans="1:4" ht="25.5" x14ac:dyDescent="0.25">
      <c r="A3431" s="106">
        <v>40998</v>
      </c>
      <c r="B3431" s="108" t="s">
        <v>8808</v>
      </c>
      <c r="C3431" s="110" t="s">
        <v>5906</v>
      </c>
      <c r="D3431" s="111">
        <v>1670.53</v>
      </c>
    </row>
    <row r="3432" spans="1:4" x14ac:dyDescent="0.25">
      <c r="A3432" s="106">
        <v>4257</v>
      </c>
      <c r="B3432" s="108" t="s">
        <v>8809</v>
      </c>
      <c r="C3432" s="110" t="s">
        <v>5759</v>
      </c>
      <c r="D3432" s="111">
        <v>7.41</v>
      </c>
    </row>
    <row r="3433" spans="1:4" x14ac:dyDescent="0.25">
      <c r="A3433" s="106">
        <v>40982</v>
      </c>
      <c r="B3433" s="108" t="s">
        <v>8810</v>
      </c>
      <c r="C3433" s="110" t="s">
        <v>5906</v>
      </c>
      <c r="D3433" s="111">
        <v>1316.94</v>
      </c>
    </row>
    <row r="3434" spans="1:4" x14ac:dyDescent="0.25">
      <c r="A3434" s="106">
        <v>4240</v>
      </c>
      <c r="B3434" s="108" t="s">
        <v>8811</v>
      </c>
      <c r="C3434" s="110" t="s">
        <v>5759</v>
      </c>
      <c r="D3434" s="111">
        <v>11.46</v>
      </c>
    </row>
    <row r="3435" spans="1:4" x14ac:dyDescent="0.25">
      <c r="A3435" s="106">
        <v>41026</v>
      </c>
      <c r="B3435" s="108" t="s">
        <v>8812</v>
      </c>
      <c r="C3435" s="110" t="s">
        <v>5906</v>
      </c>
      <c r="D3435" s="111">
        <v>2034.57</v>
      </c>
    </row>
    <row r="3436" spans="1:4" x14ac:dyDescent="0.25">
      <c r="A3436" s="106">
        <v>4239</v>
      </c>
      <c r="B3436" s="108" t="s">
        <v>8813</v>
      </c>
      <c r="C3436" s="110" t="s">
        <v>5759</v>
      </c>
      <c r="D3436" s="111">
        <v>14.08</v>
      </c>
    </row>
    <row r="3437" spans="1:4" x14ac:dyDescent="0.25">
      <c r="A3437" s="106">
        <v>41024</v>
      </c>
      <c r="B3437" s="108" t="s">
        <v>8814</v>
      </c>
      <c r="C3437" s="110" t="s">
        <v>5906</v>
      </c>
      <c r="D3437" s="111">
        <v>2496.04</v>
      </c>
    </row>
    <row r="3438" spans="1:4" x14ac:dyDescent="0.25">
      <c r="A3438" s="106">
        <v>4248</v>
      </c>
      <c r="B3438" s="108" t="s">
        <v>8815</v>
      </c>
      <c r="C3438" s="110" t="s">
        <v>5759</v>
      </c>
      <c r="D3438" s="111">
        <v>10.27</v>
      </c>
    </row>
    <row r="3439" spans="1:4" x14ac:dyDescent="0.25">
      <c r="A3439" s="106">
        <v>41033</v>
      </c>
      <c r="B3439" s="108" t="s">
        <v>8816</v>
      </c>
      <c r="C3439" s="110" t="s">
        <v>5906</v>
      </c>
      <c r="D3439" s="111">
        <v>1822.76</v>
      </c>
    </row>
    <row r="3440" spans="1:4" x14ac:dyDescent="0.25">
      <c r="A3440" s="106">
        <v>25959</v>
      </c>
      <c r="B3440" s="108" t="s">
        <v>10702</v>
      </c>
      <c r="C3440" s="110" t="s">
        <v>5759</v>
      </c>
      <c r="D3440" s="111">
        <v>11.85</v>
      </c>
    </row>
    <row r="3441" spans="1:4" ht="25.5" x14ac:dyDescent="0.25">
      <c r="A3441" s="106">
        <v>41040</v>
      </c>
      <c r="B3441" s="108" t="s">
        <v>10703</v>
      </c>
      <c r="C3441" s="110" t="s">
        <v>5906</v>
      </c>
      <c r="D3441" s="111">
        <v>2100.4899999999998</v>
      </c>
    </row>
    <row r="3442" spans="1:4" x14ac:dyDescent="0.25">
      <c r="A3442" s="106">
        <v>4238</v>
      </c>
      <c r="B3442" s="108" t="s">
        <v>8817</v>
      </c>
      <c r="C3442" s="110" t="s">
        <v>5759</v>
      </c>
      <c r="D3442" s="111">
        <v>9.42</v>
      </c>
    </row>
    <row r="3443" spans="1:4" x14ac:dyDescent="0.25">
      <c r="A3443" s="106">
        <v>41012</v>
      </c>
      <c r="B3443" s="108" t="s">
        <v>8818</v>
      </c>
      <c r="C3443" s="110" t="s">
        <v>5906</v>
      </c>
      <c r="D3443" s="111">
        <v>1670.53</v>
      </c>
    </row>
    <row r="3444" spans="1:4" x14ac:dyDescent="0.25">
      <c r="A3444" s="106">
        <v>4237</v>
      </c>
      <c r="B3444" s="108" t="s">
        <v>8819</v>
      </c>
      <c r="C3444" s="110" t="s">
        <v>5759</v>
      </c>
      <c r="D3444" s="111">
        <v>9.49</v>
      </c>
    </row>
    <row r="3445" spans="1:4" x14ac:dyDescent="0.25">
      <c r="A3445" s="106">
        <v>41002</v>
      </c>
      <c r="B3445" s="108" t="s">
        <v>8820</v>
      </c>
      <c r="C3445" s="110" t="s">
        <v>5906</v>
      </c>
      <c r="D3445" s="111">
        <v>1683.68</v>
      </c>
    </row>
    <row r="3446" spans="1:4" x14ac:dyDescent="0.25">
      <c r="A3446" s="106">
        <v>4233</v>
      </c>
      <c r="B3446" s="108" t="s">
        <v>8821</v>
      </c>
      <c r="C3446" s="110" t="s">
        <v>5759</v>
      </c>
      <c r="D3446" s="111">
        <v>10.17</v>
      </c>
    </row>
    <row r="3447" spans="1:4" ht="25.5" x14ac:dyDescent="0.25">
      <c r="A3447" s="106">
        <v>41001</v>
      </c>
      <c r="B3447" s="108" t="s">
        <v>8822</v>
      </c>
      <c r="C3447" s="110" t="s">
        <v>5906</v>
      </c>
      <c r="D3447" s="111">
        <v>1803.82</v>
      </c>
    </row>
    <row r="3448" spans="1:4" x14ac:dyDescent="0.25">
      <c r="A3448" s="106">
        <v>2</v>
      </c>
      <c r="B3448" s="108" t="s">
        <v>8823</v>
      </c>
      <c r="C3448" s="110" t="s">
        <v>5902</v>
      </c>
      <c r="D3448" s="111">
        <v>14.36</v>
      </c>
    </row>
    <row r="3449" spans="1:4" ht="38.25" x14ac:dyDescent="0.25">
      <c r="A3449" s="106">
        <v>36517</v>
      </c>
      <c r="B3449" s="108" t="s">
        <v>10704</v>
      </c>
      <c r="C3449" s="110" t="s">
        <v>5755</v>
      </c>
      <c r="D3449" s="111">
        <v>341843.94</v>
      </c>
    </row>
    <row r="3450" spans="1:4" ht="38.25" x14ac:dyDescent="0.25">
      <c r="A3450" s="106">
        <v>4262</v>
      </c>
      <c r="B3450" s="108" t="s">
        <v>10705</v>
      </c>
      <c r="C3450" s="110" t="s">
        <v>5755</v>
      </c>
      <c r="D3450" s="111">
        <v>384959.4</v>
      </c>
    </row>
    <row r="3451" spans="1:4" ht="38.25" x14ac:dyDescent="0.25">
      <c r="A3451" s="106">
        <v>4263</v>
      </c>
      <c r="B3451" s="108" t="s">
        <v>10706</v>
      </c>
      <c r="C3451" s="110" t="s">
        <v>5755</v>
      </c>
      <c r="D3451" s="111">
        <v>533810.34</v>
      </c>
    </row>
    <row r="3452" spans="1:4" ht="38.25" x14ac:dyDescent="0.25">
      <c r="A3452" s="106">
        <v>36518</v>
      </c>
      <c r="B3452" s="108" t="s">
        <v>10707</v>
      </c>
      <c r="C3452" s="110" t="s">
        <v>5755</v>
      </c>
      <c r="D3452" s="111">
        <v>607722.54</v>
      </c>
    </row>
    <row r="3453" spans="1:4" ht="25.5" x14ac:dyDescent="0.25">
      <c r="A3453" s="106">
        <v>14221</v>
      </c>
      <c r="B3453" s="108" t="s">
        <v>10708</v>
      </c>
      <c r="C3453" s="110" t="s">
        <v>5755</v>
      </c>
      <c r="D3453" s="111">
        <v>354675.91</v>
      </c>
    </row>
    <row r="3454" spans="1:4" x14ac:dyDescent="0.25">
      <c r="A3454" s="106">
        <v>38402</v>
      </c>
      <c r="B3454" s="108" t="s">
        <v>8824</v>
      </c>
      <c r="C3454" s="110" t="s">
        <v>5755</v>
      </c>
      <c r="D3454" s="111">
        <v>10.64</v>
      </c>
    </row>
    <row r="3455" spans="1:4" ht="25.5" x14ac:dyDescent="0.25">
      <c r="A3455" s="106">
        <v>3412</v>
      </c>
      <c r="B3455" s="108" t="s">
        <v>8825</v>
      </c>
      <c r="C3455" s="110" t="s">
        <v>5757</v>
      </c>
      <c r="D3455" s="111">
        <v>13.77</v>
      </c>
    </row>
    <row r="3456" spans="1:4" ht="25.5" x14ac:dyDescent="0.25">
      <c r="A3456" s="106">
        <v>3413</v>
      </c>
      <c r="B3456" s="108" t="s">
        <v>426</v>
      </c>
      <c r="C3456" s="110" t="s">
        <v>5757</v>
      </c>
      <c r="D3456" s="111">
        <v>31</v>
      </c>
    </row>
    <row r="3457" spans="1:4" ht="25.5" x14ac:dyDescent="0.25">
      <c r="A3457" s="106">
        <v>39744</v>
      </c>
      <c r="B3457" s="108" t="s">
        <v>8826</v>
      </c>
      <c r="C3457" s="110" t="s">
        <v>5757</v>
      </c>
      <c r="D3457" s="111">
        <v>24.07</v>
      </c>
    </row>
    <row r="3458" spans="1:4" ht="25.5" x14ac:dyDescent="0.25">
      <c r="A3458" s="106">
        <v>39745</v>
      </c>
      <c r="B3458" s="108" t="s">
        <v>8827</v>
      </c>
      <c r="C3458" s="110" t="s">
        <v>5757</v>
      </c>
      <c r="D3458" s="111">
        <v>50.81</v>
      </c>
    </row>
    <row r="3459" spans="1:4" ht="25.5" x14ac:dyDescent="0.25">
      <c r="A3459" s="106">
        <v>39637</v>
      </c>
      <c r="B3459" s="108" t="s">
        <v>8828</v>
      </c>
      <c r="C3459" s="110" t="s">
        <v>5757</v>
      </c>
      <c r="D3459" s="111">
        <v>66.55</v>
      </c>
    </row>
    <row r="3460" spans="1:4" ht="25.5" x14ac:dyDescent="0.25">
      <c r="A3460" s="106">
        <v>39638</v>
      </c>
      <c r="B3460" s="108" t="s">
        <v>8829</v>
      </c>
      <c r="C3460" s="110" t="s">
        <v>5757</v>
      </c>
      <c r="D3460" s="111">
        <v>123.93</v>
      </c>
    </row>
    <row r="3461" spans="1:4" ht="25.5" x14ac:dyDescent="0.25">
      <c r="A3461" s="106">
        <v>39639</v>
      </c>
      <c r="B3461" s="108" t="s">
        <v>8830</v>
      </c>
      <c r="C3461" s="110" t="s">
        <v>5757</v>
      </c>
      <c r="D3461" s="111">
        <v>163.38999999999999</v>
      </c>
    </row>
    <row r="3462" spans="1:4" ht="63.75" x14ac:dyDescent="0.25">
      <c r="A3462" s="106">
        <v>39517</v>
      </c>
      <c r="B3462" s="108" t="s">
        <v>10709</v>
      </c>
      <c r="C3462" s="110" t="s">
        <v>5757</v>
      </c>
      <c r="D3462" s="111">
        <v>143.47</v>
      </c>
    </row>
    <row r="3463" spans="1:4" ht="63.75" x14ac:dyDescent="0.25">
      <c r="A3463" s="106">
        <v>39518</v>
      </c>
      <c r="B3463" s="108" t="s">
        <v>10710</v>
      </c>
      <c r="C3463" s="110" t="s">
        <v>5757</v>
      </c>
      <c r="D3463" s="111">
        <v>170.09</v>
      </c>
    </row>
    <row r="3464" spans="1:4" x14ac:dyDescent="0.25">
      <c r="A3464" s="106">
        <v>38366</v>
      </c>
      <c r="B3464" s="108" t="s">
        <v>8831</v>
      </c>
      <c r="C3464" s="110" t="s">
        <v>5757</v>
      </c>
      <c r="D3464" s="111">
        <v>3.82</v>
      </c>
    </row>
    <row r="3465" spans="1:4" x14ac:dyDescent="0.25">
      <c r="A3465" s="106">
        <v>11703</v>
      </c>
      <c r="B3465" s="108" t="s">
        <v>8832</v>
      </c>
      <c r="C3465" s="110" t="s">
        <v>5755</v>
      </c>
      <c r="D3465" s="111">
        <v>24.1</v>
      </c>
    </row>
    <row r="3466" spans="1:4" x14ac:dyDescent="0.25">
      <c r="A3466" s="106">
        <v>37400</v>
      </c>
      <c r="B3466" s="108" t="s">
        <v>643</v>
      </c>
      <c r="C3466" s="110" t="s">
        <v>5755</v>
      </c>
      <c r="D3466" s="111">
        <v>48.15</v>
      </c>
    </row>
    <row r="3467" spans="1:4" ht="25.5" x14ac:dyDescent="0.25">
      <c r="A3467" s="106">
        <v>25400</v>
      </c>
      <c r="B3467" s="108" t="s">
        <v>8833</v>
      </c>
      <c r="C3467" s="110" t="s">
        <v>5755</v>
      </c>
      <c r="D3467" s="111">
        <v>1116.58</v>
      </c>
    </row>
    <row r="3468" spans="1:4" ht="25.5" x14ac:dyDescent="0.25">
      <c r="A3468" s="106">
        <v>4272</v>
      </c>
      <c r="B3468" s="108" t="s">
        <v>8834</v>
      </c>
      <c r="C3468" s="110" t="s">
        <v>5755</v>
      </c>
      <c r="D3468" s="111">
        <v>87.3</v>
      </c>
    </row>
    <row r="3469" spans="1:4" ht="25.5" x14ac:dyDescent="0.25">
      <c r="A3469" s="106">
        <v>4276</v>
      </c>
      <c r="B3469" s="108" t="s">
        <v>8835</v>
      </c>
      <c r="C3469" s="110" t="s">
        <v>5755</v>
      </c>
      <c r="D3469" s="111">
        <v>257.68</v>
      </c>
    </row>
    <row r="3470" spans="1:4" ht="25.5" x14ac:dyDescent="0.25">
      <c r="A3470" s="106">
        <v>4273</v>
      </c>
      <c r="B3470" s="108" t="s">
        <v>8836</v>
      </c>
      <c r="C3470" s="110" t="s">
        <v>5755</v>
      </c>
      <c r="D3470" s="111">
        <v>428.06</v>
      </c>
    </row>
    <row r="3471" spans="1:4" ht="38.25" x14ac:dyDescent="0.25">
      <c r="A3471" s="106">
        <v>4274</v>
      </c>
      <c r="B3471" s="108" t="s">
        <v>536</v>
      </c>
      <c r="C3471" s="110" t="s">
        <v>5755</v>
      </c>
      <c r="D3471" s="111">
        <v>99.26</v>
      </c>
    </row>
    <row r="3472" spans="1:4" ht="38.25" x14ac:dyDescent="0.25">
      <c r="A3472" s="106">
        <v>39438</v>
      </c>
      <c r="B3472" s="108" t="s">
        <v>8837</v>
      </c>
      <c r="C3472" s="110" t="s">
        <v>5755</v>
      </c>
      <c r="D3472" s="111">
        <v>0.18</v>
      </c>
    </row>
    <row r="3473" spans="1:4" ht="25.5" x14ac:dyDescent="0.25">
      <c r="A3473" s="106">
        <v>11963</v>
      </c>
      <c r="B3473" s="108" t="s">
        <v>8838</v>
      </c>
      <c r="C3473" s="110" t="s">
        <v>5755</v>
      </c>
      <c r="D3473" s="111">
        <v>6.56</v>
      </c>
    </row>
    <row r="3474" spans="1:4" ht="25.5" x14ac:dyDescent="0.25">
      <c r="A3474" s="106">
        <v>11964</v>
      </c>
      <c r="B3474" s="108" t="s">
        <v>495</v>
      </c>
      <c r="C3474" s="110" t="s">
        <v>5755</v>
      </c>
      <c r="D3474" s="111">
        <v>1.65</v>
      </c>
    </row>
    <row r="3475" spans="1:4" ht="25.5" x14ac:dyDescent="0.25">
      <c r="A3475" s="106">
        <v>4379</v>
      </c>
      <c r="B3475" s="108" t="s">
        <v>8839</v>
      </c>
      <c r="C3475" s="110" t="s">
        <v>5755</v>
      </c>
      <c r="D3475" s="111">
        <v>0.03</v>
      </c>
    </row>
    <row r="3476" spans="1:4" ht="25.5" x14ac:dyDescent="0.25">
      <c r="A3476" s="106">
        <v>4377</v>
      </c>
      <c r="B3476" s="108" t="s">
        <v>534</v>
      </c>
      <c r="C3476" s="110" t="s">
        <v>5755</v>
      </c>
      <c r="D3476" s="111">
        <v>0.13</v>
      </c>
    </row>
    <row r="3477" spans="1:4" ht="25.5" x14ac:dyDescent="0.25">
      <c r="A3477" s="106">
        <v>4356</v>
      </c>
      <c r="B3477" s="108" t="s">
        <v>8840</v>
      </c>
      <c r="C3477" s="110" t="s">
        <v>5755</v>
      </c>
      <c r="D3477" s="111">
        <v>0.18</v>
      </c>
    </row>
    <row r="3478" spans="1:4" ht="38.25" x14ac:dyDescent="0.25">
      <c r="A3478" s="106">
        <v>13246</v>
      </c>
      <c r="B3478" s="108" t="s">
        <v>8841</v>
      </c>
      <c r="C3478" s="110" t="s">
        <v>5755</v>
      </c>
      <c r="D3478" s="111">
        <v>0.31</v>
      </c>
    </row>
    <row r="3479" spans="1:4" ht="38.25" x14ac:dyDescent="0.25">
      <c r="A3479" s="106">
        <v>4346</v>
      </c>
      <c r="B3479" s="108" t="s">
        <v>673</v>
      </c>
      <c r="C3479" s="110" t="s">
        <v>5755</v>
      </c>
      <c r="D3479" s="111">
        <v>7.03</v>
      </c>
    </row>
    <row r="3480" spans="1:4" ht="38.25" x14ac:dyDescent="0.25">
      <c r="A3480" s="106">
        <v>11955</v>
      </c>
      <c r="B3480" s="108" t="s">
        <v>8842</v>
      </c>
      <c r="C3480" s="110" t="s">
        <v>5755</v>
      </c>
      <c r="D3480" s="111">
        <v>3.07</v>
      </c>
    </row>
    <row r="3481" spans="1:4" ht="25.5" x14ac:dyDescent="0.25">
      <c r="A3481" s="106">
        <v>11960</v>
      </c>
      <c r="B3481" s="108" t="s">
        <v>8843</v>
      </c>
      <c r="C3481" s="110" t="s">
        <v>5755</v>
      </c>
      <c r="D3481" s="111">
        <v>0.1</v>
      </c>
    </row>
    <row r="3482" spans="1:4" ht="25.5" x14ac:dyDescent="0.25">
      <c r="A3482" s="106">
        <v>4333</v>
      </c>
      <c r="B3482" s="108" t="s">
        <v>8844</v>
      </c>
      <c r="C3482" s="110" t="s">
        <v>5755</v>
      </c>
      <c r="D3482" s="111">
        <v>0.18</v>
      </c>
    </row>
    <row r="3483" spans="1:4" ht="25.5" x14ac:dyDescent="0.25">
      <c r="A3483" s="106">
        <v>4358</v>
      </c>
      <c r="B3483" s="108" t="s">
        <v>8845</v>
      </c>
      <c r="C3483" s="110" t="s">
        <v>5755</v>
      </c>
      <c r="D3483" s="111">
        <v>1.4</v>
      </c>
    </row>
    <row r="3484" spans="1:4" ht="25.5" x14ac:dyDescent="0.25">
      <c r="A3484" s="106">
        <v>39435</v>
      </c>
      <c r="B3484" s="108" t="s">
        <v>8846</v>
      </c>
      <c r="C3484" s="110" t="s">
        <v>5755</v>
      </c>
      <c r="D3484" s="111">
        <v>7.0000000000000007E-2</v>
      </c>
    </row>
    <row r="3485" spans="1:4" ht="25.5" x14ac:dyDescent="0.25">
      <c r="A3485" s="106">
        <v>39436</v>
      </c>
      <c r="B3485" s="108" t="s">
        <v>430</v>
      </c>
      <c r="C3485" s="110" t="s">
        <v>5755</v>
      </c>
      <c r="D3485" s="111">
        <v>0.12</v>
      </c>
    </row>
    <row r="3486" spans="1:4" ht="25.5" x14ac:dyDescent="0.25">
      <c r="A3486" s="106">
        <v>39437</v>
      </c>
      <c r="B3486" s="108" t="s">
        <v>8847</v>
      </c>
      <c r="C3486" s="110" t="s">
        <v>5755</v>
      </c>
      <c r="D3486" s="111">
        <v>0.16</v>
      </c>
    </row>
    <row r="3487" spans="1:4" ht="25.5" x14ac:dyDescent="0.25">
      <c r="A3487" s="106">
        <v>39439</v>
      </c>
      <c r="B3487" s="108" t="s">
        <v>8848</v>
      </c>
      <c r="C3487" s="110" t="s">
        <v>5755</v>
      </c>
      <c r="D3487" s="111">
        <v>0.1</v>
      </c>
    </row>
    <row r="3488" spans="1:4" ht="25.5" x14ac:dyDescent="0.25">
      <c r="A3488" s="106">
        <v>39440</v>
      </c>
      <c r="B3488" s="108" t="s">
        <v>8849</v>
      </c>
      <c r="C3488" s="110" t="s">
        <v>5755</v>
      </c>
      <c r="D3488" s="111">
        <v>0.14000000000000001</v>
      </c>
    </row>
    <row r="3489" spans="1:4" ht="25.5" x14ac:dyDescent="0.25">
      <c r="A3489" s="106">
        <v>39441</v>
      </c>
      <c r="B3489" s="108" t="s">
        <v>8850</v>
      </c>
      <c r="C3489" s="110" t="s">
        <v>5755</v>
      </c>
      <c r="D3489" s="111">
        <v>0.17</v>
      </c>
    </row>
    <row r="3490" spans="1:4" ht="25.5" x14ac:dyDescent="0.25">
      <c r="A3490" s="106">
        <v>39442</v>
      </c>
      <c r="B3490" s="108" t="s">
        <v>429</v>
      </c>
      <c r="C3490" s="110" t="s">
        <v>5755</v>
      </c>
      <c r="D3490" s="111">
        <v>0.12</v>
      </c>
    </row>
    <row r="3491" spans="1:4" ht="25.5" x14ac:dyDescent="0.25">
      <c r="A3491" s="106">
        <v>39443</v>
      </c>
      <c r="B3491" s="108" t="s">
        <v>8851</v>
      </c>
      <c r="C3491" s="110" t="s">
        <v>5755</v>
      </c>
      <c r="D3491" s="111">
        <v>0.16</v>
      </c>
    </row>
    <row r="3492" spans="1:4" ht="25.5" x14ac:dyDescent="0.25">
      <c r="A3492" s="106">
        <v>4329</v>
      </c>
      <c r="B3492" s="108" t="s">
        <v>8852</v>
      </c>
      <c r="C3492" s="110" t="s">
        <v>5755</v>
      </c>
      <c r="D3492" s="111">
        <v>1.5</v>
      </c>
    </row>
    <row r="3493" spans="1:4" ht="38.25" x14ac:dyDescent="0.25">
      <c r="A3493" s="106">
        <v>4383</v>
      </c>
      <c r="B3493" s="108" t="s">
        <v>8853</v>
      </c>
      <c r="C3493" s="110" t="s">
        <v>5755</v>
      </c>
      <c r="D3493" s="111">
        <v>13.56</v>
      </c>
    </row>
    <row r="3494" spans="1:4" ht="38.25" x14ac:dyDescent="0.25">
      <c r="A3494" s="106">
        <v>4344</v>
      </c>
      <c r="B3494" s="108" t="s">
        <v>8854</v>
      </c>
      <c r="C3494" s="110" t="s">
        <v>5755</v>
      </c>
      <c r="D3494" s="111">
        <v>14.21</v>
      </c>
    </row>
    <row r="3495" spans="1:4" ht="25.5" x14ac:dyDescent="0.25">
      <c r="A3495" s="106">
        <v>436</v>
      </c>
      <c r="B3495" s="108" t="s">
        <v>8855</v>
      </c>
      <c r="C3495" s="110" t="s">
        <v>5755</v>
      </c>
      <c r="D3495" s="111">
        <v>4.82</v>
      </c>
    </row>
    <row r="3496" spans="1:4" ht="25.5" x14ac:dyDescent="0.25">
      <c r="A3496" s="106">
        <v>442</v>
      </c>
      <c r="B3496" s="108" t="s">
        <v>8856</v>
      </c>
      <c r="C3496" s="110" t="s">
        <v>5755</v>
      </c>
      <c r="D3496" s="111">
        <v>2.85</v>
      </c>
    </row>
    <row r="3497" spans="1:4" ht="25.5" x14ac:dyDescent="0.25">
      <c r="A3497" s="106">
        <v>11953</v>
      </c>
      <c r="B3497" s="108" t="s">
        <v>8857</v>
      </c>
      <c r="C3497" s="110" t="s">
        <v>5755</v>
      </c>
      <c r="D3497" s="111">
        <v>2.25</v>
      </c>
    </row>
    <row r="3498" spans="1:4" ht="25.5" x14ac:dyDescent="0.25">
      <c r="A3498" s="106">
        <v>4335</v>
      </c>
      <c r="B3498" s="108" t="s">
        <v>8858</v>
      </c>
      <c r="C3498" s="110" t="s">
        <v>5755</v>
      </c>
      <c r="D3498" s="111">
        <v>9.5399999999999991</v>
      </c>
    </row>
    <row r="3499" spans="1:4" ht="25.5" x14ac:dyDescent="0.25">
      <c r="A3499" s="106">
        <v>4334</v>
      </c>
      <c r="B3499" s="108" t="s">
        <v>8859</v>
      </c>
      <c r="C3499" s="110" t="s">
        <v>5755</v>
      </c>
      <c r="D3499" s="111">
        <v>13.09</v>
      </c>
    </row>
    <row r="3500" spans="1:4" ht="25.5" x14ac:dyDescent="0.25">
      <c r="A3500" s="106">
        <v>4343</v>
      </c>
      <c r="B3500" s="108" t="s">
        <v>8860</v>
      </c>
      <c r="C3500" s="110" t="s">
        <v>5755</v>
      </c>
      <c r="D3500" s="111">
        <v>3.22</v>
      </c>
    </row>
    <row r="3501" spans="1:4" ht="25.5" x14ac:dyDescent="0.25">
      <c r="A3501" s="106">
        <v>430</v>
      </c>
      <c r="B3501" s="108" t="s">
        <v>8861</v>
      </c>
      <c r="C3501" s="110" t="s">
        <v>5755</v>
      </c>
      <c r="D3501" s="111">
        <v>4.3099999999999996</v>
      </c>
    </row>
    <row r="3502" spans="1:4" ht="25.5" x14ac:dyDescent="0.25">
      <c r="A3502" s="106">
        <v>441</v>
      </c>
      <c r="B3502" s="108" t="s">
        <v>8862</v>
      </c>
      <c r="C3502" s="110" t="s">
        <v>5755</v>
      </c>
      <c r="D3502" s="111">
        <v>4.75</v>
      </c>
    </row>
    <row r="3503" spans="1:4" ht="25.5" x14ac:dyDescent="0.25">
      <c r="A3503" s="106">
        <v>431</v>
      </c>
      <c r="B3503" s="108" t="s">
        <v>8863</v>
      </c>
      <c r="C3503" s="110" t="s">
        <v>5755</v>
      </c>
      <c r="D3503" s="111">
        <v>5.73</v>
      </c>
    </row>
    <row r="3504" spans="1:4" ht="25.5" x14ac:dyDescent="0.25">
      <c r="A3504" s="106">
        <v>432</v>
      </c>
      <c r="B3504" s="108" t="s">
        <v>8864</v>
      </c>
      <c r="C3504" s="110" t="s">
        <v>5755</v>
      </c>
      <c r="D3504" s="111">
        <v>6.33</v>
      </c>
    </row>
    <row r="3505" spans="1:4" ht="25.5" x14ac:dyDescent="0.25">
      <c r="A3505" s="106">
        <v>429</v>
      </c>
      <c r="B3505" s="108" t="s">
        <v>8865</v>
      </c>
      <c r="C3505" s="110" t="s">
        <v>5755</v>
      </c>
      <c r="D3505" s="111">
        <v>8.5299999999999994</v>
      </c>
    </row>
    <row r="3506" spans="1:4" ht="25.5" x14ac:dyDescent="0.25">
      <c r="A3506" s="106">
        <v>439</v>
      </c>
      <c r="B3506" s="108" t="s">
        <v>8866</v>
      </c>
      <c r="C3506" s="110" t="s">
        <v>5755</v>
      </c>
      <c r="D3506" s="111">
        <v>7.27</v>
      </c>
    </row>
    <row r="3507" spans="1:4" ht="25.5" x14ac:dyDescent="0.25">
      <c r="A3507" s="106">
        <v>433</v>
      </c>
      <c r="B3507" s="108" t="s">
        <v>8867</v>
      </c>
      <c r="C3507" s="110" t="s">
        <v>5755</v>
      </c>
      <c r="D3507" s="111">
        <v>8.49</v>
      </c>
    </row>
    <row r="3508" spans="1:4" ht="25.5" x14ac:dyDescent="0.25">
      <c r="A3508" s="106">
        <v>437</v>
      </c>
      <c r="B3508" s="108" t="s">
        <v>8868</v>
      </c>
      <c r="C3508" s="110" t="s">
        <v>5755</v>
      </c>
      <c r="D3508" s="111">
        <v>11.28</v>
      </c>
    </row>
    <row r="3509" spans="1:4" ht="25.5" x14ac:dyDescent="0.25">
      <c r="A3509" s="106">
        <v>11790</v>
      </c>
      <c r="B3509" s="108" t="s">
        <v>8869</v>
      </c>
      <c r="C3509" s="110" t="s">
        <v>5755</v>
      </c>
      <c r="D3509" s="111">
        <v>12.79</v>
      </c>
    </row>
    <row r="3510" spans="1:4" ht="38.25" x14ac:dyDescent="0.25">
      <c r="A3510" s="106">
        <v>428</v>
      </c>
      <c r="B3510" s="108" t="s">
        <v>8870</v>
      </c>
      <c r="C3510" s="110" t="s">
        <v>5755</v>
      </c>
      <c r="D3510" s="111">
        <v>13.91</v>
      </c>
    </row>
    <row r="3511" spans="1:4" ht="38.25" x14ac:dyDescent="0.25">
      <c r="A3511" s="106">
        <v>4384</v>
      </c>
      <c r="B3511" s="108" t="s">
        <v>554</v>
      </c>
      <c r="C3511" s="110" t="s">
        <v>5755</v>
      </c>
      <c r="D3511" s="111">
        <v>15.58</v>
      </c>
    </row>
    <row r="3512" spans="1:4" ht="38.25" x14ac:dyDescent="0.25">
      <c r="A3512" s="106">
        <v>4351</v>
      </c>
      <c r="B3512" s="108" t="s">
        <v>8871</v>
      </c>
      <c r="C3512" s="110" t="s">
        <v>5755</v>
      </c>
      <c r="D3512" s="111">
        <v>11.55</v>
      </c>
    </row>
    <row r="3513" spans="1:4" ht="25.5" x14ac:dyDescent="0.25">
      <c r="A3513" s="106">
        <v>11054</v>
      </c>
      <c r="B3513" s="108" t="s">
        <v>8872</v>
      </c>
      <c r="C3513" s="110" t="s">
        <v>5755</v>
      </c>
      <c r="D3513" s="111">
        <v>0.02</v>
      </c>
    </row>
    <row r="3514" spans="1:4" ht="25.5" x14ac:dyDescent="0.25">
      <c r="A3514" s="106">
        <v>11055</v>
      </c>
      <c r="B3514" s="108" t="s">
        <v>8873</v>
      </c>
      <c r="C3514" s="110" t="s">
        <v>5755</v>
      </c>
      <c r="D3514" s="111">
        <v>0.04</v>
      </c>
    </row>
    <row r="3515" spans="1:4" ht="25.5" x14ac:dyDescent="0.25">
      <c r="A3515" s="106">
        <v>11056</v>
      </c>
      <c r="B3515" s="108" t="s">
        <v>8874</v>
      </c>
      <c r="C3515" s="110" t="s">
        <v>5755</v>
      </c>
      <c r="D3515" s="111">
        <v>0.05</v>
      </c>
    </row>
    <row r="3516" spans="1:4" ht="25.5" x14ac:dyDescent="0.25">
      <c r="A3516" s="106">
        <v>11057</v>
      </c>
      <c r="B3516" s="108" t="s">
        <v>8875</v>
      </c>
      <c r="C3516" s="110" t="s">
        <v>5755</v>
      </c>
      <c r="D3516" s="111">
        <v>0.1</v>
      </c>
    </row>
    <row r="3517" spans="1:4" ht="25.5" x14ac:dyDescent="0.25">
      <c r="A3517" s="106">
        <v>11059</v>
      </c>
      <c r="B3517" s="108" t="s">
        <v>8876</v>
      </c>
      <c r="C3517" s="110" t="s">
        <v>5755</v>
      </c>
      <c r="D3517" s="111">
        <v>0.19</v>
      </c>
    </row>
    <row r="3518" spans="1:4" ht="25.5" x14ac:dyDescent="0.25">
      <c r="A3518" s="106">
        <v>11058</v>
      </c>
      <c r="B3518" s="108" t="s">
        <v>487</v>
      </c>
      <c r="C3518" s="110" t="s">
        <v>5755</v>
      </c>
      <c r="D3518" s="111">
        <v>0.25</v>
      </c>
    </row>
    <row r="3519" spans="1:4" ht="25.5" x14ac:dyDescent="0.25">
      <c r="A3519" s="106">
        <v>4380</v>
      </c>
      <c r="B3519" s="108" t="s">
        <v>8877</v>
      </c>
      <c r="C3519" s="110" t="s">
        <v>5755</v>
      </c>
      <c r="D3519" s="111">
        <v>0.84</v>
      </c>
    </row>
    <row r="3520" spans="1:4" ht="25.5" x14ac:dyDescent="0.25">
      <c r="A3520" s="106">
        <v>4299</v>
      </c>
      <c r="B3520" s="108" t="s">
        <v>8878</v>
      </c>
      <c r="C3520" s="110" t="s">
        <v>5755</v>
      </c>
      <c r="D3520" s="111">
        <v>0.79</v>
      </c>
    </row>
    <row r="3521" spans="1:4" ht="25.5" x14ac:dyDescent="0.25">
      <c r="A3521" s="106">
        <v>4304</v>
      </c>
      <c r="B3521" s="108" t="s">
        <v>8879</v>
      </c>
      <c r="C3521" s="110" t="s">
        <v>5755</v>
      </c>
      <c r="D3521" s="111">
        <v>1.07</v>
      </c>
    </row>
    <row r="3522" spans="1:4" ht="25.5" x14ac:dyDescent="0.25">
      <c r="A3522" s="106">
        <v>4305</v>
      </c>
      <c r="B3522" s="108" t="s">
        <v>8880</v>
      </c>
      <c r="C3522" s="110" t="s">
        <v>5755</v>
      </c>
      <c r="D3522" s="111">
        <v>1.25</v>
      </c>
    </row>
    <row r="3523" spans="1:4" ht="25.5" x14ac:dyDescent="0.25">
      <c r="A3523" s="106">
        <v>4306</v>
      </c>
      <c r="B3523" s="108" t="s">
        <v>8881</v>
      </c>
      <c r="C3523" s="110" t="s">
        <v>5755</v>
      </c>
      <c r="D3523" s="111">
        <v>1.45</v>
      </c>
    </row>
    <row r="3524" spans="1:4" ht="25.5" x14ac:dyDescent="0.25">
      <c r="A3524" s="106">
        <v>4308</v>
      </c>
      <c r="B3524" s="108" t="s">
        <v>8882</v>
      </c>
      <c r="C3524" s="110" t="s">
        <v>5755</v>
      </c>
      <c r="D3524" s="111">
        <v>3</v>
      </c>
    </row>
    <row r="3525" spans="1:4" ht="25.5" x14ac:dyDescent="0.25">
      <c r="A3525" s="106">
        <v>4302</v>
      </c>
      <c r="B3525" s="108" t="s">
        <v>8883</v>
      </c>
      <c r="C3525" s="110" t="s">
        <v>5755</v>
      </c>
      <c r="D3525" s="111">
        <v>2.25</v>
      </c>
    </row>
    <row r="3526" spans="1:4" ht="25.5" x14ac:dyDescent="0.25">
      <c r="A3526" s="106">
        <v>4300</v>
      </c>
      <c r="B3526" s="108" t="s">
        <v>8884</v>
      </c>
      <c r="C3526" s="110" t="s">
        <v>5755</v>
      </c>
      <c r="D3526" s="111">
        <v>0.53</v>
      </c>
    </row>
    <row r="3527" spans="1:4" ht="25.5" x14ac:dyDescent="0.25">
      <c r="A3527" s="106">
        <v>4301</v>
      </c>
      <c r="B3527" s="108" t="s">
        <v>8885</v>
      </c>
      <c r="C3527" s="110" t="s">
        <v>5755</v>
      </c>
      <c r="D3527" s="111">
        <v>0.65</v>
      </c>
    </row>
    <row r="3528" spans="1:4" ht="25.5" x14ac:dyDescent="0.25">
      <c r="A3528" s="106">
        <v>4320</v>
      </c>
      <c r="B3528" s="108" t="s">
        <v>8886</v>
      </c>
      <c r="C3528" s="110" t="s">
        <v>5755</v>
      </c>
      <c r="D3528" s="111">
        <v>1.99</v>
      </c>
    </row>
    <row r="3529" spans="1:4" ht="25.5" x14ac:dyDescent="0.25">
      <c r="A3529" s="106">
        <v>4318</v>
      </c>
      <c r="B3529" s="108" t="s">
        <v>8887</v>
      </c>
      <c r="C3529" s="110" t="s">
        <v>5755</v>
      </c>
      <c r="D3529" s="111">
        <v>0.97</v>
      </c>
    </row>
    <row r="3530" spans="1:4" x14ac:dyDescent="0.25">
      <c r="A3530" s="106">
        <v>40547</v>
      </c>
      <c r="B3530" s="108" t="s">
        <v>10711</v>
      </c>
      <c r="C3530" s="110" t="s">
        <v>7700</v>
      </c>
      <c r="D3530" s="111">
        <v>18.93</v>
      </c>
    </row>
    <row r="3531" spans="1:4" ht="25.5" x14ac:dyDescent="0.25">
      <c r="A3531" s="106">
        <v>11962</v>
      </c>
      <c r="B3531" s="108" t="s">
        <v>8888</v>
      </c>
      <c r="C3531" s="110" t="s">
        <v>5755</v>
      </c>
      <c r="D3531" s="111">
        <v>0.15</v>
      </c>
    </row>
    <row r="3532" spans="1:4" ht="25.5" x14ac:dyDescent="0.25">
      <c r="A3532" s="106">
        <v>4332</v>
      </c>
      <c r="B3532" s="108" t="s">
        <v>8889</v>
      </c>
      <c r="C3532" s="110" t="s">
        <v>5755</v>
      </c>
      <c r="D3532" s="111">
        <v>0.75</v>
      </c>
    </row>
    <row r="3533" spans="1:4" ht="25.5" x14ac:dyDescent="0.25">
      <c r="A3533" s="106">
        <v>4331</v>
      </c>
      <c r="B3533" s="108" t="s">
        <v>8890</v>
      </c>
      <c r="C3533" s="110" t="s">
        <v>5755</v>
      </c>
      <c r="D3533" s="111">
        <v>2.84</v>
      </c>
    </row>
    <row r="3534" spans="1:4" ht="25.5" x14ac:dyDescent="0.25">
      <c r="A3534" s="106">
        <v>4336</v>
      </c>
      <c r="B3534" s="108" t="s">
        <v>8891</v>
      </c>
      <c r="C3534" s="110" t="s">
        <v>5755</v>
      </c>
      <c r="D3534" s="111">
        <v>3.63</v>
      </c>
    </row>
    <row r="3535" spans="1:4" ht="25.5" x14ac:dyDescent="0.25">
      <c r="A3535" s="106">
        <v>13294</v>
      </c>
      <c r="B3535" s="108" t="s">
        <v>8892</v>
      </c>
      <c r="C3535" s="110" t="s">
        <v>5755</v>
      </c>
      <c r="D3535" s="111">
        <v>1.04</v>
      </c>
    </row>
    <row r="3536" spans="1:4" ht="25.5" x14ac:dyDescent="0.25">
      <c r="A3536" s="106">
        <v>11948</v>
      </c>
      <c r="B3536" s="108" t="s">
        <v>8893</v>
      </c>
      <c r="C3536" s="110" t="s">
        <v>5755</v>
      </c>
      <c r="D3536" s="111">
        <v>0.46</v>
      </c>
    </row>
    <row r="3537" spans="1:4" ht="25.5" x14ac:dyDescent="0.25">
      <c r="A3537" s="106">
        <v>4382</v>
      </c>
      <c r="B3537" s="108" t="s">
        <v>8894</v>
      </c>
      <c r="C3537" s="110" t="s">
        <v>5755</v>
      </c>
      <c r="D3537" s="111">
        <v>0.78</v>
      </c>
    </row>
    <row r="3538" spans="1:4" ht="25.5" x14ac:dyDescent="0.25">
      <c r="A3538" s="106">
        <v>4354</v>
      </c>
      <c r="B3538" s="108" t="s">
        <v>8895</v>
      </c>
      <c r="C3538" s="110" t="s">
        <v>5755</v>
      </c>
      <c r="D3538" s="111">
        <v>32.6</v>
      </c>
    </row>
    <row r="3539" spans="1:4" ht="25.5" x14ac:dyDescent="0.25">
      <c r="A3539" s="106">
        <v>40839</v>
      </c>
      <c r="B3539" s="108" t="s">
        <v>8896</v>
      </c>
      <c r="C3539" s="110" t="s">
        <v>7700</v>
      </c>
      <c r="D3539" s="111">
        <v>78.459999999999994</v>
      </c>
    </row>
    <row r="3540" spans="1:4" ht="25.5" x14ac:dyDescent="0.25">
      <c r="A3540" s="106">
        <v>40552</v>
      </c>
      <c r="B3540" s="108" t="s">
        <v>8897</v>
      </c>
      <c r="C3540" s="110" t="s">
        <v>7700</v>
      </c>
      <c r="D3540" s="111">
        <v>32.46</v>
      </c>
    </row>
    <row r="3541" spans="1:4" ht="25.5" x14ac:dyDescent="0.25">
      <c r="A3541" s="106">
        <v>40549</v>
      </c>
      <c r="B3541" s="108" t="s">
        <v>8898</v>
      </c>
      <c r="C3541" s="110" t="s">
        <v>7700</v>
      </c>
      <c r="D3541" s="111">
        <v>128.51</v>
      </c>
    </row>
    <row r="3542" spans="1:4" ht="25.5" x14ac:dyDescent="0.25">
      <c r="A3542" s="106">
        <v>4385</v>
      </c>
      <c r="B3542" s="108" t="s">
        <v>8899</v>
      </c>
      <c r="C3542" s="110" t="s">
        <v>6179</v>
      </c>
      <c r="D3542" s="111">
        <v>1363.5</v>
      </c>
    </row>
    <row r="3543" spans="1:4" x14ac:dyDescent="0.25">
      <c r="A3543" s="106">
        <v>38397</v>
      </c>
      <c r="B3543" s="108" t="s">
        <v>8900</v>
      </c>
      <c r="C3543" s="110" t="s">
        <v>5816</v>
      </c>
      <c r="D3543" s="111">
        <v>5.05</v>
      </c>
    </row>
    <row r="3544" spans="1:4" ht="25.5" x14ac:dyDescent="0.25">
      <c r="A3544" s="106">
        <v>20078</v>
      </c>
      <c r="B3544" s="108" t="s">
        <v>8901</v>
      </c>
      <c r="C3544" s="110" t="s">
        <v>5755</v>
      </c>
      <c r="D3544" s="111">
        <v>30.2</v>
      </c>
    </row>
    <row r="3545" spans="1:4" ht="25.5" x14ac:dyDescent="0.25">
      <c r="A3545" s="106">
        <v>20079</v>
      </c>
      <c r="B3545" s="108" t="s">
        <v>8902</v>
      </c>
      <c r="C3545" s="110" t="s">
        <v>5755</v>
      </c>
      <c r="D3545" s="111">
        <v>188.34</v>
      </c>
    </row>
    <row r="3546" spans="1:4" ht="25.5" x14ac:dyDescent="0.25">
      <c r="A3546" s="106">
        <v>39897</v>
      </c>
      <c r="B3546" s="108" t="s">
        <v>8903</v>
      </c>
      <c r="C3546" s="110" t="s">
        <v>5755</v>
      </c>
      <c r="D3546" s="111">
        <v>34.799999999999997</v>
      </c>
    </row>
    <row r="3547" spans="1:4" ht="25.5" x14ac:dyDescent="0.25">
      <c r="A3547" s="106">
        <v>118</v>
      </c>
      <c r="B3547" s="108" t="s">
        <v>8904</v>
      </c>
      <c r="C3547" s="110" t="s">
        <v>5755</v>
      </c>
      <c r="D3547" s="111">
        <v>114.15</v>
      </c>
    </row>
    <row r="3548" spans="1:4" ht="25.5" x14ac:dyDescent="0.25">
      <c r="A3548" s="106">
        <v>4396</v>
      </c>
      <c r="B3548" s="108" t="s">
        <v>8905</v>
      </c>
      <c r="C3548" s="110" t="s">
        <v>5757</v>
      </c>
      <c r="D3548" s="111">
        <v>142</v>
      </c>
    </row>
    <row r="3549" spans="1:4" ht="25.5" x14ac:dyDescent="0.25">
      <c r="A3549" s="106">
        <v>36881</v>
      </c>
      <c r="B3549" s="108" t="s">
        <v>8906</v>
      </c>
      <c r="C3549" s="110" t="s">
        <v>5757</v>
      </c>
      <c r="D3549" s="111">
        <v>126.89</v>
      </c>
    </row>
    <row r="3550" spans="1:4" ht="25.5" x14ac:dyDescent="0.25">
      <c r="A3550" s="106">
        <v>36882</v>
      </c>
      <c r="B3550" s="108" t="s">
        <v>8907</v>
      </c>
      <c r="C3550" s="110" t="s">
        <v>5757</v>
      </c>
      <c r="D3550" s="111">
        <v>148.04</v>
      </c>
    </row>
    <row r="3551" spans="1:4" ht="25.5" x14ac:dyDescent="0.25">
      <c r="A3551" s="106">
        <v>4397</v>
      </c>
      <c r="B3551" s="108" t="s">
        <v>8908</v>
      </c>
      <c r="C3551" s="110" t="s">
        <v>5757</v>
      </c>
      <c r="D3551" s="111">
        <v>230.27</v>
      </c>
    </row>
    <row r="3552" spans="1:4" ht="25.5" x14ac:dyDescent="0.25">
      <c r="A3552" s="106">
        <v>34754</v>
      </c>
      <c r="B3552" s="108" t="s">
        <v>8909</v>
      </c>
      <c r="C3552" s="110" t="s">
        <v>5757</v>
      </c>
      <c r="D3552" s="111">
        <v>426.38</v>
      </c>
    </row>
    <row r="3553" spans="1:4" ht="38.25" x14ac:dyDescent="0.25">
      <c r="A3553" s="106">
        <v>25962</v>
      </c>
      <c r="B3553" s="108" t="s">
        <v>8910</v>
      </c>
      <c r="C3553" s="110" t="s">
        <v>5757</v>
      </c>
      <c r="D3553" s="111">
        <v>270.05</v>
      </c>
    </row>
    <row r="3554" spans="1:4" ht="25.5" x14ac:dyDescent="0.25">
      <c r="A3554" s="106">
        <v>34752</v>
      </c>
      <c r="B3554" s="108" t="s">
        <v>8911</v>
      </c>
      <c r="C3554" s="110" t="s">
        <v>5757</v>
      </c>
      <c r="D3554" s="111">
        <v>475.55</v>
      </c>
    </row>
    <row r="3555" spans="1:4" x14ac:dyDescent="0.25">
      <c r="A3555" s="106">
        <v>4751</v>
      </c>
      <c r="B3555" s="108" t="s">
        <v>8912</v>
      </c>
      <c r="C3555" s="110" t="s">
        <v>5759</v>
      </c>
      <c r="D3555" s="111">
        <v>14.9</v>
      </c>
    </row>
    <row r="3556" spans="1:4" x14ac:dyDescent="0.25">
      <c r="A3556" s="106">
        <v>41066</v>
      </c>
      <c r="B3556" s="108" t="s">
        <v>8913</v>
      </c>
      <c r="C3556" s="110" t="s">
        <v>5906</v>
      </c>
      <c r="D3556" s="111">
        <v>2643.31</v>
      </c>
    </row>
    <row r="3557" spans="1:4" x14ac:dyDescent="0.25">
      <c r="A3557" s="106">
        <v>39604</v>
      </c>
      <c r="B3557" s="108" t="s">
        <v>8914</v>
      </c>
      <c r="C3557" s="110" t="s">
        <v>5755</v>
      </c>
      <c r="D3557" s="111">
        <v>8.09</v>
      </c>
    </row>
    <row r="3558" spans="1:4" x14ac:dyDescent="0.25">
      <c r="A3558" s="106">
        <v>39605</v>
      </c>
      <c r="B3558" s="108" t="s">
        <v>8915</v>
      </c>
      <c r="C3558" s="110" t="s">
        <v>5755</v>
      </c>
      <c r="D3558" s="111">
        <v>11.23</v>
      </c>
    </row>
    <row r="3559" spans="1:4" x14ac:dyDescent="0.25">
      <c r="A3559" s="106">
        <v>39606</v>
      </c>
      <c r="B3559" s="108" t="s">
        <v>8916</v>
      </c>
      <c r="C3559" s="110" t="s">
        <v>5755</v>
      </c>
      <c r="D3559" s="111">
        <v>14.27</v>
      </c>
    </row>
    <row r="3560" spans="1:4" x14ac:dyDescent="0.25">
      <c r="A3560" s="106">
        <v>39607</v>
      </c>
      <c r="B3560" s="108" t="s">
        <v>8917</v>
      </c>
      <c r="C3560" s="110" t="s">
        <v>5755</v>
      </c>
      <c r="D3560" s="111">
        <v>16.37</v>
      </c>
    </row>
    <row r="3561" spans="1:4" ht="25.5" x14ac:dyDescent="0.25">
      <c r="A3561" s="106">
        <v>39594</v>
      </c>
      <c r="B3561" s="108" t="s">
        <v>8918</v>
      </c>
      <c r="C3561" s="110" t="s">
        <v>5755</v>
      </c>
      <c r="D3561" s="111">
        <v>155</v>
      </c>
    </row>
    <row r="3562" spans="1:4" ht="25.5" x14ac:dyDescent="0.25">
      <c r="A3562" s="106">
        <v>39596</v>
      </c>
      <c r="B3562" s="108" t="s">
        <v>8919</v>
      </c>
      <c r="C3562" s="110" t="s">
        <v>5755</v>
      </c>
      <c r="D3562" s="111">
        <v>270.16000000000003</v>
      </c>
    </row>
    <row r="3563" spans="1:4" ht="25.5" x14ac:dyDescent="0.25">
      <c r="A3563" s="106">
        <v>39595</v>
      </c>
      <c r="B3563" s="108" t="s">
        <v>8920</v>
      </c>
      <c r="C3563" s="110" t="s">
        <v>5755</v>
      </c>
      <c r="D3563" s="111">
        <v>226.77</v>
      </c>
    </row>
    <row r="3564" spans="1:4" ht="25.5" x14ac:dyDescent="0.25">
      <c r="A3564" s="106">
        <v>39597</v>
      </c>
      <c r="B3564" s="108" t="s">
        <v>8921</v>
      </c>
      <c r="C3564" s="110" t="s">
        <v>5755</v>
      </c>
      <c r="D3564" s="111">
        <v>364.32</v>
      </c>
    </row>
    <row r="3565" spans="1:4" ht="25.5" x14ac:dyDescent="0.25">
      <c r="A3565" s="106">
        <v>20209</v>
      </c>
      <c r="B3565" s="108" t="s">
        <v>8922</v>
      </c>
      <c r="C3565" s="110" t="s">
        <v>5767</v>
      </c>
      <c r="D3565" s="111">
        <v>9.5399999999999991</v>
      </c>
    </row>
    <row r="3566" spans="1:4" ht="25.5" x14ac:dyDescent="0.25">
      <c r="A3566" s="106">
        <v>4433</v>
      </c>
      <c r="B3566" s="108" t="s">
        <v>403</v>
      </c>
      <c r="C3566" s="110" t="s">
        <v>5767</v>
      </c>
      <c r="D3566" s="111">
        <v>6.94</v>
      </c>
    </row>
    <row r="3567" spans="1:4" x14ac:dyDescent="0.25">
      <c r="A3567" s="106">
        <v>10731</v>
      </c>
      <c r="B3567" s="108" t="s">
        <v>8923</v>
      </c>
      <c r="C3567" s="110" t="s">
        <v>5757</v>
      </c>
      <c r="D3567" s="111">
        <v>24.61</v>
      </c>
    </row>
    <row r="3568" spans="1:4" x14ac:dyDescent="0.25">
      <c r="A3568" s="106">
        <v>4704</v>
      </c>
      <c r="B3568" s="108" t="s">
        <v>8924</v>
      </c>
      <c r="C3568" s="110" t="s">
        <v>5757</v>
      </c>
      <c r="D3568" s="111">
        <v>22.21</v>
      </c>
    </row>
    <row r="3569" spans="1:4" x14ac:dyDescent="0.25">
      <c r="A3569" s="106">
        <v>10730</v>
      </c>
      <c r="B3569" s="108" t="s">
        <v>8925</v>
      </c>
      <c r="C3569" s="110" t="s">
        <v>5757</v>
      </c>
      <c r="D3569" s="111">
        <v>23.79</v>
      </c>
    </row>
    <row r="3570" spans="1:4" ht="25.5" x14ac:dyDescent="0.25">
      <c r="A3570" s="106">
        <v>4729</v>
      </c>
      <c r="B3570" s="108" t="s">
        <v>8926</v>
      </c>
      <c r="C3570" s="110" t="s">
        <v>5902</v>
      </c>
      <c r="D3570" s="111">
        <v>93.42</v>
      </c>
    </row>
    <row r="3571" spans="1:4" ht="25.5" x14ac:dyDescent="0.25">
      <c r="A3571" s="106">
        <v>4720</v>
      </c>
      <c r="B3571" s="108" t="s">
        <v>8927</v>
      </c>
      <c r="C3571" s="110" t="s">
        <v>5902</v>
      </c>
      <c r="D3571" s="111">
        <v>102.15</v>
      </c>
    </row>
    <row r="3572" spans="1:4" ht="25.5" x14ac:dyDescent="0.25">
      <c r="A3572" s="106">
        <v>4721</v>
      </c>
      <c r="B3572" s="108" t="s">
        <v>457</v>
      </c>
      <c r="C3572" s="110" t="s">
        <v>5902</v>
      </c>
      <c r="D3572" s="111">
        <v>80</v>
      </c>
    </row>
    <row r="3573" spans="1:4" ht="25.5" x14ac:dyDescent="0.25">
      <c r="A3573" s="106">
        <v>4718</v>
      </c>
      <c r="B3573" s="108" t="s">
        <v>8928</v>
      </c>
      <c r="C3573" s="110" t="s">
        <v>5902</v>
      </c>
      <c r="D3573" s="111">
        <v>80</v>
      </c>
    </row>
    <row r="3574" spans="1:4" ht="25.5" x14ac:dyDescent="0.25">
      <c r="A3574" s="106">
        <v>4722</v>
      </c>
      <c r="B3574" s="108" t="s">
        <v>8929</v>
      </c>
      <c r="C3574" s="110" t="s">
        <v>5902</v>
      </c>
      <c r="D3574" s="111">
        <v>80</v>
      </c>
    </row>
    <row r="3575" spans="1:4" ht="25.5" x14ac:dyDescent="0.25">
      <c r="A3575" s="106">
        <v>4723</v>
      </c>
      <c r="B3575" s="108" t="s">
        <v>8930</v>
      </c>
      <c r="C3575" s="110" t="s">
        <v>5902</v>
      </c>
      <c r="D3575" s="111">
        <v>87.28</v>
      </c>
    </row>
    <row r="3576" spans="1:4" ht="25.5" x14ac:dyDescent="0.25">
      <c r="A3576" s="106">
        <v>4727</v>
      </c>
      <c r="B3576" s="108" t="s">
        <v>8931</v>
      </c>
      <c r="C3576" s="110" t="s">
        <v>5902</v>
      </c>
      <c r="D3576" s="111">
        <v>89.7</v>
      </c>
    </row>
    <row r="3577" spans="1:4" ht="25.5" x14ac:dyDescent="0.25">
      <c r="A3577" s="106">
        <v>4748</v>
      </c>
      <c r="B3577" s="108" t="s">
        <v>8932</v>
      </c>
      <c r="C3577" s="110" t="s">
        <v>5902</v>
      </c>
      <c r="D3577" s="111">
        <v>86.55</v>
      </c>
    </row>
    <row r="3578" spans="1:4" ht="25.5" x14ac:dyDescent="0.25">
      <c r="A3578" s="106">
        <v>4730</v>
      </c>
      <c r="B3578" s="108" t="s">
        <v>8933</v>
      </c>
      <c r="C3578" s="110" t="s">
        <v>5902</v>
      </c>
      <c r="D3578" s="111">
        <v>83.64</v>
      </c>
    </row>
    <row r="3579" spans="1:4" ht="38.25" x14ac:dyDescent="0.25">
      <c r="A3579" s="106">
        <v>13186</v>
      </c>
      <c r="B3579" s="108" t="s">
        <v>8934</v>
      </c>
      <c r="C3579" s="110" t="s">
        <v>5902</v>
      </c>
      <c r="D3579" s="111">
        <v>81.09</v>
      </c>
    </row>
    <row r="3580" spans="1:4" ht="38.25" x14ac:dyDescent="0.25">
      <c r="A3580" s="106">
        <v>10737</v>
      </c>
      <c r="B3580" s="108" t="s">
        <v>8935</v>
      </c>
      <c r="C3580" s="110" t="s">
        <v>5757</v>
      </c>
      <c r="D3580" s="111">
        <v>77.34</v>
      </c>
    </row>
    <row r="3581" spans="1:4" ht="38.25" x14ac:dyDescent="0.25">
      <c r="A3581" s="106">
        <v>10734</v>
      </c>
      <c r="B3581" s="108" t="s">
        <v>8936</v>
      </c>
      <c r="C3581" s="110" t="s">
        <v>5757</v>
      </c>
      <c r="D3581" s="111">
        <v>46</v>
      </c>
    </row>
    <row r="3582" spans="1:4" x14ac:dyDescent="0.25">
      <c r="A3582" s="106">
        <v>4708</v>
      </c>
      <c r="B3582" s="108" t="s">
        <v>8937</v>
      </c>
      <c r="C3582" s="110" t="s">
        <v>5757</v>
      </c>
      <c r="D3582" s="111">
        <v>89.23</v>
      </c>
    </row>
    <row r="3583" spans="1:4" ht="38.25" x14ac:dyDescent="0.25">
      <c r="A3583" s="106">
        <v>4712</v>
      </c>
      <c r="B3583" s="108" t="s">
        <v>8938</v>
      </c>
      <c r="C3583" s="110" t="s">
        <v>5757</v>
      </c>
      <c r="D3583" s="111">
        <v>43.62</v>
      </c>
    </row>
    <row r="3584" spans="1:4" ht="38.25" x14ac:dyDescent="0.25">
      <c r="A3584" s="106">
        <v>4710</v>
      </c>
      <c r="B3584" s="108" t="s">
        <v>8939</v>
      </c>
      <c r="C3584" s="110" t="s">
        <v>5757</v>
      </c>
      <c r="D3584" s="111">
        <v>139.9</v>
      </c>
    </row>
    <row r="3585" spans="1:4" ht="25.5" x14ac:dyDescent="0.25">
      <c r="A3585" s="106">
        <v>4746</v>
      </c>
      <c r="B3585" s="108" t="s">
        <v>8940</v>
      </c>
      <c r="C3585" s="110" t="s">
        <v>5902</v>
      </c>
      <c r="D3585" s="111">
        <v>77.58</v>
      </c>
    </row>
    <row r="3586" spans="1:4" x14ac:dyDescent="0.25">
      <c r="A3586" s="106">
        <v>4750</v>
      </c>
      <c r="B3586" s="108" t="s">
        <v>8941</v>
      </c>
      <c r="C3586" s="110" t="s">
        <v>5759</v>
      </c>
      <c r="D3586" s="111">
        <v>12.79</v>
      </c>
    </row>
    <row r="3587" spans="1:4" x14ac:dyDescent="0.25">
      <c r="A3587" s="106">
        <v>41065</v>
      </c>
      <c r="B3587" s="108" t="s">
        <v>8942</v>
      </c>
      <c r="C3587" s="110" t="s">
        <v>5906</v>
      </c>
      <c r="D3587" s="111">
        <v>2266.4299999999998</v>
      </c>
    </row>
    <row r="3588" spans="1:4" ht="25.5" x14ac:dyDescent="0.25">
      <c r="A3588" s="106">
        <v>34747</v>
      </c>
      <c r="B3588" s="108" t="s">
        <v>8943</v>
      </c>
      <c r="C3588" s="110" t="s">
        <v>5767</v>
      </c>
      <c r="D3588" s="111">
        <v>82.65</v>
      </c>
    </row>
    <row r="3589" spans="1:4" ht="25.5" x14ac:dyDescent="0.25">
      <c r="A3589" s="106">
        <v>4826</v>
      </c>
      <c r="B3589" s="108" t="s">
        <v>8944</v>
      </c>
      <c r="C3589" s="110" t="s">
        <v>5767</v>
      </c>
      <c r="D3589" s="111">
        <v>88.87</v>
      </c>
    </row>
    <row r="3590" spans="1:4" ht="25.5" x14ac:dyDescent="0.25">
      <c r="A3590" s="106">
        <v>41975</v>
      </c>
      <c r="B3590" s="108" t="s">
        <v>8945</v>
      </c>
      <c r="C3590" s="110" t="s">
        <v>5757</v>
      </c>
      <c r="D3590" s="111">
        <v>61.73</v>
      </c>
    </row>
    <row r="3591" spans="1:4" ht="25.5" x14ac:dyDescent="0.25">
      <c r="A3591" s="106">
        <v>4825</v>
      </c>
      <c r="B3591" s="108" t="s">
        <v>8946</v>
      </c>
      <c r="C3591" s="110" t="s">
        <v>5767</v>
      </c>
      <c r="D3591" s="111">
        <v>123.02</v>
      </c>
    </row>
    <row r="3592" spans="1:4" x14ac:dyDescent="0.25">
      <c r="A3592" s="106">
        <v>34744</v>
      </c>
      <c r="B3592" s="108" t="s">
        <v>8947</v>
      </c>
      <c r="C3592" s="110" t="s">
        <v>5757</v>
      </c>
      <c r="D3592" s="111">
        <v>27.9</v>
      </c>
    </row>
    <row r="3593" spans="1:4" ht="38.25" x14ac:dyDescent="0.25">
      <c r="A3593" s="106">
        <v>39430</v>
      </c>
      <c r="B3593" s="108" t="s">
        <v>8948</v>
      </c>
      <c r="C3593" s="110" t="s">
        <v>5755</v>
      </c>
      <c r="D3593" s="111">
        <v>1.48</v>
      </c>
    </row>
    <row r="3594" spans="1:4" ht="25.5" x14ac:dyDescent="0.25">
      <c r="A3594" s="106">
        <v>39573</v>
      </c>
      <c r="B3594" s="108" t="s">
        <v>8949</v>
      </c>
      <c r="C3594" s="110" t="s">
        <v>5755</v>
      </c>
      <c r="D3594" s="111">
        <v>1.46</v>
      </c>
    </row>
    <row r="3595" spans="1:4" ht="25.5" x14ac:dyDescent="0.25">
      <c r="A3595" s="106">
        <v>38410</v>
      </c>
      <c r="B3595" s="108" t="s">
        <v>8950</v>
      </c>
      <c r="C3595" s="110" t="s">
        <v>5755</v>
      </c>
      <c r="D3595" s="111">
        <v>10857.48</v>
      </c>
    </row>
    <row r="3596" spans="1:4" x14ac:dyDescent="0.25">
      <c r="A3596" s="106">
        <v>41596</v>
      </c>
      <c r="B3596" s="108" t="s">
        <v>10712</v>
      </c>
      <c r="C3596" s="110" t="s">
        <v>5816</v>
      </c>
      <c r="D3596" s="111">
        <v>6.56</v>
      </c>
    </row>
    <row r="3597" spans="1:4" x14ac:dyDescent="0.25">
      <c r="A3597" s="106">
        <v>41598</v>
      </c>
      <c r="B3597" s="108" t="s">
        <v>10713</v>
      </c>
      <c r="C3597" s="110" t="s">
        <v>5816</v>
      </c>
      <c r="D3597" s="111">
        <v>6.56</v>
      </c>
    </row>
    <row r="3598" spans="1:4" x14ac:dyDescent="0.25">
      <c r="A3598" s="106">
        <v>41594</v>
      </c>
      <c r="B3598" s="108" t="s">
        <v>10714</v>
      </c>
      <c r="C3598" s="110" t="s">
        <v>5816</v>
      </c>
      <c r="D3598" s="111">
        <v>6.67</v>
      </c>
    </row>
    <row r="3599" spans="1:4" x14ac:dyDescent="0.25">
      <c r="A3599" s="106">
        <v>43663</v>
      </c>
      <c r="B3599" s="108" t="s">
        <v>10715</v>
      </c>
      <c r="C3599" s="110" t="s">
        <v>5816</v>
      </c>
      <c r="D3599" s="111">
        <v>5.49</v>
      </c>
    </row>
    <row r="3600" spans="1:4" x14ac:dyDescent="0.25">
      <c r="A3600" s="106">
        <v>4766</v>
      </c>
      <c r="B3600" s="108" t="s">
        <v>10716</v>
      </c>
      <c r="C3600" s="110" t="s">
        <v>5816</v>
      </c>
      <c r="D3600" s="111">
        <v>5.17</v>
      </c>
    </row>
    <row r="3601" spans="1:4" x14ac:dyDescent="0.25">
      <c r="A3601" s="106">
        <v>43664</v>
      </c>
      <c r="B3601" s="108" t="s">
        <v>10717</v>
      </c>
      <c r="C3601" s="110" t="s">
        <v>5816</v>
      </c>
      <c r="D3601" s="111">
        <v>5.52</v>
      </c>
    </row>
    <row r="3602" spans="1:4" x14ac:dyDescent="0.25">
      <c r="A3602" s="106">
        <v>43082</v>
      </c>
      <c r="B3602" s="108" t="s">
        <v>10718</v>
      </c>
      <c r="C3602" s="110" t="s">
        <v>5816</v>
      </c>
      <c r="D3602" s="111">
        <v>6.02</v>
      </c>
    </row>
    <row r="3603" spans="1:4" x14ac:dyDescent="0.25">
      <c r="A3603" s="106">
        <v>43665</v>
      </c>
      <c r="B3603" s="108" t="s">
        <v>456</v>
      </c>
      <c r="C3603" s="110" t="s">
        <v>5816</v>
      </c>
      <c r="D3603" s="111">
        <v>5.17</v>
      </c>
    </row>
    <row r="3604" spans="1:4" x14ac:dyDescent="0.25">
      <c r="A3604" s="106">
        <v>10966</v>
      </c>
      <c r="B3604" s="108" t="s">
        <v>8951</v>
      </c>
      <c r="C3604" s="110" t="s">
        <v>5816</v>
      </c>
      <c r="D3604" s="111">
        <v>5.49</v>
      </c>
    </row>
    <row r="3605" spans="1:4" ht="25.5" x14ac:dyDescent="0.25">
      <c r="A3605" s="106">
        <v>43692</v>
      </c>
      <c r="B3605" s="108" t="s">
        <v>10719</v>
      </c>
      <c r="C3605" s="110" t="s">
        <v>5816</v>
      </c>
      <c r="D3605" s="111">
        <v>5.49</v>
      </c>
    </row>
    <row r="3606" spans="1:4" ht="25.5" x14ac:dyDescent="0.25">
      <c r="A3606" s="106">
        <v>43083</v>
      </c>
      <c r="B3606" s="108" t="s">
        <v>10720</v>
      </c>
      <c r="C3606" s="110" t="s">
        <v>5816</v>
      </c>
      <c r="D3606" s="111">
        <v>5.21</v>
      </c>
    </row>
    <row r="3607" spans="1:4" ht="25.5" x14ac:dyDescent="0.25">
      <c r="A3607" s="106">
        <v>40535</v>
      </c>
      <c r="B3607" s="108" t="s">
        <v>478</v>
      </c>
      <c r="C3607" s="110" t="s">
        <v>5816</v>
      </c>
      <c r="D3607" s="111">
        <v>5.21</v>
      </c>
    </row>
    <row r="3608" spans="1:4" ht="25.5" x14ac:dyDescent="0.25">
      <c r="A3608" s="106">
        <v>39427</v>
      </c>
      <c r="B3608" s="108" t="s">
        <v>8952</v>
      </c>
      <c r="C3608" s="110" t="s">
        <v>5767</v>
      </c>
      <c r="D3608" s="111">
        <v>3.93</v>
      </c>
    </row>
    <row r="3609" spans="1:4" ht="25.5" x14ac:dyDescent="0.25">
      <c r="A3609" s="106">
        <v>39424</v>
      </c>
      <c r="B3609" s="108" t="s">
        <v>8953</v>
      </c>
      <c r="C3609" s="110" t="s">
        <v>5767</v>
      </c>
      <c r="D3609" s="111">
        <v>2.34</v>
      </c>
    </row>
    <row r="3610" spans="1:4" ht="25.5" x14ac:dyDescent="0.25">
      <c r="A3610" s="106">
        <v>39425</v>
      </c>
      <c r="B3610" s="108" t="s">
        <v>8954</v>
      </c>
      <c r="C3610" s="110" t="s">
        <v>5767</v>
      </c>
      <c r="D3610" s="111">
        <v>2.31</v>
      </c>
    </row>
    <row r="3611" spans="1:4" x14ac:dyDescent="0.25">
      <c r="A3611" s="106">
        <v>40664</v>
      </c>
      <c r="B3611" s="108" t="s">
        <v>8955</v>
      </c>
      <c r="C3611" s="110" t="s">
        <v>5816</v>
      </c>
      <c r="D3611" s="111">
        <v>10.7</v>
      </c>
    </row>
    <row r="3612" spans="1:4" x14ac:dyDescent="0.25">
      <c r="A3612" s="106">
        <v>34360</v>
      </c>
      <c r="B3612" s="108" t="s">
        <v>8956</v>
      </c>
      <c r="C3612" s="110" t="s">
        <v>5816</v>
      </c>
      <c r="D3612" s="111">
        <v>29.08</v>
      </c>
    </row>
    <row r="3613" spans="1:4" x14ac:dyDescent="0.25">
      <c r="A3613" s="106">
        <v>20259</v>
      </c>
      <c r="B3613" s="108" t="s">
        <v>8957</v>
      </c>
      <c r="C3613" s="110" t="s">
        <v>5767</v>
      </c>
      <c r="D3613" s="111">
        <v>8.8000000000000007</v>
      </c>
    </row>
    <row r="3614" spans="1:4" ht="38.25" x14ac:dyDescent="0.25">
      <c r="A3614" s="106">
        <v>14077</v>
      </c>
      <c r="B3614" s="108" t="s">
        <v>8958</v>
      </c>
      <c r="C3614" s="110" t="s">
        <v>5767</v>
      </c>
      <c r="D3614" s="111">
        <v>134.69</v>
      </c>
    </row>
    <row r="3615" spans="1:4" ht="38.25" x14ac:dyDescent="0.25">
      <c r="A3615" s="106">
        <v>3678</v>
      </c>
      <c r="B3615" s="108" t="s">
        <v>8959</v>
      </c>
      <c r="C3615" s="110" t="s">
        <v>5767</v>
      </c>
      <c r="D3615" s="111">
        <v>60.88</v>
      </c>
    </row>
    <row r="3616" spans="1:4" ht="25.5" x14ac:dyDescent="0.25">
      <c r="A3616" s="106">
        <v>39418</v>
      </c>
      <c r="B3616" s="108" t="s">
        <v>8960</v>
      </c>
      <c r="C3616" s="110" t="s">
        <v>5767</v>
      </c>
      <c r="D3616" s="111">
        <v>4.3899999999999997</v>
      </c>
    </row>
    <row r="3617" spans="1:4" ht="25.5" x14ac:dyDescent="0.25">
      <c r="A3617" s="106">
        <v>39419</v>
      </c>
      <c r="B3617" s="108" t="s">
        <v>425</v>
      </c>
      <c r="C3617" s="110" t="s">
        <v>5767</v>
      </c>
      <c r="D3617" s="111">
        <v>5.35</v>
      </c>
    </row>
    <row r="3618" spans="1:4" ht="25.5" x14ac:dyDescent="0.25">
      <c r="A3618" s="106">
        <v>39420</v>
      </c>
      <c r="B3618" s="108" t="s">
        <v>8961</v>
      </c>
      <c r="C3618" s="110" t="s">
        <v>5767</v>
      </c>
      <c r="D3618" s="111">
        <v>5.9</v>
      </c>
    </row>
    <row r="3619" spans="1:4" ht="25.5" x14ac:dyDescent="0.25">
      <c r="A3619" s="106">
        <v>39571</v>
      </c>
      <c r="B3619" s="108" t="s">
        <v>447</v>
      </c>
      <c r="C3619" s="110" t="s">
        <v>5767</v>
      </c>
      <c r="D3619" s="111">
        <v>3.57</v>
      </c>
    </row>
    <row r="3620" spans="1:4" ht="25.5" x14ac:dyDescent="0.25">
      <c r="A3620" s="106">
        <v>39421</v>
      </c>
      <c r="B3620" s="108" t="s">
        <v>8962</v>
      </c>
      <c r="C3620" s="110" t="s">
        <v>5767</v>
      </c>
      <c r="D3620" s="111">
        <v>5.2</v>
      </c>
    </row>
    <row r="3621" spans="1:4" ht="25.5" x14ac:dyDescent="0.25">
      <c r="A3621" s="106">
        <v>39422</v>
      </c>
      <c r="B3621" s="108" t="s">
        <v>428</v>
      </c>
      <c r="C3621" s="110" t="s">
        <v>5767</v>
      </c>
      <c r="D3621" s="111">
        <v>6.07</v>
      </c>
    </row>
    <row r="3622" spans="1:4" ht="25.5" x14ac:dyDescent="0.25">
      <c r="A3622" s="106">
        <v>39423</v>
      </c>
      <c r="B3622" s="108" t="s">
        <v>8963</v>
      </c>
      <c r="C3622" s="110" t="s">
        <v>5767</v>
      </c>
      <c r="D3622" s="111">
        <v>7.04</v>
      </c>
    </row>
    <row r="3623" spans="1:4" ht="25.5" x14ac:dyDescent="0.25">
      <c r="A3623" s="106">
        <v>39426</v>
      </c>
      <c r="B3623" s="108" t="s">
        <v>8964</v>
      </c>
      <c r="C3623" s="110" t="s">
        <v>5767</v>
      </c>
      <c r="D3623" s="111">
        <v>15.84</v>
      </c>
    </row>
    <row r="3624" spans="1:4" ht="38.25" x14ac:dyDescent="0.25">
      <c r="A3624" s="106">
        <v>39429</v>
      </c>
      <c r="B3624" s="108" t="s">
        <v>8965</v>
      </c>
      <c r="C3624" s="110" t="s">
        <v>5767</v>
      </c>
      <c r="D3624" s="111">
        <v>4.99</v>
      </c>
    </row>
    <row r="3625" spans="1:4" ht="38.25" x14ac:dyDescent="0.25">
      <c r="A3625" s="106">
        <v>39428</v>
      </c>
      <c r="B3625" s="108" t="s">
        <v>8966</v>
      </c>
      <c r="C3625" s="110" t="s">
        <v>5767</v>
      </c>
      <c r="D3625" s="111">
        <v>3.82</v>
      </c>
    </row>
    <row r="3626" spans="1:4" ht="25.5" x14ac:dyDescent="0.25">
      <c r="A3626" s="106">
        <v>39572</v>
      </c>
      <c r="B3626" s="108" t="s">
        <v>446</v>
      </c>
      <c r="C3626" s="110" t="s">
        <v>5767</v>
      </c>
      <c r="D3626" s="111">
        <v>3.3</v>
      </c>
    </row>
    <row r="3627" spans="1:4" ht="25.5" x14ac:dyDescent="0.25">
      <c r="A3627" s="106">
        <v>39570</v>
      </c>
      <c r="B3627" s="108" t="s">
        <v>448</v>
      </c>
      <c r="C3627" s="110" t="s">
        <v>5767</v>
      </c>
      <c r="D3627" s="111">
        <v>3.5</v>
      </c>
    </row>
    <row r="3628" spans="1:4" ht="25.5" x14ac:dyDescent="0.25">
      <c r="A3628" s="106">
        <v>39569</v>
      </c>
      <c r="B3628" s="108" t="s">
        <v>8967</v>
      </c>
      <c r="C3628" s="110" t="s">
        <v>5767</v>
      </c>
      <c r="D3628" s="111">
        <v>3.46</v>
      </c>
    </row>
    <row r="3629" spans="1:4" ht="25.5" x14ac:dyDescent="0.25">
      <c r="A3629" s="106">
        <v>11552</v>
      </c>
      <c r="B3629" s="108" t="s">
        <v>8968</v>
      </c>
      <c r="C3629" s="110" t="s">
        <v>5767</v>
      </c>
      <c r="D3629" s="111">
        <v>8.92</v>
      </c>
    </row>
    <row r="3630" spans="1:4" ht="25.5" x14ac:dyDescent="0.25">
      <c r="A3630" s="106">
        <v>40598</v>
      </c>
      <c r="B3630" s="108" t="s">
        <v>8969</v>
      </c>
      <c r="C3630" s="110" t="s">
        <v>5816</v>
      </c>
      <c r="D3630" s="111">
        <v>5.08</v>
      </c>
    </row>
    <row r="3631" spans="1:4" x14ac:dyDescent="0.25">
      <c r="A3631" s="106">
        <v>39029</v>
      </c>
      <c r="B3631" s="108" t="s">
        <v>8970</v>
      </c>
      <c r="C3631" s="110" t="s">
        <v>5767</v>
      </c>
      <c r="D3631" s="111">
        <v>11.18</v>
      </c>
    </row>
    <row r="3632" spans="1:4" x14ac:dyDescent="0.25">
      <c r="A3632" s="106">
        <v>39028</v>
      </c>
      <c r="B3632" s="108" t="s">
        <v>8971</v>
      </c>
      <c r="C3632" s="110" t="s">
        <v>5767</v>
      </c>
      <c r="D3632" s="111">
        <v>6.51</v>
      </c>
    </row>
    <row r="3633" spans="1:4" x14ac:dyDescent="0.25">
      <c r="A3633" s="106">
        <v>39328</v>
      </c>
      <c r="B3633" s="108" t="s">
        <v>526</v>
      </c>
      <c r="C3633" s="110" t="s">
        <v>5767</v>
      </c>
      <c r="D3633" s="111">
        <v>3.58</v>
      </c>
    </row>
    <row r="3634" spans="1:4" ht="51" x14ac:dyDescent="0.25">
      <c r="A3634" s="106">
        <v>38541</v>
      </c>
      <c r="B3634" s="108" t="s">
        <v>8972</v>
      </c>
      <c r="C3634" s="110" t="s">
        <v>5755</v>
      </c>
      <c r="D3634" s="111">
        <v>2208552.61</v>
      </c>
    </row>
    <row r="3635" spans="1:4" ht="51" x14ac:dyDescent="0.25">
      <c r="A3635" s="106">
        <v>38542</v>
      </c>
      <c r="B3635" s="108" t="s">
        <v>8973</v>
      </c>
      <c r="C3635" s="110" t="s">
        <v>5755</v>
      </c>
      <c r="D3635" s="111">
        <v>3434210.5</v>
      </c>
    </row>
    <row r="3636" spans="1:4" ht="51" x14ac:dyDescent="0.25">
      <c r="A3636" s="106">
        <v>38543</v>
      </c>
      <c r="B3636" s="108" t="s">
        <v>8974</v>
      </c>
      <c r="C3636" s="110" t="s">
        <v>5755</v>
      </c>
      <c r="D3636" s="111">
        <v>840789.49</v>
      </c>
    </row>
    <row r="3637" spans="1:4" ht="25.5" x14ac:dyDescent="0.25">
      <c r="A3637" s="106">
        <v>40406</v>
      </c>
      <c r="B3637" s="108" t="s">
        <v>8975</v>
      </c>
      <c r="C3637" s="110" t="s">
        <v>5755</v>
      </c>
      <c r="D3637" s="111">
        <v>72527.7</v>
      </c>
    </row>
    <row r="3638" spans="1:4" ht="25.5" x14ac:dyDescent="0.25">
      <c r="A3638" s="106">
        <v>40789</v>
      </c>
      <c r="B3638" s="108" t="s">
        <v>8976</v>
      </c>
      <c r="C3638" s="110" t="s">
        <v>5755</v>
      </c>
      <c r="D3638" s="111">
        <v>10451.98</v>
      </c>
    </row>
    <row r="3639" spans="1:4" ht="38.25" x14ac:dyDescent="0.25">
      <c r="A3639" s="106">
        <v>40791</v>
      </c>
      <c r="B3639" s="108" t="s">
        <v>8977</v>
      </c>
      <c r="C3639" s="110" t="s">
        <v>5755</v>
      </c>
      <c r="D3639" s="111">
        <v>32719.26</v>
      </c>
    </row>
    <row r="3640" spans="1:4" ht="25.5" x14ac:dyDescent="0.25">
      <c r="A3640" s="106">
        <v>11651</v>
      </c>
      <c r="B3640" s="108" t="s">
        <v>8978</v>
      </c>
      <c r="C3640" s="110" t="s">
        <v>5755</v>
      </c>
      <c r="D3640" s="111">
        <v>17894.63</v>
      </c>
    </row>
    <row r="3641" spans="1:4" ht="25.5" x14ac:dyDescent="0.25">
      <c r="A3641" s="106">
        <v>42002</v>
      </c>
      <c r="B3641" s="108" t="s">
        <v>8979</v>
      </c>
      <c r="C3641" s="110" t="s">
        <v>5755</v>
      </c>
      <c r="D3641" s="111">
        <v>720115.47</v>
      </c>
    </row>
    <row r="3642" spans="1:4" ht="25.5" x14ac:dyDescent="0.25">
      <c r="A3642" s="106">
        <v>40435</v>
      </c>
      <c r="B3642" s="108" t="s">
        <v>8980</v>
      </c>
      <c r="C3642" s="110" t="s">
        <v>5755</v>
      </c>
      <c r="D3642" s="111">
        <v>461250</v>
      </c>
    </row>
    <row r="3643" spans="1:4" ht="25.5" x14ac:dyDescent="0.25">
      <c r="A3643" s="106">
        <v>39012</v>
      </c>
      <c r="B3643" s="108" t="s">
        <v>8981</v>
      </c>
      <c r="C3643" s="110" t="s">
        <v>5755</v>
      </c>
      <c r="D3643" s="111">
        <v>481250.61</v>
      </c>
    </row>
    <row r="3644" spans="1:4" ht="25.5" x14ac:dyDescent="0.25">
      <c r="A3644" s="106">
        <v>13617</v>
      </c>
      <c r="B3644" s="108" t="s">
        <v>8982</v>
      </c>
      <c r="C3644" s="110" t="s">
        <v>5755</v>
      </c>
      <c r="D3644" s="111">
        <v>48463.73</v>
      </c>
    </row>
    <row r="3645" spans="1:4" x14ac:dyDescent="0.25">
      <c r="A3645" s="106">
        <v>5327</v>
      </c>
      <c r="B3645" s="108" t="s">
        <v>8983</v>
      </c>
      <c r="C3645" s="110" t="s">
        <v>5816</v>
      </c>
      <c r="D3645" s="111">
        <v>29.91</v>
      </c>
    </row>
    <row r="3646" spans="1:4" ht="25.5" x14ac:dyDescent="0.25">
      <c r="A3646" s="106">
        <v>35274</v>
      </c>
      <c r="B3646" s="108" t="s">
        <v>489</v>
      </c>
      <c r="C3646" s="110" t="s">
        <v>5767</v>
      </c>
      <c r="D3646" s="111">
        <v>21.36</v>
      </c>
    </row>
    <row r="3647" spans="1:4" ht="25.5" x14ac:dyDescent="0.25">
      <c r="A3647" s="106">
        <v>35275</v>
      </c>
      <c r="B3647" s="108" t="s">
        <v>8984</v>
      </c>
      <c r="C3647" s="110" t="s">
        <v>5767</v>
      </c>
      <c r="D3647" s="111">
        <v>45.61</v>
      </c>
    </row>
    <row r="3648" spans="1:4" ht="25.5" x14ac:dyDescent="0.25">
      <c r="A3648" s="106">
        <v>35276</v>
      </c>
      <c r="B3648" s="108" t="s">
        <v>8985</v>
      </c>
      <c r="C3648" s="110" t="s">
        <v>5767</v>
      </c>
      <c r="D3648" s="111">
        <v>74.58</v>
      </c>
    </row>
    <row r="3649" spans="1:4" x14ac:dyDescent="0.25">
      <c r="A3649" s="106">
        <v>38386</v>
      </c>
      <c r="B3649" s="108" t="s">
        <v>8986</v>
      </c>
      <c r="C3649" s="110" t="s">
        <v>5755</v>
      </c>
      <c r="D3649" s="111">
        <v>4.6900000000000004</v>
      </c>
    </row>
    <row r="3650" spans="1:4" ht="25.5" x14ac:dyDescent="0.25">
      <c r="A3650" s="106">
        <v>11091</v>
      </c>
      <c r="B3650" s="108" t="s">
        <v>8987</v>
      </c>
      <c r="C3650" s="110" t="s">
        <v>5755</v>
      </c>
      <c r="D3650" s="111">
        <v>0.96</v>
      </c>
    </row>
    <row r="3651" spans="1:4" ht="25.5" x14ac:dyDescent="0.25">
      <c r="A3651" s="106">
        <v>37586</v>
      </c>
      <c r="B3651" s="108" t="s">
        <v>8988</v>
      </c>
      <c r="C3651" s="110" t="s">
        <v>7700</v>
      </c>
      <c r="D3651" s="111">
        <v>39.700000000000003</v>
      </c>
    </row>
    <row r="3652" spans="1:4" x14ac:dyDescent="0.25">
      <c r="A3652" s="106">
        <v>37395</v>
      </c>
      <c r="B3652" s="108" t="s">
        <v>8989</v>
      </c>
      <c r="C3652" s="110" t="s">
        <v>7700</v>
      </c>
      <c r="D3652" s="111">
        <v>34.130000000000003</v>
      </c>
    </row>
    <row r="3653" spans="1:4" ht="25.5" x14ac:dyDescent="0.25">
      <c r="A3653" s="106">
        <v>14147</v>
      </c>
      <c r="B3653" s="108" t="s">
        <v>8990</v>
      </c>
      <c r="C3653" s="110" t="s">
        <v>7700</v>
      </c>
      <c r="D3653" s="111">
        <v>45.28</v>
      </c>
    </row>
    <row r="3654" spans="1:4" x14ac:dyDescent="0.25">
      <c r="A3654" s="106">
        <v>37396</v>
      </c>
      <c r="B3654" s="108" t="s">
        <v>8991</v>
      </c>
      <c r="C3654" s="110" t="s">
        <v>7700</v>
      </c>
      <c r="D3654" s="111">
        <v>27.93</v>
      </c>
    </row>
    <row r="3655" spans="1:4" x14ac:dyDescent="0.25">
      <c r="A3655" s="106">
        <v>37397</v>
      </c>
      <c r="B3655" s="108" t="s">
        <v>8992</v>
      </c>
      <c r="C3655" s="110" t="s">
        <v>7700</v>
      </c>
      <c r="D3655" s="111">
        <v>29.26</v>
      </c>
    </row>
    <row r="3656" spans="1:4" ht="25.5" x14ac:dyDescent="0.25">
      <c r="A3656" s="106">
        <v>444</v>
      </c>
      <c r="B3656" s="108" t="s">
        <v>8993</v>
      </c>
      <c r="C3656" s="110" t="s">
        <v>5755</v>
      </c>
      <c r="D3656" s="111">
        <v>17.920000000000002</v>
      </c>
    </row>
    <row r="3657" spans="1:4" ht="25.5" x14ac:dyDescent="0.25">
      <c r="A3657" s="106">
        <v>445</v>
      </c>
      <c r="B3657" s="108" t="s">
        <v>8994</v>
      </c>
      <c r="C3657" s="110" t="s">
        <v>5755</v>
      </c>
      <c r="D3657" s="111">
        <v>24.52</v>
      </c>
    </row>
    <row r="3658" spans="1:4" x14ac:dyDescent="0.25">
      <c r="A3658" s="106">
        <v>4783</v>
      </c>
      <c r="B3658" s="108" t="s">
        <v>8995</v>
      </c>
      <c r="C3658" s="110" t="s">
        <v>5759</v>
      </c>
      <c r="D3658" s="111">
        <v>12.79</v>
      </c>
    </row>
    <row r="3659" spans="1:4" x14ac:dyDescent="0.25">
      <c r="A3659" s="106">
        <v>41079</v>
      </c>
      <c r="B3659" s="108" t="s">
        <v>8996</v>
      </c>
      <c r="C3659" s="110" t="s">
        <v>5906</v>
      </c>
      <c r="D3659" s="111">
        <v>2266.4299999999998</v>
      </c>
    </row>
    <row r="3660" spans="1:4" x14ac:dyDescent="0.25">
      <c r="A3660" s="106">
        <v>12874</v>
      </c>
      <c r="B3660" s="108" t="s">
        <v>8997</v>
      </c>
      <c r="C3660" s="110" t="s">
        <v>5759</v>
      </c>
      <c r="D3660" s="111">
        <v>14.74</v>
      </c>
    </row>
    <row r="3661" spans="1:4" x14ac:dyDescent="0.25">
      <c r="A3661" s="106">
        <v>41082</v>
      </c>
      <c r="B3661" s="108" t="s">
        <v>8998</v>
      </c>
      <c r="C3661" s="110" t="s">
        <v>5906</v>
      </c>
      <c r="D3661" s="111">
        <v>2612.6799999999998</v>
      </c>
    </row>
    <row r="3662" spans="1:4" x14ac:dyDescent="0.25">
      <c r="A3662" s="106">
        <v>4785</v>
      </c>
      <c r="B3662" s="108" t="s">
        <v>8999</v>
      </c>
      <c r="C3662" s="110" t="s">
        <v>5759</v>
      </c>
      <c r="D3662" s="111">
        <v>13.74</v>
      </c>
    </row>
    <row r="3663" spans="1:4" x14ac:dyDescent="0.25">
      <c r="A3663" s="106">
        <v>41081</v>
      </c>
      <c r="B3663" s="108" t="s">
        <v>9000</v>
      </c>
      <c r="C3663" s="110" t="s">
        <v>5906</v>
      </c>
      <c r="D3663" s="111">
        <v>2437.79</v>
      </c>
    </row>
    <row r="3664" spans="1:4" ht="25.5" x14ac:dyDescent="0.25">
      <c r="A3664" s="106">
        <v>4801</v>
      </c>
      <c r="B3664" s="108" t="s">
        <v>9001</v>
      </c>
      <c r="C3664" s="110" t="s">
        <v>5757</v>
      </c>
      <c r="D3664" s="111">
        <v>61.63</v>
      </c>
    </row>
    <row r="3665" spans="1:4" ht="25.5" x14ac:dyDescent="0.25">
      <c r="A3665" s="106">
        <v>4794</v>
      </c>
      <c r="B3665" s="108" t="s">
        <v>9002</v>
      </c>
      <c r="C3665" s="110" t="s">
        <v>5757</v>
      </c>
      <c r="D3665" s="111">
        <v>280.70999999999998</v>
      </c>
    </row>
    <row r="3666" spans="1:4" ht="25.5" x14ac:dyDescent="0.25">
      <c r="A3666" s="106">
        <v>4796</v>
      </c>
      <c r="B3666" s="108" t="s">
        <v>9003</v>
      </c>
      <c r="C3666" s="110" t="s">
        <v>5757</v>
      </c>
      <c r="D3666" s="111">
        <v>170.5</v>
      </c>
    </row>
    <row r="3667" spans="1:4" ht="25.5" x14ac:dyDescent="0.25">
      <c r="A3667" s="106">
        <v>4800</v>
      </c>
      <c r="B3667" s="108" t="s">
        <v>9004</v>
      </c>
      <c r="C3667" s="110" t="s">
        <v>5757</v>
      </c>
      <c r="D3667" s="111">
        <v>46.89</v>
      </c>
    </row>
    <row r="3668" spans="1:4" ht="25.5" x14ac:dyDescent="0.25">
      <c r="A3668" s="106">
        <v>4795</v>
      </c>
      <c r="B3668" s="108" t="s">
        <v>9005</v>
      </c>
      <c r="C3668" s="110" t="s">
        <v>5757</v>
      </c>
      <c r="D3668" s="111">
        <v>273.26</v>
      </c>
    </row>
    <row r="3669" spans="1:4" ht="38.25" x14ac:dyDescent="0.25">
      <c r="A3669" s="106">
        <v>39694</v>
      </c>
      <c r="B3669" s="108" t="s">
        <v>9006</v>
      </c>
      <c r="C3669" s="110" t="s">
        <v>5757</v>
      </c>
      <c r="D3669" s="111">
        <v>219.26</v>
      </c>
    </row>
    <row r="3670" spans="1:4" ht="25.5" x14ac:dyDescent="0.25">
      <c r="A3670" s="106">
        <v>1292</v>
      </c>
      <c r="B3670" s="108" t="s">
        <v>9007</v>
      </c>
      <c r="C3670" s="110" t="s">
        <v>5757</v>
      </c>
      <c r="D3670" s="111">
        <v>33.630000000000003</v>
      </c>
    </row>
    <row r="3671" spans="1:4" ht="25.5" x14ac:dyDescent="0.25">
      <c r="A3671" s="106">
        <v>1287</v>
      </c>
      <c r="B3671" s="108" t="s">
        <v>9008</v>
      </c>
      <c r="C3671" s="110" t="s">
        <v>5757</v>
      </c>
      <c r="D3671" s="111">
        <v>16.5</v>
      </c>
    </row>
    <row r="3672" spans="1:4" ht="25.5" x14ac:dyDescent="0.25">
      <c r="A3672" s="106">
        <v>1297</v>
      </c>
      <c r="B3672" s="108" t="s">
        <v>9009</v>
      </c>
      <c r="C3672" s="110" t="s">
        <v>5757</v>
      </c>
      <c r="D3672" s="111">
        <v>13.68</v>
      </c>
    </row>
    <row r="3673" spans="1:4" ht="25.5" x14ac:dyDescent="0.25">
      <c r="A3673" s="106">
        <v>4786</v>
      </c>
      <c r="B3673" s="108" t="s">
        <v>9010</v>
      </c>
      <c r="C3673" s="110" t="s">
        <v>5757</v>
      </c>
      <c r="D3673" s="111">
        <v>71</v>
      </c>
    </row>
    <row r="3674" spans="1:4" ht="38.25" x14ac:dyDescent="0.25">
      <c r="A3674" s="106">
        <v>10840</v>
      </c>
      <c r="B3674" s="108" t="s">
        <v>9011</v>
      </c>
      <c r="C3674" s="110" t="s">
        <v>5757</v>
      </c>
      <c r="D3674" s="111">
        <v>360</v>
      </c>
    </row>
    <row r="3675" spans="1:4" ht="38.25" x14ac:dyDescent="0.25">
      <c r="A3675" s="106">
        <v>10841</v>
      </c>
      <c r="B3675" s="108" t="s">
        <v>9012</v>
      </c>
      <c r="C3675" s="110" t="s">
        <v>5757</v>
      </c>
      <c r="D3675" s="111">
        <v>271.69</v>
      </c>
    </row>
    <row r="3676" spans="1:4" ht="38.25" x14ac:dyDescent="0.25">
      <c r="A3676" s="106">
        <v>25980</v>
      </c>
      <c r="B3676" s="108" t="s">
        <v>9013</v>
      </c>
      <c r="C3676" s="110" t="s">
        <v>5757</v>
      </c>
      <c r="D3676" s="111">
        <v>347.16</v>
      </c>
    </row>
    <row r="3677" spans="1:4" ht="38.25" x14ac:dyDescent="0.25">
      <c r="A3677" s="106">
        <v>10842</v>
      </c>
      <c r="B3677" s="108" t="s">
        <v>9014</v>
      </c>
      <c r="C3677" s="110" t="s">
        <v>5757</v>
      </c>
      <c r="D3677" s="111">
        <v>392.45</v>
      </c>
    </row>
    <row r="3678" spans="1:4" ht="25.5" x14ac:dyDescent="0.25">
      <c r="A3678" s="106">
        <v>21108</v>
      </c>
      <c r="B3678" s="108" t="s">
        <v>9015</v>
      </c>
      <c r="C3678" s="110" t="s">
        <v>5757</v>
      </c>
      <c r="D3678" s="111">
        <v>44.83</v>
      </c>
    </row>
    <row r="3679" spans="1:4" ht="25.5" x14ac:dyDescent="0.25">
      <c r="A3679" s="106">
        <v>38180</v>
      </c>
      <c r="B3679" s="108" t="s">
        <v>9016</v>
      </c>
      <c r="C3679" s="110" t="s">
        <v>5757</v>
      </c>
      <c r="D3679" s="111">
        <v>137.27000000000001</v>
      </c>
    </row>
    <row r="3680" spans="1:4" x14ac:dyDescent="0.25">
      <c r="A3680" s="106">
        <v>40648</v>
      </c>
      <c r="B3680" s="108" t="s">
        <v>9017</v>
      </c>
      <c r="C3680" s="110" t="s">
        <v>5757</v>
      </c>
      <c r="D3680" s="111">
        <v>136.32</v>
      </c>
    </row>
    <row r="3681" spans="1:4" x14ac:dyDescent="0.25">
      <c r="A3681" s="106">
        <v>40649</v>
      </c>
      <c r="B3681" s="108" t="s">
        <v>9018</v>
      </c>
      <c r="C3681" s="110" t="s">
        <v>5757</v>
      </c>
      <c r="D3681" s="111">
        <v>79.400000000000006</v>
      </c>
    </row>
    <row r="3682" spans="1:4" ht="25.5" x14ac:dyDescent="0.25">
      <c r="A3682" s="106">
        <v>40650</v>
      </c>
      <c r="B3682" s="108" t="s">
        <v>9019</v>
      </c>
      <c r="C3682" s="110" t="s">
        <v>5757</v>
      </c>
      <c r="D3682" s="111">
        <v>102.24</v>
      </c>
    </row>
    <row r="3683" spans="1:4" ht="25.5" x14ac:dyDescent="0.25">
      <c r="A3683" s="106">
        <v>40651</v>
      </c>
      <c r="B3683" s="108" t="s">
        <v>9020</v>
      </c>
      <c r="C3683" s="110" t="s">
        <v>5757</v>
      </c>
      <c r="D3683" s="111">
        <v>188.57</v>
      </c>
    </row>
    <row r="3684" spans="1:4" ht="25.5" x14ac:dyDescent="0.25">
      <c r="A3684" s="106">
        <v>40652</v>
      </c>
      <c r="B3684" s="108" t="s">
        <v>9021</v>
      </c>
      <c r="C3684" s="110" t="s">
        <v>5757</v>
      </c>
      <c r="D3684" s="111">
        <v>101.1</v>
      </c>
    </row>
    <row r="3685" spans="1:4" ht="25.5" x14ac:dyDescent="0.25">
      <c r="A3685" s="106">
        <v>40647</v>
      </c>
      <c r="B3685" s="108" t="s">
        <v>9022</v>
      </c>
      <c r="C3685" s="110" t="s">
        <v>5757</v>
      </c>
      <c r="D3685" s="111">
        <v>111.32</v>
      </c>
    </row>
    <row r="3686" spans="1:4" x14ac:dyDescent="0.25">
      <c r="A3686" s="106">
        <v>40653</v>
      </c>
      <c r="B3686" s="108" t="s">
        <v>9023</v>
      </c>
      <c r="C3686" s="110" t="s">
        <v>5757</v>
      </c>
      <c r="D3686" s="111">
        <v>85.2</v>
      </c>
    </row>
    <row r="3687" spans="1:4" ht="25.5" x14ac:dyDescent="0.25">
      <c r="A3687" s="106">
        <v>36178</v>
      </c>
      <c r="B3687" s="108" t="s">
        <v>9024</v>
      </c>
      <c r="C3687" s="110" t="s">
        <v>5755</v>
      </c>
      <c r="D3687" s="111">
        <v>9.7200000000000006</v>
      </c>
    </row>
    <row r="3688" spans="1:4" ht="25.5" x14ac:dyDescent="0.25">
      <c r="A3688" s="106">
        <v>38195</v>
      </c>
      <c r="B3688" s="108" t="s">
        <v>9025</v>
      </c>
      <c r="C3688" s="110" t="s">
        <v>5757</v>
      </c>
      <c r="D3688" s="111">
        <v>52.94</v>
      </c>
    </row>
    <row r="3689" spans="1:4" ht="25.5" x14ac:dyDescent="0.25">
      <c r="A3689" s="106">
        <v>38181</v>
      </c>
      <c r="B3689" s="108" t="s">
        <v>415</v>
      </c>
      <c r="C3689" s="110" t="s">
        <v>5757</v>
      </c>
      <c r="D3689" s="111">
        <v>187.4</v>
      </c>
    </row>
    <row r="3690" spans="1:4" ht="25.5" x14ac:dyDescent="0.25">
      <c r="A3690" s="106">
        <v>38182</v>
      </c>
      <c r="B3690" s="108" t="s">
        <v>9026</v>
      </c>
      <c r="C3690" s="110" t="s">
        <v>5757</v>
      </c>
      <c r="D3690" s="111">
        <v>178.51</v>
      </c>
    </row>
    <row r="3691" spans="1:4" ht="25.5" x14ac:dyDescent="0.25">
      <c r="A3691" s="106">
        <v>38186</v>
      </c>
      <c r="B3691" s="108" t="s">
        <v>9027</v>
      </c>
      <c r="C3691" s="110" t="s">
        <v>5757</v>
      </c>
      <c r="D3691" s="111">
        <v>464</v>
      </c>
    </row>
    <row r="3692" spans="1:4" ht="25.5" x14ac:dyDescent="0.25">
      <c r="A3692" s="106">
        <v>38185</v>
      </c>
      <c r="B3692" s="108" t="s">
        <v>9028</v>
      </c>
      <c r="C3692" s="110" t="s">
        <v>5757</v>
      </c>
      <c r="D3692" s="111">
        <v>413.12</v>
      </c>
    </row>
    <row r="3693" spans="1:4" ht="25.5" x14ac:dyDescent="0.25">
      <c r="A3693" s="106">
        <v>40654</v>
      </c>
      <c r="B3693" s="108" t="s">
        <v>9029</v>
      </c>
      <c r="C3693" s="110" t="s">
        <v>5757</v>
      </c>
      <c r="D3693" s="111">
        <v>132.34</v>
      </c>
    </row>
    <row r="3694" spans="1:4" ht="38.25" x14ac:dyDescent="0.25">
      <c r="A3694" s="106">
        <v>25981</v>
      </c>
      <c r="B3694" s="108" t="s">
        <v>9030</v>
      </c>
      <c r="C3694" s="110" t="s">
        <v>5757</v>
      </c>
      <c r="D3694" s="111">
        <v>286.79000000000002</v>
      </c>
    </row>
    <row r="3695" spans="1:4" ht="25.5" x14ac:dyDescent="0.25">
      <c r="A3695" s="106">
        <v>4822</v>
      </c>
      <c r="B3695" s="108" t="s">
        <v>9031</v>
      </c>
      <c r="C3695" s="110" t="s">
        <v>5757</v>
      </c>
      <c r="D3695" s="111">
        <v>340.51</v>
      </c>
    </row>
    <row r="3696" spans="1:4" ht="25.5" x14ac:dyDescent="0.25">
      <c r="A3696" s="106">
        <v>4818</v>
      </c>
      <c r="B3696" s="108" t="s">
        <v>9032</v>
      </c>
      <c r="C3696" s="110" t="s">
        <v>5757</v>
      </c>
      <c r="D3696" s="111">
        <v>350</v>
      </c>
    </row>
    <row r="3697" spans="1:4" ht="38.25" x14ac:dyDescent="0.25">
      <c r="A3697" s="106">
        <v>39567</v>
      </c>
      <c r="B3697" s="108" t="s">
        <v>9033</v>
      </c>
      <c r="C3697" s="110" t="s">
        <v>5757</v>
      </c>
      <c r="D3697" s="111">
        <v>47.27</v>
      </c>
    </row>
    <row r="3698" spans="1:4" ht="38.25" x14ac:dyDescent="0.25">
      <c r="A3698" s="106">
        <v>39566</v>
      </c>
      <c r="B3698" s="108" t="s">
        <v>9034</v>
      </c>
      <c r="C3698" s="110" t="s">
        <v>5757</v>
      </c>
      <c r="D3698" s="111">
        <v>54.59</v>
      </c>
    </row>
    <row r="3699" spans="1:4" x14ac:dyDescent="0.25">
      <c r="A3699" s="106">
        <v>11062</v>
      </c>
      <c r="B3699" s="108" t="s">
        <v>9035</v>
      </c>
      <c r="C3699" s="110" t="s">
        <v>5757</v>
      </c>
      <c r="D3699" s="111">
        <v>47.59</v>
      </c>
    </row>
    <row r="3700" spans="1:4" x14ac:dyDescent="0.25">
      <c r="A3700" s="106">
        <v>11063</v>
      </c>
      <c r="B3700" s="108" t="s">
        <v>9036</v>
      </c>
      <c r="C3700" s="110" t="s">
        <v>5757</v>
      </c>
      <c r="D3700" s="111">
        <v>46.08</v>
      </c>
    </row>
    <row r="3701" spans="1:4" ht="25.5" x14ac:dyDescent="0.25">
      <c r="A3701" s="106">
        <v>13521</v>
      </c>
      <c r="B3701" s="108" t="s">
        <v>9037</v>
      </c>
      <c r="C3701" s="110" t="s">
        <v>5755</v>
      </c>
      <c r="D3701" s="111">
        <v>99</v>
      </c>
    </row>
    <row r="3702" spans="1:4" ht="38.25" x14ac:dyDescent="0.25">
      <c r="A3702" s="106">
        <v>10851</v>
      </c>
      <c r="B3702" s="108" t="s">
        <v>9038</v>
      </c>
      <c r="C3702" s="110" t="s">
        <v>5755</v>
      </c>
      <c r="D3702" s="111">
        <v>51.52</v>
      </c>
    </row>
    <row r="3703" spans="1:4" ht="25.5" x14ac:dyDescent="0.25">
      <c r="A3703" s="106">
        <v>39515</v>
      </c>
      <c r="B3703" s="108" t="s">
        <v>9039</v>
      </c>
      <c r="C3703" s="110" t="s">
        <v>5755</v>
      </c>
      <c r="D3703" s="111">
        <v>40.020000000000003</v>
      </c>
    </row>
    <row r="3704" spans="1:4" ht="38.25" x14ac:dyDescent="0.25">
      <c r="A3704" s="106">
        <v>39516</v>
      </c>
      <c r="B3704" s="108" t="s">
        <v>9040</v>
      </c>
      <c r="C3704" s="110" t="s">
        <v>5755</v>
      </c>
      <c r="D3704" s="111">
        <v>33.74</v>
      </c>
    </row>
    <row r="3705" spans="1:4" ht="25.5" x14ac:dyDescent="0.25">
      <c r="A3705" s="106">
        <v>39514</v>
      </c>
      <c r="B3705" s="108" t="s">
        <v>9041</v>
      </c>
      <c r="C3705" s="110" t="s">
        <v>5755</v>
      </c>
      <c r="D3705" s="111">
        <v>20.99</v>
      </c>
    </row>
    <row r="3706" spans="1:4" ht="25.5" x14ac:dyDescent="0.25">
      <c r="A3706" s="106">
        <v>4812</v>
      </c>
      <c r="B3706" s="108" t="s">
        <v>9042</v>
      </c>
      <c r="C3706" s="110" t="s">
        <v>5757</v>
      </c>
      <c r="D3706" s="111">
        <v>13.06</v>
      </c>
    </row>
    <row r="3707" spans="1:4" x14ac:dyDescent="0.25">
      <c r="A3707" s="106">
        <v>10849</v>
      </c>
      <c r="B3707" s="108" t="s">
        <v>9043</v>
      </c>
      <c r="C3707" s="110" t="s">
        <v>5755</v>
      </c>
      <c r="D3707" s="111">
        <v>1440.01</v>
      </c>
    </row>
    <row r="3708" spans="1:4" x14ac:dyDescent="0.25">
      <c r="A3708" s="106">
        <v>10848</v>
      </c>
      <c r="B3708" s="108" t="s">
        <v>9044</v>
      </c>
      <c r="C3708" s="110" t="s">
        <v>5755</v>
      </c>
      <c r="D3708" s="111">
        <v>904.5</v>
      </c>
    </row>
    <row r="3709" spans="1:4" ht="25.5" x14ac:dyDescent="0.25">
      <c r="A3709" s="106">
        <v>4813</v>
      </c>
      <c r="B3709" s="108" t="s">
        <v>10503</v>
      </c>
      <c r="C3709" s="110" t="s">
        <v>5757</v>
      </c>
      <c r="D3709" s="111">
        <v>300</v>
      </c>
    </row>
    <row r="3710" spans="1:4" ht="38.25" x14ac:dyDescent="0.25">
      <c r="A3710" s="106">
        <v>37560</v>
      </c>
      <c r="B3710" s="108" t="s">
        <v>9045</v>
      </c>
      <c r="C3710" s="110" t="s">
        <v>5755</v>
      </c>
      <c r="D3710" s="111">
        <v>19.68</v>
      </c>
    </row>
    <row r="3711" spans="1:4" ht="38.25" x14ac:dyDescent="0.25">
      <c r="A3711" s="106">
        <v>37557</v>
      </c>
      <c r="B3711" s="108" t="s">
        <v>9046</v>
      </c>
      <c r="C3711" s="110" t="s">
        <v>5755</v>
      </c>
      <c r="D3711" s="111">
        <v>5.97</v>
      </c>
    </row>
    <row r="3712" spans="1:4" ht="38.25" x14ac:dyDescent="0.25">
      <c r="A3712" s="106">
        <v>37556</v>
      </c>
      <c r="B3712" s="108" t="s">
        <v>637</v>
      </c>
      <c r="C3712" s="110" t="s">
        <v>5755</v>
      </c>
      <c r="D3712" s="111">
        <v>11.56</v>
      </c>
    </row>
    <row r="3713" spans="1:4" ht="38.25" x14ac:dyDescent="0.25">
      <c r="A3713" s="106">
        <v>37559</v>
      </c>
      <c r="B3713" s="108" t="s">
        <v>9047</v>
      </c>
      <c r="C3713" s="110" t="s">
        <v>5755</v>
      </c>
      <c r="D3713" s="111">
        <v>14.18</v>
      </c>
    </row>
    <row r="3714" spans="1:4" ht="38.25" x14ac:dyDescent="0.25">
      <c r="A3714" s="106">
        <v>37539</v>
      </c>
      <c r="B3714" s="108" t="s">
        <v>626</v>
      </c>
      <c r="C3714" s="110" t="s">
        <v>5755</v>
      </c>
      <c r="D3714" s="111">
        <v>10</v>
      </c>
    </row>
    <row r="3715" spans="1:4" ht="38.25" x14ac:dyDescent="0.25">
      <c r="A3715" s="106">
        <v>37558</v>
      </c>
      <c r="B3715" s="108" t="s">
        <v>9048</v>
      </c>
      <c r="C3715" s="110" t="s">
        <v>5755</v>
      </c>
      <c r="D3715" s="111">
        <v>18.64</v>
      </c>
    </row>
    <row r="3716" spans="1:4" ht="25.5" x14ac:dyDescent="0.25">
      <c r="A3716" s="106">
        <v>34723</v>
      </c>
      <c r="B3716" s="108" t="s">
        <v>9049</v>
      </c>
      <c r="C3716" s="110" t="s">
        <v>5757</v>
      </c>
      <c r="D3716" s="111">
        <v>693</v>
      </c>
    </row>
    <row r="3717" spans="1:4" ht="25.5" x14ac:dyDescent="0.25">
      <c r="A3717" s="106">
        <v>34721</v>
      </c>
      <c r="B3717" s="108" t="s">
        <v>9050</v>
      </c>
      <c r="C3717" s="110" t="s">
        <v>5757</v>
      </c>
      <c r="D3717" s="111">
        <v>864</v>
      </c>
    </row>
    <row r="3718" spans="1:4" ht="25.5" x14ac:dyDescent="0.25">
      <c r="A3718" s="106">
        <v>4309</v>
      </c>
      <c r="B3718" s="108" t="s">
        <v>9051</v>
      </c>
      <c r="C3718" s="110" t="s">
        <v>5755</v>
      </c>
      <c r="D3718" s="111">
        <v>4.32</v>
      </c>
    </row>
    <row r="3719" spans="1:4" ht="25.5" x14ac:dyDescent="0.25">
      <c r="A3719" s="106">
        <v>4307</v>
      </c>
      <c r="B3719" s="108" t="s">
        <v>9052</v>
      </c>
      <c r="C3719" s="110" t="s">
        <v>5755</v>
      </c>
      <c r="D3719" s="111">
        <v>7.39</v>
      </c>
    </row>
    <row r="3720" spans="1:4" ht="25.5" x14ac:dyDescent="0.25">
      <c r="A3720" s="106">
        <v>10850</v>
      </c>
      <c r="B3720" s="108" t="s">
        <v>9053</v>
      </c>
      <c r="C3720" s="110" t="s">
        <v>5755</v>
      </c>
      <c r="D3720" s="111">
        <v>45</v>
      </c>
    </row>
    <row r="3721" spans="1:4" ht="38.25" x14ac:dyDescent="0.25">
      <c r="A3721" s="106">
        <v>42438</v>
      </c>
      <c r="B3721" s="108" t="s">
        <v>9054</v>
      </c>
      <c r="C3721" s="110" t="s">
        <v>5755</v>
      </c>
      <c r="D3721" s="111">
        <v>1187.6099999999999</v>
      </c>
    </row>
    <row r="3722" spans="1:4" ht="25.5" x14ac:dyDescent="0.25">
      <c r="A3722" s="106">
        <v>4792</v>
      </c>
      <c r="B3722" s="108" t="s">
        <v>9055</v>
      </c>
      <c r="C3722" s="110" t="s">
        <v>5757</v>
      </c>
      <c r="D3722" s="111">
        <v>131.78</v>
      </c>
    </row>
    <row r="3723" spans="1:4" ht="25.5" x14ac:dyDescent="0.25">
      <c r="A3723" s="106">
        <v>4790</v>
      </c>
      <c r="B3723" s="108" t="s">
        <v>9056</v>
      </c>
      <c r="C3723" s="110" t="s">
        <v>5757</v>
      </c>
      <c r="D3723" s="111">
        <v>79.23</v>
      </c>
    </row>
    <row r="3724" spans="1:4" ht="25.5" x14ac:dyDescent="0.25">
      <c r="A3724" s="106">
        <v>40671</v>
      </c>
      <c r="B3724" s="108" t="s">
        <v>9057</v>
      </c>
      <c r="C3724" s="110" t="s">
        <v>5757</v>
      </c>
      <c r="D3724" s="111">
        <v>63.82</v>
      </c>
    </row>
    <row r="3725" spans="1:4" ht="25.5" x14ac:dyDescent="0.25">
      <c r="A3725" s="106">
        <v>7552</v>
      </c>
      <c r="B3725" s="108" t="s">
        <v>9058</v>
      </c>
      <c r="C3725" s="110" t="s">
        <v>5755</v>
      </c>
      <c r="D3725" s="111">
        <v>23.12</v>
      </c>
    </row>
    <row r="3726" spans="1:4" x14ac:dyDescent="0.25">
      <c r="A3726" s="106">
        <v>4893</v>
      </c>
      <c r="B3726" s="108" t="s">
        <v>9059</v>
      </c>
      <c r="C3726" s="110" t="s">
        <v>5755</v>
      </c>
      <c r="D3726" s="111">
        <v>7.38</v>
      </c>
    </row>
    <row r="3727" spans="1:4" x14ac:dyDescent="0.25">
      <c r="A3727" s="106">
        <v>4894</v>
      </c>
      <c r="B3727" s="108" t="s">
        <v>9060</v>
      </c>
      <c r="C3727" s="110" t="s">
        <v>5755</v>
      </c>
      <c r="D3727" s="111">
        <v>6.33</v>
      </c>
    </row>
    <row r="3728" spans="1:4" x14ac:dyDescent="0.25">
      <c r="A3728" s="106">
        <v>4888</v>
      </c>
      <c r="B3728" s="108" t="s">
        <v>9061</v>
      </c>
      <c r="C3728" s="110" t="s">
        <v>5755</v>
      </c>
      <c r="D3728" s="111">
        <v>2.15</v>
      </c>
    </row>
    <row r="3729" spans="1:4" x14ac:dyDescent="0.25">
      <c r="A3729" s="106">
        <v>4890</v>
      </c>
      <c r="B3729" s="108" t="s">
        <v>9062</v>
      </c>
      <c r="C3729" s="110" t="s">
        <v>5755</v>
      </c>
      <c r="D3729" s="111">
        <v>4.05</v>
      </c>
    </row>
    <row r="3730" spans="1:4" x14ac:dyDescent="0.25">
      <c r="A3730" s="106">
        <v>12411</v>
      </c>
      <c r="B3730" s="108" t="s">
        <v>9063</v>
      </c>
      <c r="C3730" s="110" t="s">
        <v>5755</v>
      </c>
      <c r="D3730" s="111">
        <v>21.83</v>
      </c>
    </row>
    <row r="3731" spans="1:4" x14ac:dyDescent="0.25">
      <c r="A3731" s="106">
        <v>4891</v>
      </c>
      <c r="B3731" s="108" t="s">
        <v>9064</v>
      </c>
      <c r="C3731" s="110" t="s">
        <v>5755</v>
      </c>
      <c r="D3731" s="111">
        <v>10.91</v>
      </c>
    </row>
    <row r="3732" spans="1:4" x14ac:dyDescent="0.25">
      <c r="A3732" s="106">
        <v>4889</v>
      </c>
      <c r="B3732" s="108" t="s">
        <v>9065</v>
      </c>
      <c r="C3732" s="110" t="s">
        <v>5755</v>
      </c>
      <c r="D3732" s="111">
        <v>2.91</v>
      </c>
    </row>
    <row r="3733" spans="1:4" x14ac:dyDescent="0.25">
      <c r="A3733" s="106">
        <v>4892</v>
      </c>
      <c r="B3733" s="108" t="s">
        <v>9066</v>
      </c>
      <c r="C3733" s="110" t="s">
        <v>5755</v>
      </c>
      <c r="D3733" s="111">
        <v>30.57</v>
      </c>
    </row>
    <row r="3734" spans="1:4" x14ac:dyDescent="0.25">
      <c r="A3734" s="106">
        <v>12412</v>
      </c>
      <c r="B3734" s="108" t="s">
        <v>9067</v>
      </c>
      <c r="C3734" s="110" t="s">
        <v>5755</v>
      </c>
      <c r="D3734" s="111">
        <v>56.81</v>
      </c>
    </row>
    <row r="3735" spans="1:4" x14ac:dyDescent="0.25">
      <c r="A3735" s="106">
        <v>11073</v>
      </c>
      <c r="B3735" s="108" t="s">
        <v>9068</v>
      </c>
      <c r="C3735" s="110" t="s">
        <v>5755</v>
      </c>
      <c r="D3735" s="111">
        <v>3.82</v>
      </c>
    </row>
    <row r="3736" spans="1:4" x14ac:dyDescent="0.25">
      <c r="A3736" s="106">
        <v>11071</v>
      </c>
      <c r="B3736" s="108" t="s">
        <v>9069</v>
      </c>
      <c r="C3736" s="110" t="s">
        <v>5755</v>
      </c>
      <c r="D3736" s="111">
        <v>6.18</v>
      </c>
    </row>
    <row r="3737" spans="1:4" x14ac:dyDescent="0.25">
      <c r="A3737" s="106">
        <v>11072</v>
      </c>
      <c r="B3737" s="108" t="s">
        <v>9070</v>
      </c>
      <c r="C3737" s="110" t="s">
        <v>5755</v>
      </c>
      <c r="D3737" s="111">
        <v>2.16</v>
      </c>
    </row>
    <row r="3738" spans="1:4" x14ac:dyDescent="0.25">
      <c r="A3738" s="106">
        <v>4895</v>
      </c>
      <c r="B3738" s="108" t="s">
        <v>9071</v>
      </c>
      <c r="C3738" s="110" t="s">
        <v>5755</v>
      </c>
      <c r="D3738" s="111">
        <v>0.41</v>
      </c>
    </row>
    <row r="3739" spans="1:4" x14ac:dyDescent="0.25">
      <c r="A3739" s="106">
        <v>4907</v>
      </c>
      <c r="B3739" s="108" t="s">
        <v>9072</v>
      </c>
      <c r="C3739" s="110" t="s">
        <v>5755</v>
      </c>
      <c r="D3739" s="111">
        <v>17.27</v>
      </c>
    </row>
    <row r="3740" spans="1:4" x14ac:dyDescent="0.25">
      <c r="A3740" s="106">
        <v>4902</v>
      </c>
      <c r="B3740" s="108" t="s">
        <v>9073</v>
      </c>
      <c r="C3740" s="110" t="s">
        <v>5755</v>
      </c>
      <c r="D3740" s="111">
        <v>39.090000000000003</v>
      </c>
    </row>
    <row r="3741" spans="1:4" x14ac:dyDescent="0.25">
      <c r="A3741" s="106">
        <v>4908</v>
      </c>
      <c r="B3741" s="108" t="s">
        <v>9074</v>
      </c>
      <c r="C3741" s="110" t="s">
        <v>5755</v>
      </c>
      <c r="D3741" s="111">
        <v>79.38</v>
      </c>
    </row>
    <row r="3742" spans="1:4" x14ac:dyDescent="0.25">
      <c r="A3742" s="106">
        <v>4909</v>
      </c>
      <c r="B3742" s="108" t="s">
        <v>9075</v>
      </c>
      <c r="C3742" s="110" t="s">
        <v>5755</v>
      </c>
      <c r="D3742" s="111">
        <v>153.31</v>
      </c>
    </row>
    <row r="3743" spans="1:4" x14ac:dyDescent="0.25">
      <c r="A3743" s="106">
        <v>4903</v>
      </c>
      <c r="B3743" s="108" t="s">
        <v>9076</v>
      </c>
      <c r="C3743" s="110" t="s">
        <v>5755</v>
      </c>
      <c r="D3743" s="111">
        <v>450.8</v>
      </c>
    </row>
    <row r="3744" spans="1:4" x14ac:dyDescent="0.25">
      <c r="A3744" s="106">
        <v>4897</v>
      </c>
      <c r="B3744" s="108" t="s">
        <v>9077</v>
      </c>
      <c r="C3744" s="110" t="s">
        <v>5755</v>
      </c>
      <c r="D3744" s="111">
        <v>1.75</v>
      </c>
    </row>
    <row r="3745" spans="1:4" x14ac:dyDescent="0.25">
      <c r="A3745" s="106">
        <v>4896</v>
      </c>
      <c r="B3745" s="108" t="s">
        <v>9078</v>
      </c>
      <c r="C3745" s="110" t="s">
        <v>5755</v>
      </c>
      <c r="D3745" s="111">
        <v>0.62</v>
      </c>
    </row>
    <row r="3746" spans="1:4" x14ac:dyDescent="0.25">
      <c r="A3746" s="106">
        <v>4900</v>
      </c>
      <c r="B3746" s="108" t="s">
        <v>9079</v>
      </c>
      <c r="C3746" s="110" t="s">
        <v>5755</v>
      </c>
      <c r="D3746" s="111">
        <v>5.23</v>
      </c>
    </row>
    <row r="3747" spans="1:4" x14ac:dyDescent="0.25">
      <c r="A3747" s="106">
        <v>4898</v>
      </c>
      <c r="B3747" s="108" t="s">
        <v>9080</v>
      </c>
      <c r="C3747" s="110" t="s">
        <v>5755</v>
      </c>
      <c r="D3747" s="111">
        <v>1.95</v>
      </c>
    </row>
    <row r="3748" spans="1:4" x14ac:dyDescent="0.25">
      <c r="A3748" s="106">
        <v>4899</v>
      </c>
      <c r="B3748" s="108" t="s">
        <v>9081</v>
      </c>
      <c r="C3748" s="110" t="s">
        <v>5755</v>
      </c>
      <c r="D3748" s="111">
        <v>7.17</v>
      </c>
    </row>
    <row r="3749" spans="1:4" x14ac:dyDescent="0.25">
      <c r="A3749" s="106">
        <v>11096</v>
      </c>
      <c r="B3749" s="108" t="s">
        <v>9082</v>
      </c>
      <c r="C3749" s="110" t="s">
        <v>5816</v>
      </c>
      <c r="D3749" s="111">
        <v>0.41</v>
      </c>
    </row>
    <row r="3750" spans="1:4" x14ac:dyDescent="0.25">
      <c r="A3750" s="106">
        <v>4741</v>
      </c>
      <c r="B3750" s="108" t="s">
        <v>463</v>
      </c>
      <c r="C3750" s="110" t="s">
        <v>5902</v>
      </c>
      <c r="D3750" s="111">
        <v>76.37</v>
      </c>
    </row>
    <row r="3751" spans="1:4" x14ac:dyDescent="0.25">
      <c r="A3751" s="106">
        <v>4752</v>
      </c>
      <c r="B3751" s="108" t="s">
        <v>9083</v>
      </c>
      <c r="C3751" s="110" t="s">
        <v>5759</v>
      </c>
      <c r="D3751" s="111">
        <v>8.89</v>
      </c>
    </row>
    <row r="3752" spans="1:4" x14ac:dyDescent="0.25">
      <c r="A3752" s="106">
        <v>41091</v>
      </c>
      <c r="B3752" s="108" t="s">
        <v>9084</v>
      </c>
      <c r="C3752" s="110" t="s">
        <v>5906</v>
      </c>
      <c r="D3752" s="111">
        <v>1576.3</v>
      </c>
    </row>
    <row r="3753" spans="1:4" ht="25.5" x14ac:dyDescent="0.25">
      <c r="A3753" s="106">
        <v>13954</v>
      </c>
      <c r="B3753" s="108" t="s">
        <v>9085</v>
      </c>
      <c r="C3753" s="110" t="s">
        <v>5755</v>
      </c>
      <c r="D3753" s="111">
        <v>6507.54</v>
      </c>
    </row>
    <row r="3754" spans="1:4" ht="25.5" x14ac:dyDescent="0.25">
      <c r="A3754" s="106">
        <v>3411</v>
      </c>
      <c r="B3754" s="108" t="s">
        <v>9086</v>
      </c>
      <c r="C3754" s="110" t="s">
        <v>5816</v>
      </c>
      <c r="D3754" s="111">
        <v>38.659999999999997</v>
      </c>
    </row>
    <row r="3755" spans="1:4" x14ac:dyDescent="0.25">
      <c r="A3755" s="106">
        <v>39995</v>
      </c>
      <c r="B3755" s="108" t="s">
        <v>660</v>
      </c>
      <c r="C3755" s="110" t="s">
        <v>5902</v>
      </c>
      <c r="D3755" s="111">
        <v>297.42</v>
      </c>
    </row>
    <row r="3756" spans="1:4" ht="25.5" x14ac:dyDescent="0.25">
      <c r="A3756" s="106">
        <v>11615</v>
      </c>
      <c r="B3756" s="108" t="s">
        <v>9087</v>
      </c>
      <c r="C3756" s="110" t="s">
        <v>5757</v>
      </c>
      <c r="D3756" s="111">
        <v>2.52</v>
      </c>
    </row>
    <row r="3757" spans="1:4" ht="25.5" x14ac:dyDescent="0.25">
      <c r="A3757" s="106">
        <v>3408</v>
      </c>
      <c r="B3757" s="108" t="s">
        <v>9088</v>
      </c>
      <c r="C3757" s="110" t="s">
        <v>5757</v>
      </c>
      <c r="D3757" s="111">
        <v>6.7</v>
      </c>
    </row>
    <row r="3758" spans="1:4" ht="25.5" x14ac:dyDescent="0.25">
      <c r="A3758" s="106">
        <v>3409</v>
      </c>
      <c r="B3758" s="108" t="s">
        <v>9089</v>
      </c>
      <c r="C3758" s="110" t="s">
        <v>5757</v>
      </c>
      <c r="D3758" s="111">
        <v>16.75</v>
      </c>
    </row>
    <row r="3759" spans="1:4" x14ac:dyDescent="0.25">
      <c r="A3759" s="106">
        <v>11427</v>
      </c>
      <c r="B3759" s="108" t="s">
        <v>9090</v>
      </c>
      <c r="C3759" s="110" t="s">
        <v>5816</v>
      </c>
      <c r="D3759" s="111">
        <v>76.66</v>
      </c>
    </row>
    <row r="3760" spans="1:4" ht="25.5" x14ac:dyDescent="0.25">
      <c r="A3760" s="106">
        <v>4491</v>
      </c>
      <c r="B3760" s="108" t="s">
        <v>9091</v>
      </c>
      <c r="C3760" s="110" t="s">
        <v>5767</v>
      </c>
      <c r="D3760" s="111">
        <v>5.58</v>
      </c>
    </row>
    <row r="3761" spans="1:4" ht="25.5" x14ac:dyDescent="0.25">
      <c r="A3761" s="106">
        <v>26022</v>
      </c>
      <c r="B3761" s="108" t="s">
        <v>9092</v>
      </c>
      <c r="C3761" s="110" t="s">
        <v>5755</v>
      </c>
      <c r="D3761" s="111">
        <v>186.3</v>
      </c>
    </row>
    <row r="3762" spans="1:4" x14ac:dyDescent="0.25">
      <c r="A3762" s="106">
        <v>421</v>
      </c>
      <c r="B3762" s="108" t="s">
        <v>9093</v>
      </c>
      <c r="C3762" s="110" t="s">
        <v>5755</v>
      </c>
      <c r="D3762" s="111">
        <v>8.4</v>
      </c>
    </row>
    <row r="3763" spans="1:4" ht="25.5" x14ac:dyDescent="0.25">
      <c r="A3763" s="106">
        <v>12362</v>
      </c>
      <c r="B3763" s="108" t="s">
        <v>9094</v>
      </c>
      <c r="C3763" s="110" t="s">
        <v>5755</v>
      </c>
      <c r="D3763" s="111">
        <v>9.73</v>
      </c>
    </row>
    <row r="3764" spans="1:4" ht="25.5" x14ac:dyDescent="0.25">
      <c r="A3764" s="106">
        <v>14148</v>
      </c>
      <c r="B3764" s="108" t="s">
        <v>9095</v>
      </c>
      <c r="C3764" s="110" t="s">
        <v>5755</v>
      </c>
      <c r="D3764" s="111">
        <v>0.77</v>
      </c>
    </row>
    <row r="3765" spans="1:4" x14ac:dyDescent="0.25">
      <c r="A3765" s="106">
        <v>4341</v>
      </c>
      <c r="B3765" s="108" t="s">
        <v>9096</v>
      </c>
      <c r="C3765" s="110" t="s">
        <v>5755</v>
      </c>
      <c r="D3765" s="111">
        <v>0.7</v>
      </c>
    </row>
    <row r="3766" spans="1:4" x14ac:dyDescent="0.25">
      <c r="A3766" s="106">
        <v>4337</v>
      </c>
      <c r="B3766" s="108" t="s">
        <v>9097</v>
      </c>
      <c r="C3766" s="110" t="s">
        <v>5755</v>
      </c>
      <c r="D3766" s="111">
        <v>1.77</v>
      </c>
    </row>
    <row r="3767" spans="1:4" x14ac:dyDescent="0.25">
      <c r="A3767" s="106">
        <v>4339</v>
      </c>
      <c r="B3767" s="108" t="s">
        <v>525</v>
      </c>
      <c r="C3767" s="110" t="s">
        <v>5755</v>
      </c>
      <c r="D3767" s="111">
        <v>0.37</v>
      </c>
    </row>
    <row r="3768" spans="1:4" x14ac:dyDescent="0.25">
      <c r="A3768" s="106">
        <v>39997</v>
      </c>
      <c r="B3768" s="108" t="s">
        <v>9098</v>
      </c>
      <c r="C3768" s="110" t="s">
        <v>5755</v>
      </c>
      <c r="D3768" s="111">
        <v>0.21</v>
      </c>
    </row>
    <row r="3769" spans="1:4" x14ac:dyDescent="0.25">
      <c r="A3769" s="106">
        <v>11971</v>
      </c>
      <c r="B3769" s="108" t="s">
        <v>9099</v>
      </c>
      <c r="C3769" s="110" t="s">
        <v>5755</v>
      </c>
      <c r="D3769" s="111">
        <v>2.93</v>
      </c>
    </row>
    <row r="3770" spans="1:4" x14ac:dyDescent="0.25">
      <c r="A3770" s="106">
        <v>4342</v>
      </c>
      <c r="B3770" s="108" t="s">
        <v>9100</v>
      </c>
      <c r="C3770" s="110" t="s">
        <v>5755</v>
      </c>
      <c r="D3770" s="111">
        <v>0.15</v>
      </c>
    </row>
    <row r="3771" spans="1:4" x14ac:dyDescent="0.25">
      <c r="A3771" s="106">
        <v>4330</v>
      </c>
      <c r="B3771" s="108" t="s">
        <v>9101</v>
      </c>
      <c r="C3771" s="110" t="s">
        <v>5755</v>
      </c>
      <c r="D3771" s="111">
        <v>0.1</v>
      </c>
    </row>
    <row r="3772" spans="1:4" x14ac:dyDescent="0.25">
      <c r="A3772" s="106">
        <v>4340</v>
      </c>
      <c r="B3772" s="108" t="s">
        <v>9102</v>
      </c>
      <c r="C3772" s="110" t="s">
        <v>5755</v>
      </c>
      <c r="D3772" s="111">
        <v>0.82</v>
      </c>
    </row>
    <row r="3773" spans="1:4" ht="25.5" x14ac:dyDescent="0.25">
      <c r="A3773" s="106">
        <v>5088</v>
      </c>
      <c r="B3773" s="108" t="s">
        <v>9103</v>
      </c>
      <c r="C3773" s="110" t="s">
        <v>5755</v>
      </c>
      <c r="D3773" s="111">
        <v>2.62</v>
      </c>
    </row>
    <row r="3774" spans="1:4" ht="25.5" x14ac:dyDescent="0.25">
      <c r="A3774" s="106">
        <v>11154</v>
      </c>
      <c r="B3774" s="108" t="s">
        <v>9104</v>
      </c>
      <c r="C3774" s="110" t="s">
        <v>5755</v>
      </c>
      <c r="D3774" s="111">
        <v>909.55</v>
      </c>
    </row>
    <row r="3775" spans="1:4" ht="38.25" x14ac:dyDescent="0.25">
      <c r="A3775" s="106">
        <v>39021</v>
      </c>
      <c r="B3775" s="108" t="s">
        <v>9105</v>
      </c>
      <c r="C3775" s="110" t="s">
        <v>5755</v>
      </c>
      <c r="D3775" s="111">
        <v>409.11</v>
      </c>
    </row>
    <row r="3776" spans="1:4" ht="25.5" x14ac:dyDescent="0.25">
      <c r="A3776" s="106">
        <v>39022</v>
      </c>
      <c r="B3776" s="108" t="s">
        <v>9106</v>
      </c>
      <c r="C3776" s="110" t="s">
        <v>5755</v>
      </c>
      <c r="D3776" s="111">
        <v>505.95</v>
      </c>
    </row>
    <row r="3777" spans="1:4" ht="38.25" x14ac:dyDescent="0.25">
      <c r="A3777" s="106">
        <v>39024</v>
      </c>
      <c r="B3777" s="108" t="s">
        <v>9107</v>
      </c>
      <c r="C3777" s="110" t="s">
        <v>5755</v>
      </c>
      <c r="D3777" s="111">
        <v>912.81</v>
      </c>
    </row>
    <row r="3778" spans="1:4" ht="25.5" x14ac:dyDescent="0.25">
      <c r="A3778" s="106">
        <v>4914</v>
      </c>
      <c r="B3778" s="108" t="s">
        <v>9108</v>
      </c>
      <c r="C3778" s="110" t="s">
        <v>5757</v>
      </c>
      <c r="D3778" s="111">
        <v>740.13</v>
      </c>
    </row>
    <row r="3779" spans="1:4" ht="25.5" x14ac:dyDescent="0.25">
      <c r="A3779" s="106">
        <v>4917</v>
      </c>
      <c r="B3779" s="108" t="s">
        <v>9109</v>
      </c>
      <c r="C3779" s="110" t="s">
        <v>5757</v>
      </c>
      <c r="D3779" s="111">
        <v>511.14</v>
      </c>
    </row>
    <row r="3780" spans="1:4" ht="25.5" x14ac:dyDescent="0.25">
      <c r="A3780" s="106">
        <v>39025</v>
      </c>
      <c r="B3780" s="108" t="s">
        <v>9110</v>
      </c>
      <c r="C3780" s="110" t="s">
        <v>5755</v>
      </c>
      <c r="D3780" s="111">
        <v>935.99</v>
      </c>
    </row>
    <row r="3781" spans="1:4" ht="25.5" x14ac:dyDescent="0.25">
      <c r="A3781" s="106">
        <v>4930</v>
      </c>
      <c r="B3781" s="108" t="s">
        <v>9111</v>
      </c>
      <c r="C3781" s="110" t="s">
        <v>5757</v>
      </c>
      <c r="D3781" s="111">
        <v>439.68</v>
      </c>
    </row>
    <row r="3782" spans="1:4" ht="38.25" x14ac:dyDescent="0.25">
      <c r="A3782" s="106">
        <v>4922</v>
      </c>
      <c r="B3782" s="108" t="s">
        <v>9112</v>
      </c>
      <c r="C3782" s="110" t="s">
        <v>5757</v>
      </c>
      <c r="D3782" s="111">
        <v>474.13</v>
      </c>
    </row>
    <row r="3783" spans="1:4" ht="25.5" x14ac:dyDescent="0.25">
      <c r="A3783" s="106">
        <v>4911</v>
      </c>
      <c r="B3783" s="108" t="s">
        <v>9113</v>
      </c>
      <c r="C3783" s="110" t="s">
        <v>5757</v>
      </c>
      <c r="D3783" s="111">
        <v>276.92</v>
      </c>
    </row>
    <row r="3784" spans="1:4" ht="38.25" x14ac:dyDescent="0.25">
      <c r="A3784" s="106">
        <v>37518</v>
      </c>
      <c r="B3784" s="108" t="s">
        <v>9114</v>
      </c>
      <c r="C3784" s="110" t="s">
        <v>5757</v>
      </c>
      <c r="D3784" s="111">
        <v>449.99</v>
      </c>
    </row>
    <row r="3785" spans="1:4" ht="25.5" x14ac:dyDescent="0.25">
      <c r="A3785" s="106">
        <v>4910</v>
      </c>
      <c r="B3785" s="108" t="s">
        <v>9115</v>
      </c>
      <c r="C3785" s="110" t="s">
        <v>5757</v>
      </c>
      <c r="D3785" s="111">
        <v>379.35</v>
      </c>
    </row>
    <row r="3786" spans="1:4" ht="38.25" x14ac:dyDescent="0.25">
      <c r="A3786" s="106">
        <v>4943</v>
      </c>
      <c r="B3786" s="108" t="s">
        <v>9116</v>
      </c>
      <c r="C3786" s="110" t="s">
        <v>5757</v>
      </c>
      <c r="D3786" s="111">
        <v>565.14</v>
      </c>
    </row>
    <row r="3787" spans="1:4" ht="25.5" x14ac:dyDescent="0.25">
      <c r="A3787" s="106">
        <v>5002</v>
      </c>
      <c r="B3787" s="108" t="s">
        <v>9117</v>
      </c>
      <c r="C3787" s="110" t="s">
        <v>5757</v>
      </c>
      <c r="D3787" s="111">
        <v>273.99</v>
      </c>
    </row>
    <row r="3788" spans="1:4" ht="25.5" x14ac:dyDescent="0.25">
      <c r="A3788" s="106">
        <v>4977</v>
      </c>
      <c r="B3788" s="108" t="s">
        <v>9118</v>
      </c>
      <c r="C3788" s="110" t="s">
        <v>5757</v>
      </c>
      <c r="D3788" s="111">
        <v>184.95</v>
      </c>
    </row>
    <row r="3789" spans="1:4" ht="25.5" x14ac:dyDescent="0.25">
      <c r="A3789" s="106">
        <v>5028</v>
      </c>
      <c r="B3789" s="108" t="s">
        <v>9119</v>
      </c>
      <c r="C3789" s="110" t="s">
        <v>5757</v>
      </c>
      <c r="D3789" s="111">
        <v>452.55</v>
      </c>
    </row>
    <row r="3790" spans="1:4" ht="25.5" x14ac:dyDescent="0.25">
      <c r="A3790" s="106">
        <v>4998</v>
      </c>
      <c r="B3790" s="108" t="s">
        <v>9120</v>
      </c>
      <c r="C3790" s="110" t="s">
        <v>5757</v>
      </c>
      <c r="D3790" s="111">
        <v>375.85</v>
      </c>
    </row>
    <row r="3791" spans="1:4" ht="25.5" x14ac:dyDescent="0.25">
      <c r="A3791" s="106">
        <v>4969</v>
      </c>
      <c r="B3791" s="108" t="s">
        <v>9121</v>
      </c>
      <c r="C3791" s="110" t="s">
        <v>5757</v>
      </c>
      <c r="D3791" s="111">
        <v>261.58</v>
      </c>
    </row>
    <row r="3792" spans="1:4" ht="38.25" x14ac:dyDescent="0.25">
      <c r="A3792" s="106">
        <v>11364</v>
      </c>
      <c r="B3792" s="108" t="s">
        <v>9122</v>
      </c>
      <c r="C3792" s="110" t="s">
        <v>5755</v>
      </c>
      <c r="D3792" s="111">
        <v>127.99</v>
      </c>
    </row>
    <row r="3793" spans="1:4" ht="38.25" x14ac:dyDescent="0.25">
      <c r="A3793" s="106">
        <v>11365</v>
      </c>
      <c r="B3793" s="108" t="s">
        <v>9123</v>
      </c>
      <c r="C3793" s="110" t="s">
        <v>5755</v>
      </c>
      <c r="D3793" s="111">
        <v>137.84</v>
      </c>
    </row>
    <row r="3794" spans="1:4" ht="38.25" x14ac:dyDescent="0.25">
      <c r="A3794" s="106">
        <v>11366</v>
      </c>
      <c r="B3794" s="108" t="s">
        <v>9124</v>
      </c>
      <c r="C3794" s="110" t="s">
        <v>5755</v>
      </c>
      <c r="D3794" s="111">
        <v>145.87</v>
      </c>
    </row>
    <row r="3795" spans="1:4" ht="38.25" x14ac:dyDescent="0.25">
      <c r="A3795" s="106">
        <v>4989</v>
      </c>
      <c r="B3795" s="108" t="s">
        <v>492</v>
      </c>
      <c r="C3795" s="110" t="s">
        <v>5755</v>
      </c>
      <c r="D3795" s="111">
        <v>291.57</v>
      </c>
    </row>
    <row r="3796" spans="1:4" ht="38.25" x14ac:dyDescent="0.25">
      <c r="A3796" s="106">
        <v>4982</v>
      </c>
      <c r="B3796" s="108" t="s">
        <v>9125</v>
      </c>
      <c r="C3796" s="110" t="s">
        <v>5755</v>
      </c>
      <c r="D3796" s="111">
        <v>253.13</v>
      </c>
    </row>
    <row r="3797" spans="1:4" ht="38.25" x14ac:dyDescent="0.25">
      <c r="A3797" s="106">
        <v>20322</v>
      </c>
      <c r="B3797" s="108" t="s">
        <v>9126</v>
      </c>
      <c r="C3797" s="110" t="s">
        <v>5755</v>
      </c>
      <c r="D3797" s="111">
        <v>223.1</v>
      </c>
    </row>
    <row r="3798" spans="1:4" ht="38.25" x14ac:dyDescent="0.25">
      <c r="A3798" s="106">
        <v>10553</v>
      </c>
      <c r="B3798" s="108" t="s">
        <v>9127</v>
      </c>
      <c r="C3798" s="110" t="s">
        <v>5755</v>
      </c>
      <c r="D3798" s="111">
        <v>237.86</v>
      </c>
    </row>
    <row r="3799" spans="1:4" ht="38.25" x14ac:dyDescent="0.25">
      <c r="A3799" s="106">
        <v>5020</v>
      </c>
      <c r="B3799" s="108" t="s">
        <v>9128</v>
      </c>
      <c r="C3799" s="110" t="s">
        <v>5755</v>
      </c>
      <c r="D3799" s="111">
        <v>246.61</v>
      </c>
    </row>
    <row r="3800" spans="1:4" ht="38.25" x14ac:dyDescent="0.25">
      <c r="A3800" s="106">
        <v>4962</v>
      </c>
      <c r="B3800" s="108" t="s">
        <v>9129</v>
      </c>
      <c r="C3800" s="110" t="s">
        <v>5755</v>
      </c>
      <c r="D3800" s="111">
        <v>240.26</v>
      </c>
    </row>
    <row r="3801" spans="1:4" ht="38.25" x14ac:dyDescent="0.25">
      <c r="A3801" s="106">
        <v>4981</v>
      </c>
      <c r="B3801" s="108" t="s">
        <v>491</v>
      </c>
      <c r="C3801" s="110" t="s">
        <v>5755</v>
      </c>
      <c r="D3801" s="111">
        <v>169.9</v>
      </c>
    </row>
    <row r="3802" spans="1:4" ht="38.25" x14ac:dyDescent="0.25">
      <c r="A3802" s="106">
        <v>10554</v>
      </c>
      <c r="B3802" s="108" t="s">
        <v>9130</v>
      </c>
      <c r="C3802" s="110" t="s">
        <v>5755</v>
      </c>
      <c r="D3802" s="111">
        <v>265.83</v>
      </c>
    </row>
    <row r="3803" spans="1:4" ht="38.25" x14ac:dyDescent="0.25">
      <c r="A3803" s="106">
        <v>4964</v>
      </c>
      <c r="B3803" s="108" t="s">
        <v>9131</v>
      </c>
      <c r="C3803" s="110" t="s">
        <v>5755</v>
      </c>
      <c r="D3803" s="111">
        <v>291.74</v>
      </c>
    </row>
    <row r="3804" spans="1:4" ht="38.25" x14ac:dyDescent="0.25">
      <c r="A3804" s="106">
        <v>4992</v>
      </c>
      <c r="B3804" s="108" t="s">
        <v>9132</v>
      </c>
      <c r="C3804" s="110" t="s">
        <v>5755</v>
      </c>
      <c r="D3804" s="111">
        <v>289.33999999999997</v>
      </c>
    </row>
    <row r="3805" spans="1:4" ht="38.25" x14ac:dyDescent="0.25">
      <c r="A3805" s="106">
        <v>10555</v>
      </c>
      <c r="B3805" s="108" t="s">
        <v>9133</v>
      </c>
      <c r="C3805" s="110" t="s">
        <v>5755</v>
      </c>
      <c r="D3805" s="111">
        <v>256.56</v>
      </c>
    </row>
    <row r="3806" spans="1:4" ht="38.25" x14ac:dyDescent="0.25">
      <c r="A3806" s="106">
        <v>4987</v>
      </c>
      <c r="B3806" s="108" t="s">
        <v>9134</v>
      </c>
      <c r="C3806" s="110" t="s">
        <v>5755</v>
      </c>
      <c r="D3806" s="111">
        <v>265.83</v>
      </c>
    </row>
    <row r="3807" spans="1:4" ht="38.25" x14ac:dyDescent="0.25">
      <c r="A3807" s="106">
        <v>10556</v>
      </c>
      <c r="B3807" s="108" t="s">
        <v>9135</v>
      </c>
      <c r="C3807" s="110" t="s">
        <v>5755</v>
      </c>
      <c r="D3807" s="111">
        <v>272.56</v>
      </c>
    </row>
    <row r="3808" spans="1:4" ht="38.25" x14ac:dyDescent="0.25">
      <c r="A3808" s="106">
        <v>4958</v>
      </c>
      <c r="B3808" s="108" t="s">
        <v>9136</v>
      </c>
      <c r="C3808" s="110" t="s">
        <v>5757</v>
      </c>
      <c r="D3808" s="111">
        <v>155.78</v>
      </c>
    </row>
    <row r="3809" spans="1:4" ht="38.25" x14ac:dyDescent="0.25">
      <c r="A3809" s="106">
        <v>39502</v>
      </c>
      <c r="B3809" s="108" t="s">
        <v>9137</v>
      </c>
      <c r="C3809" s="110" t="s">
        <v>5755</v>
      </c>
      <c r="D3809" s="111">
        <v>377.55</v>
      </c>
    </row>
    <row r="3810" spans="1:4" ht="38.25" x14ac:dyDescent="0.25">
      <c r="A3810" s="106">
        <v>39504</v>
      </c>
      <c r="B3810" s="108" t="s">
        <v>9138</v>
      </c>
      <c r="C3810" s="110" t="s">
        <v>5755</v>
      </c>
      <c r="D3810" s="111">
        <v>267.72000000000003</v>
      </c>
    </row>
    <row r="3811" spans="1:4" ht="38.25" x14ac:dyDescent="0.25">
      <c r="A3811" s="106">
        <v>39503</v>
      </c>
      <c r="B3811" s="108" t="s">
        <v>9139</v>
      </c>
      <c r="C3811" s="110" t="s">
        <v>5755</v>
      </c>
      <c r="D3811" s="111">
        <v>410.16</v>
      </c>
    </row>
    <row r="3812" spans="1:4" ht="38.25" x14ac:dyDescent="0.25">
      <c r="A3812" s="106">
        <v>39505</v>
      </c>
      <c r="B3812" s="108" t="s">
        <v>9140</v>
      </c>
      <c r="C3812" s="110" t="s">
        <v>5755</v>
      </c>
      <c r="D3812" s="111">
        <v>291.74</v>
      </c>
    </row>
    <row r="3813" spans="1:4" x14ac:dyDescent="0.25">
      <c r="A3813" s="106">
        <v>25969</v>
      </c>
      <c r="B3813" s="108" t="s">
        <v>9141</v>
      </c>
      <c r="C3813" s="110" t="s">
        <v>5755</v>
      </c>
      <c r="D3813" s="111">
        <v>386.63</v>
      </c>
    </row>
    <row r="3814" spans="1:4" ht="25.5" x14ac:dyDescent="0.25">
      <c r="A3814" s="106">
        <v>4944</v>
      </c>
      <c r="B3814" s="108" t="s">
        <v>9142</v>
      </c>
      <c r="C3814" s="110" t="s">
        <v>5757</v>
      </c>
      <c r="D3814" s="111">
        <v>844.88</v>
      </c>
    </row>
    <row r="3815" spans="1:4" x14ac:dyDescent="0.25">
      <c r="A3815" s="106">
        <v>21102</v>
      </c>
      <c r="B3815" s="108" t="s">
        <v>9143</v>
      </c>
      <c r="C3815" s="110" t="s">
        <v>5755</v>
      </c>
      <c r="D3815" s="111">
        <v>28.68</v>
      </c>
    </row>
    <row r="3816" spans="1:4" x14ac:dyDescent="0.25">
      <c r="A3816" s="106">
        <v>21101</v>
      </c>
      <c r="B3816" s="108" t="s">
        <v>9144</v>
      </c>
      <c r="C3816" s="110" t="s">
        <v>5755</v>
      </c>
      <c r="D3816" s="111">
        <v>18.41</v>
      </c>
    </row>
    <row r="3817" spans="1:4" ht="25.5" x14ac:dyDescent="0.25">
      <c r="A3817" s="106">
        <v>34713</v>
      </c>
      <c r="B3817" s="108" t="s">
        <v>9145</v>
      </c>
      <c r="C3817" s="110" t="s">
        <v>5757</v>
      </c>
      <c r="D3817" s="111">
        <v>327.05</v>
      </c>
    </row>
    <row r="3818" spans="1:4" ht="38.25" x14ac:dyDescent="0.25">
      <c r="A3818" s="106">
        <v>4947</v>
      </c>
      <c r="B3818" s="108" t="s">
        <v>9146</v>
      </c>
      <c r="C3818" s="110" t="s">
        <v>5757</v>
      </c>
      <c r="D3818" s="111">
        <v>565.02</v>
      </c>
    </row>
    <row r="3819" spans="1:4" ht="25.5" x14ac:dyDescent="0.25">
      <c r="A3819" s="106">
        <v>37563</v>
      </c>
      <c r="B3819" s="108" t="s">
        <v>9147</v>
      </c>
      <c r="C3819" s="110" t="s">
        <v>5757</v>
      </c>
      <c r="D3819" s="111">
        <v>433.84</v>
      </c>
    </row>
    <row r="3820" spans="1:4" ht="25.5" x14ac:dyDescent="0.25">
      <c r="A3820" s="106">
        <v>4948</v>
      </c>
      <c r="B3820" s="108" t="s">
        <v>9148</v>
      </c>
      <c r="C3820" s="110" t="s">
        <v>5757</v>
      </c>
      <c r="D3820" s="111">
        <v>393.73</v>
      </c>
    </row>
    <row r="3821" spans="1:4" ht="38.25" x14ac:dyDescent="0.25">
      <c r="A3821" s="106">
        <v>37561</v>
      </c>
      <c r="B3821" s="108" t="s">
        <v>481</v>
      </c>
      <c r="C3821" s="110" t="s">
        <v>5757</v>
      </c>
      <c r="D3821" s="111">
        <v>809.87</v>
      </c>
    </row>
    <row r="3822" spans="1:4" ht="38.25" x14ac:dyDescent="0.25">
      <c r="A3822" s="106">
        <v>37562</v>
      </c>
      <c r="B3822" s="108" t="s">
        <v>9149</v>
      </c>
      <c r="C3822" s="110" t="s">
        <v>5757</v>
      </c>
      <c r="D3822" s="111">
        <v>519.45000000000005</v>
      </c>
    </row>
    <row r="3823" spans="1:4" ht="25.5" x14ac:dyDescent="0.25">
      <c r="A3823" s="106">
        <v>37585</v>
      </c>
      <c r="B3823" s="108" t="s">
        <v>9150</v>
      </c>
      <c r="C3823" s="110" t="s">
        <v>5755</v>
      </c>
      <c r="D3823" s="111">
        <v>254.85</v>
      </c>
    </row>
    <row r="3824" spans="1:4" ht="25.5" x14ac:dyDescent="0.25">
      <c r="A3824" s="106">
        <v>14164</v>
      </c>
      <c r="B3824" s="108" t="s">
        <v>9151</v>
      </c>
      <c r="C3824" s="110" t="s">
        <v>5755</v>
      </c>
      <c r="D3824" s="111">
        <v>958.07</v>
      </c>
    </row>
    <row r="3825" spans="1:4" ht="25.5" x14ac:dyDescent="0.25">
      <c r="A3825" s="106">
        <v>14163</v>
      </c>
      <c r="B3825" s="108" t="s">
        <v>9152</v>
      </c>
      <c r="C3825" s="110" t="s">
        <v>5755</v>
      </c>
      <c r="D3825" s="111">
        <v>1088.9100000000001</v>
      </c>
    </row>
    <row r="3826" spans="1:4" ht="25.5" x14ac:dyDescent="0.25">
      <c r="A3826" s="106">
        <v>5051</v>
      </c>
      <c r="B3826" s="108" t="s">
        <v>9153</v>
      </c>
      <c r="C3826" s="110" t="s">
        <v>5755</v>
      </c>
      <c r="D3826" s="111">
        <v>926.1</v>
      </c>
    </row>
    <row r="3827" spans="1:4" ht="25.5" x14ac:dyDescent="0.25">
      <c r="A3827" s="106">
        <v>14162</v>
      </c>
      <c r="B3827" s="108" t="s">
        <v>9154</v>
      </c>
      <c r="C3827" s="110" t="s">
        <v>5755</v>
      </c>
      <c r="D3827" s="111">
        <v>924.76</v>
      </c>
    </row>
    <row r="3828" spans="1:4" ht="25.5" x14ac:dyDescent="0.25">
      <c r="A3828" s="106">
        <v>5052</v>
      </c>
      <c r="B3828" s="108" t="s">
        <v>9155</v>
      </c>
      <c r="C3828" s="110" t="s">
        <v>5755</v>
      </c>
      <c r="D3828" s="111">
        <v>690</v>
      </c>
    </row>
    <row r="3829" spans="1:4" ht="25.5" x14ac:dyDescent="0.25">
      <c r="A3829" s="106">
        <v>14166</v>
      </c>
      <c r="B3829" s="108" t="s">
        <v>9156</v>
      </c>
      <c r="C3829" s="110" t="s">
        <v>5755</v>
      </c>
      <c r="D3829" s="111">
        <v>698.76</v>
      </c>
    </row>
    <row r="3830" spans="1:4" ht="25.5" x14ac:dyDescent="0.25">
      <c r="A3830" s="106">
        <v>14165</v>
      </c>
      <c r="B3830" s="108" t="s">
        <v>9157</v>
      </c>
      <c r="C3830" s="110" t="s">
        <v>5755</v>
      </c>
      <c r="D3830" s="111">
        <v>968.03</v>
      </c>
    </row>
    <row r="3831" spans="1:4" ht="25.5" x14ac:dyDescent="0.25">
      <c r="A3831" s="106">
        <v>5050</v>
      </c>
      <c r="B3831" s="108" t="s">
        <v>9158</v>
      </c>
      <c r="C3831" s="110" t="s">
        <v>5755</v>
      </c>
      <c r="D3831" s="111">
        <v>238.25</v>
      </c>
    </row>
    <row r="3832" spans="1:4" ht="25.5" x14ac:dyDescent="0.25">
      <c r="A3832" s="106">
        <v>12378</v>
      </c>
      <c r="B3832" s="108" t="s">
        <v>9159</v>
      </c>
      <c r="C3832" s="110" t="s">
        <v>5755</v>
      </c>
      <c r="D3832" s="111">
        <v>566.32000000000005</v>
      </c>
    </row>
    <row r="3833" spans="1:4" x14ac:dyDescent="0.25">
      <c r="A3833" s="106">
        <v>12366</v>
      </c>
      <c r="B3833" s="108" t="s">
        <v>9160</v>
      </c>
      <c r="C3833" s="110" t="s">
        <v>5755</v>
      </c>
      <c r="D3833" s="111">
        <v>540.11</v>
      </c>
    </row>
    <row r="3834" spans="1:4" x14ac:dyDescent="0.25">
      <c r="A3834" s="106">
        <v>5045</v>
      </c>
      <c r="B3834" s="108" t="s">
        <v>9161</v>
      </c>
      <c r="C3834" s="110" t="s">
        <v>5755</v>
      </c>
      <c r="D3834" s="111">
        <v>752.13</v>
      </c>
    </row>
    <row r="3835" spans="1:4" x14ac:dyDescent="0.25">
      <c r="A3835" s="106">
        <v>5044</v>
      </c>
      <c r="B3835" s="108" t="s">
        <v>9162</v>
      </c>
      <c r="C3835" s="110" t="s">
        <v>5755</v>
      </c>
      <c r="D3835" s="111">
        <v>530.64</v>
      </c>
    </row>
    <row r="3836" spans="1:4" x14ac:dyDescent="0.25">
      <c r="A3836" s="106">
        <v>5055</v>
      </c>
      <c r="B3836" s="108" t="s">
        <v>9163</v>
      </c>
      <c r="C3836" s="110" t="s">
        <v>5755</v>
      </c>
      <c r="D3836" s="111">
        <v>754.43</v>
      </c>
    </row>
    <row r="3837" spans="1:4" x14ac:dyDescent="0.25">
      <c r="A3837" s="106">
        <v>5053</v>
      </c>
      <c r="B3837" s="108" t="s">
        <v>9164</v>
      </c>
      <c r="C3837" s="110" t="s">
        <v>5755</v>
      </c>
      <c r="D3837" s="111">
        <v>587.19000000000005</v>
      </c>
    </row>
    <row r="3838" spans="1:4" x14ac:dyDescent="0.25">
      <c r="A3838" s="106">
        <v>5035</v>
      </c>
      <c r="B3838" s="108" t="s">
        <v>9165</v>
      </c>
      <c r="C3838" s="110" t="s">
        <v>5755</v>
      </c>
      <c r="D3838" s="111">
        <v>960.05</v>
      </c>
    </row>
    <row r="3839" spans="1:4" x14ac:dyDescent="0.25">
      <c r="A3839" s="106">
        <v>5036</v>
      </c>
      <c r="B3839" s="108" t="s">
        <v>9166</v>
      </c>
      <c r="C3839" s="110" t="s">
        <v>5755</v>
      </c>
      <c r="D3839" s="111">
        <v>1602.64</v>
      </c>
    </row>
    <row r="3840" spans="1:4" x14ac:dyDescent="0.25">
      <c r="A3840" s="106">
        <v>5059</v>
      </c>
      <c r="B3840" s="108" t="s">
        <v>9167</v>
      </c>
      <c r="C3840" s="110" t="s">
        <v>5755</v>
      </c>
      <c r="D3840" s="111">
        <v>750.85</v>
      </c>
    </row>
    <row r="3841" spans="1:4" x14ac:dyDescent="0.25">
      <c r="A3841" s="106">
        <v>5034</v>
      </c>
      <c r="B3841" s="108" t="s">
        <v>9168</v>
      </c>
      <c r="C3841" s="110" t="s">
        <v>5755</v>
      </c>
      <c r="D3841" s="111">
        <v>1036.0999999999999</v>
      </c>
    </row>
    <row r="3842" spans="1:4" x14ac:dyDescent="0.25">
      <c r="A3842" s="106">
        <v>5056</v>
      </c>
      <c r="B3842" s="108" t="s">
        <v>9169</v>
      </c>
      <c r="C3842" s="110" t="s">
        <v>5755</v>
      </c>
      <c r="D3842" s="111">
        <v>805.07</v>
      </c>
    </row>
    <row r="3843" spans="1:4" x14ac:dyDescent="0.25">
      <c r="A3843" s="106">
        <v>5057</v>
      </c>
      <c r="B3843" s="108" t="s">
        <v>9170</v>
      </c>
      <c r="C3843" s="110" t="s">
        <v>5755</v>
      </c>
      <c r="D3843" s="111">
        <v>645.66</v>
      </c>
    </row>
    <row r="3844" spans="1:4" x14ac:dyDescent="0.25">
      <c r="A3844" s="106">
        <v>5033</v>
      </c>
      <c r="B3844" s="108" t="s">
        <v>9171</v>
      </c>
      <c r="C3844" s="110" t="s">
        <v>5755</v>
      </c>
      <c r="D3844" s="111">
        <v>536</v>
      </c>
    </row>
    <row r="3845" spans="1:4" x14ac:dyDescent="0.25">
      <c r="A3845" s="106">
        <v>5038</v>
      </c>
      <c r="B3845" s="108" t="s">
        <v>9172</v>
      </c>
      <c r="C3845" s="110" t="s">
        <v>5755</v>
      </c>
      <c r="D3845" s="111">
        <v>436.84</v>
      </c>
    </row>
    <row r="3846" spans="1:4" x14ac:dyDescent="0.25">
      <c r="A3846" s="106">
        <v>12372</v>
      </c>
      <c r="B3846" s="108" t="s">
        <v>9173</v>
      </c>
      <c r="C3846" s="110" t="s">
        <v>5755</v>
      </c>
      <c r="D3846" s="111">
        <v>575.66</v>
      </c>
    </row>
    <row r="3847" spans="1:4" x14ac:dyDescent="0.25">
      <c r="A3847" s="106">
        <v>13339</v>
      </c>
      <c r="B3847" s="108" t="s">
        <v>9174</v>
      </c>
      <c r="C3847" s="110" t="s">
        <v>5755</v>
      </c>
      <c r="D3847" s="111">
        <v>855.78</v>
      </c>
    </row>
    <row r="3848" spans="1:4" x14ac:dyDescent="0.25">
      <c r="A3848" s="106">
        <v>12373</v>
      </c>
      <c r="B3848" s="108" t="s">
        <v>9175</v>
      </c>
      <c r="C3848" s="110" t="s">
        <v>5755</v>
      </c>
      <c r="D3848" s="111">
        <v>896.19</v>
      </c>
    </row>
    <row r="3849" spans="1:4" ht="25.5" x14ac:dyDescent="0.25">
      <c r="A3849" s="106">
        <v>12388</v>
      </c>
      <c r="B3849" s="108" t="s">
        <v>9176</v>
      </c>
      <c r="C3849" s="110" t="s">
        <v>5755</v>
      </c>
      <c r="D3849" s="111">
        <v>141.03</v>
      </c>
    </row>
    <row r="3850" spans="1:4" x14ac:dyDescent="0.25">
      <c r="A3850" s="106">
        <v>34695</v>
      </c>
      <c r="B3850" s="108" t="s">
        <v>9177</v>
      </c>
      <c r="C3850" s="110" t="s">
        <v>5755</v>
      </c>
      <c r="D3850" s="111">
        <v>616.4</v>
      </c>
    </row>
    <row r="3851" spans="1:4" x14ac:dyDescent="0.25">
      <c r="A3851" s="106">
        <v>34692</v>
      </c>
      <c r="B3851" s="108" t="s">
        <v>9178</v>
      </c>
      <c r="C3851" s="110" t="s">
        <v>5755</v>
      </c>
      <c r="D3851" s="111">
        <v>1479.36</v>
      </c>
    </row>
    <row r="3852" spans="1:4" x14ac:dyDescent="0.25">
      <c r="A3852" s="106">
        <v>26028</v>
      </c>
      <c r="B3852" s="108" t="s">
        <v>9179</v>
      </c>
      <c r="C3852" s="110" t="s">
        <v>6700</v>
      </c>
      <c r="D3852" s="111">
        <v>245.45</v>
      </c>
    </row>
    <row r="3853" spans="1:4" ht="25.5" x14ac:dyDescent="0.25">
      <c r="A3853" s="106">
        <v>11844</v>
      </c>
      <c r="B3853" s="108" t="s">
        <v>9180</v>
      </c>
      <c r="C3853" s="110" t="s">
        <v>5767</v>
      </c>
      <c r="D3853" s="111">
        <v>29</v>
      </c>
    </row>
    <row r="3854" spans="1:4" ht="25.5" x14ac:dyDescent="0.25">
      <c r="A3854" s="106">
        <v>4465</v>
      </c>
      <c r="B3854" s="108" t="s">
        <v>9181</v>
      </c>
      <c r="C3854" s="110" t="s">
        <v>5767</v>
      </c>
      <c r="D3854" s="111">
        <v>27.79</v>
      </c>
    </row>
    <row r="3855" spans="1:4" ht="25.5" x14ac:dyDescent="0.25">
      <c r="A3855" s="106">
        <v>35273</v>
      </c>
      <c r="B3855" s="108" t="s">
        <v>9182</v>
      </c>
      <c r="C3855" s="110" t="s">
        <v>5767</v>
      </c>
      <c r="D3855" s="111">
        <v>30.71</v>
      </c>
    </row>
    <row r="3856" spans="1:4" ht="25.5" x14ac:dyDescent="0.25">
      <c r="A3856" s="106">
        <v>4470</v>
      </c>
      <c r="B3856" s="108" t="s">
        <v>9183</v>
      </c>
      <c r="C3856" s="110" t="s">
        <v>5767</v>
      </c>
      <c r="D3856" s="111">
        <v>45.88</v>
      </c>
    </row>
    <row r="3857" spans="1:4" ht="25.5" x14ac:dyDescent="0.25">
      <c r="A3857" s="106">
        <v>20204</v>
      </c>
      <c r="B3857" s="108" t="s">
        <v>9184</v>
      </c>
      <c r="C3857" s="110" t="s">
        <v>5767</v>
      </c>
      <c r="D3857" s="111">
        <v>40.950000000000003</v>
      </c>
    </row>
    <row r="3858" spans="1:4" ht="25.5" x14ac:dyDescent="0.25">
      <c r="A3858" s="106">
        <v>20208</v>
      </c>
      <c r="B3858" s="108" t="s">
        <v>9185</v>
      </c>
      <c r="C3858" s="110" t="s">
        <v>5767</v>
      </c>
      <c r="D3858" s="111">
        <v>48.08</v>
      </c>
    </row>
    <row r="3859" spans="1:4" ht="25.5" x14ac:dyDescent="0.25">
      <c r="A3859" s="106">
        <v>4437</v>
      </c>
      <c r="B3859" s="108" t="s">
        <v>9186</v>
      </c>
      <c r="C3859" s="110" t="s">
        <v>5767</v>
      </c>
      <c r="D3859" s="111">
        <v>33.229999999999997</v>
      </c>
    </row>
    <row r="3860" spans="1:4" ht="25.5" x14ac:dyDescent="0.25">
      <c r="A3860" s="106">
        <v>14580</v>
      </c>
      <c r="B3860" s="108" t="s">
        <v>9187</v>
      </c>
      <c r="C3860" s="110" t="s">
        <v>5767</v>
      </c>
      <c r="D3860" s="111">
        <v>36.19</v>
      </c>
    </row>
    <row r="3861" spans="1:4" x14ac:dyDescent="0.25">
      <c r="A3861" s="106">
        <v>40304</v>
      </c>
      <c r="B3861" s="108" t="s">
        <v>9188</v>
      </c>
      <c r="C3861" s="110" t="s">
        <v>5816</v>
      </c>
      <c r="D3861" s="111">
        <v>13.8</v>
      </c>
    </row>
    <row r="3862" spans="1:4" x14ac:dyDescent="0.25">
      <c r="A3862" s="106">
        <v>5065</v>
      </c>
      <c r="B3862" s="108" t="s">
        <v>9189</v>
      </c>
      <c r="C3862" s="110" t="s">
        <v>5816</v>
      </c>
      <c r="D3862" s="111">
        <v>21.26</v>
      </c>
    </row>
    <row r="3863" spans="1:4" x14ac:dyDescent="0.25">
      <c r="A3863" s="106">
        <v>5072</v>
      </c>
      <c r="B3863" s="108" t="s">
        <v>9190</v>
      </c>
      <c r="C3863" s="110" t="s">
        <v>5816</v>
      </c>
      <c r="D3863" s="111">
        <v>19.670000000000002</v>
      </c>
    </row>
    <row r="3864" spans="1:4" x14ac:dyDescent="0.25">
      <c r="A3864" s="106">
        <v>5066</v>
      </c>
      <c r="B3864" s="108" t="s">
        <v>452</v>
      </c>
      <c r="C3864" s="110" t="s">
        <v>5816</v>
      </c>
      <c r="D3864" s="111">
        <v>14.73</v>
      </c>
    </row>
    <row r="3865" spans="1:4" x14ac:dyDescent="0.25">
      <c r="A3865" s="106">
        <v>5063</v>
      </c>
      <c r="B3865" s="108" t="s">
        <v>9191</v>
      </c>
      <c r="C3865" s="110" t="s">
        <v>5816</v>
      </c>
      <c r="D3865" s="111">
        <v>13.34</v>
      </c>
    </row>
    <row r="3866" spans="1:4" x14ac:dyDescent="0.25">
      <c r="A3866" s="106">
        <v>20247</v>
      </c>
      <c r="B3866" s="108" t="s">
        <v>409</v>
      </c>
      <c r="C3866" s="110" t="s">
        <v>5816</v>
      </c>
      <c r="D3866" s="111">
        <v>12.38</v>
      </c>
    </row>
    <row r="3867" spans="1:4" x14ac:dyDescent="0.25">
      <c r="A3867" s="106">
        <v>5074</v>
      </c>
      <c r="B3867" s="108" t="s">
        <v>9192</v>
      </c>
      <c r="C3867" s="110" t="s">
        <v>5816</v>
      </c>
      <c r="D3867" s="111">
        <v>12.52</v>
      </c>
    </row>
    <row r="3868" spans="1:4" x14ac:dyDescent="0.25">
      <c r="A3868" s="106">
        <v>5067</v>
      </c>
      <c r="B3868" s="108" t="s">
        <v>9193</v>
      </c>
      <c r="C3868" s="110" t="s">
        <v>5816</v>
      </c>
      <c r="D3868" s="111">
        <v>11.91</v>
      </c>
    </row>
    <row r="3869" spans="1:4" x14ac:dyDescent="0.25">
      <c r="A3869" s="106">
        <v>5078</v>
      </c>
      <c r="B3869" s="108" t="s">
        <v>9194</v>
      </c>
      <c r="C3869" s="110" t="s">
        <v>5816</v>
      </c>
      <c r="D3869" s="111">
        <v>11.78</v>
      </c>
    </row>
    <row r="3870" spans="1:4" x14ac:dyDescent="0.25">
      <c r="A3870" s="106">
        <v>5068</v>
      </c>
      <c r="B3870" s="108" t="s">
        <v>657</v>
      </c>
      <c r="C3870" s="110" t="s">
        <v>5816</v>
      </c>
      <c r="D3870" s="111">
        <v>11.18</v>
      </c>
    </row>
    <row r="3871" spans="1:4" x14ac:dyDescent="0.25">
      <c r="A3871" s="106">
        <v>5073</v>
      </c>
      <c r="B3871" s="108" t="s">
        <v>9195</v>
      </c>
      <c r="C3871" s="110" t="s">
        <v>5816</v>
      </c>
      <c r="D3871" s="111">
        <v>11.39</v>
      </c>
    </row>
    <row r="3872" spans="1:4" x14ac:dyDescent="0.25">
      <c r="A3872" s="106">
        <v>5069</v>
      </c>
      <c r="B3872" s="108" t="s">
        <v>658</v>
      </c>
      <c r="C3872" s="110" t="s">
        <v>5816</v>
      </c>
      <c r="D3872" s="111">
        <v>11.39</v>
      </c>
    </row>
    <row r="3873" spans="1:4" x14ac:dyDescent="0.25">
      <c r="A3873" s="106">
        <v>5070</v>
      </c>
      <c r="B3873" s="108" t="s">
        <v>9196</v>
      </c>
      <c r="C3873" s="110" t="s">
        <v>5816</v>
      </c>
      <c r="D3873" s="111">
        <v>11.52</v>
      </c>
    </row>
    <row r="3874" spans="1:4" x14ac:dyDescent="0.25">
      <c r="A3874" s="106">
        <v>5071</v>
      </c>
      <c r="B3874" s="108" t="s">
        <v>9197</v>
      </c>
      <c r="C3874" s="110" t="s">
        <v>5816</v>
      </c>
      <c r="D3874" s="111">
        <v>11.18</v>
      </c>
    </row>
    <row r="3875" spans="1:4" x14ac:dyDescent="0.25">
      <c r="A3875" s="106">
        <v>5061</v>
      </c>
      <c r="B3875" s="108" t="s">
        <v>475</v>
      </c>
      <c r="C3875" s="110" t="s">
        <v>5816</v>
      </c>
      <c r="D3875" s="111">
        <v>10.99</v>
      </c>
    </row>
    <row r="3876" spans="1:4" x14ac:dyDescent="0.25">
      <c r="A3876" s="106">
        <v>5075</v>
      </c>
      <c r="B3876" s="108" t="s">
        <v>402</v>
      </c>
      <c r="C3876" s="110" t="s">
        <v>5816</v>
      </c>
      <c r="D3876" s="111">
        <v>11.18</v>
      </c>
    </row>
    <row r="3877" spans="1:4" x14ac:dyDescent="0.25">
      <c r="A3877" s="106">
        <v>39027</v>
      </c>
      <c r="B3877" s="108" t="s">
        <v>9198</v>
      </c>
      <c r="C3877" s="110" t="s">
        <v>5816</v>
      </c>
      <c r="D3877" s="111">
        <v>11.17</v>
      </c>
    </row>
    <row r="3878" spans="1:4" x14ac:dyDescent="0.25">
      <c r="A3878" s="106">
        <v>5062</v>
      </c>
      <c r="B3878" s="108" t="s">
        <v>9199</v>
      </c>
      <c r="C3878" s="110" t="s">
        <v>5816</v>
      </c>
      <c r="D3878" s="111">
        <v>11.32</v>
      </c>
    </row>
    <row r="3879" spans="1:4" x14ac:dyDescent="0.25">
      <c r="A3879" s="106">
        <v>40568</v>
      </c>
      <c r="B3879" s="108" t="s">
        <v>9200</v>
      </c>
      <c r="C3879" s="110" t="s">
        <v>5816</v>
      </c>
      <c r="D3879" s="111">
        <v>11.26</v>
      </c>
    </row>
    <row r="3880" spans="1:4" x14ac:dyDescent="0.25">
      <c r="A3880" s="106">
        <v>39026</v>
      </c>
      <c r="B3880" s="108" t="s">
        <v>9201</v>
      </c>
      <c r="C3880" s="110" t="s">
        <v>5816</v>
      </c>
      <c r="D3880" s="111">
        <v>12.57</v>
      </c>
    </row>
    <row r="3881" spans="1:4" ht="25.5" x14ac:dyDescent="0.25">
      <c r="A3881" s="106">
        <v>11572</v>
      </c>
      <c r="B3881" s="108" t="s">
        <v>9202</v>
      </c>
      <c r="C3881" s="110" t="s">
        <v>5755</v>
      </c>
      <c r="D3881" s="111">
        <v>16.45</v>
      </c>
    </row>
    <row r="3882" spans="1:4" ht="38.25" x14ac:dyDescent="0.25">
      <c r="A3882" s="106">
        <v>42431</v>
      </c>
      <c r="B3882" s="108" t="s">
        <v>9203</v>
      </c>
      <c r="C3882" s="110" t="s">
        <v>5755</v>
      </c>
      <c r="D3882" s="111">
        <v>2248.1799999999998</v>
      </c>
    </row>
    <row r="3883" spans="1:4" x14ac:dyDescent="0.25">
      <c r="A3883" s="106">
        <v>11149</v>
      </c>
      <c r="B3883" s="108" t="s">
        <v>9204</v>
      </c>
      <c r="C3883" s="110" t="s">
        <v>7771</v>
      </c>
      <c r="D3883" s="111">
        <v>175.56</v>
      </c>
    </row>
    <row r="3884" spans="1:4" ht="25.5" x14ac:dyDescent="0.25">
      <c r="A3884" s="106">
        <v>511</v>
      </c>
      <c r="B3884" s="108" t="s">
        <v>9205</v>
      </c>
      <c r="C3884" s="110" t="s">
        <v>5818</v>
      </c>
      <c r="D3884" s="111">
        <v>15.79</v>
      </c>
    </row>
    <row r="3885" spans="1:4" x14ac:dyDescent="0.25">
      <c r="A3885" s="106">
        <v>11174</v>
      </c>
      <c r="B3885" s="108" t="s">
        <v>9206</v>
      </c>
      <c r="C3885" s="110" t="s">
        <v>5895</v>
      </c>
      <c r="D3885" s="111">
        <v>498.47</v>
      </c>
    </row>
    <row r="3886" spans="1:4" ht="25.5" x14ac:dyDescent="0.25">
      <c r="A3886" s="106">
        <v>37540</v>
      </c>
      <c r="B3886" s="108" t="s">
        <v>9207</v>
      </c>
      <c r="C3886" s="110" t="s">
        <v>5755</v>
      </c>
      <c r="D3886" s="111">
        <v>60329.75</v>
      </c>
    </row>
    <row r="3887" spans="1:4" ht="25.5" x14ac:dyDescent="0.25">
      <c r="A3887" s="106">
        <v>37548</v>
      </c>
      <c r="B3887" s="108" t="s">
        <v>9208</v>
      </c>
      <c r="C3887" s="110" t="s">
        <v>5755</v>
      </c>
      <c r="D3887" s="111">
        <v>79966.78</v>
      </c>
    </row>
    <row r="3888" spans="1:4" ht="38.25" x14ac:dyDescent="0.25">
      <c r="A3888" s="106">
        <v>39828</v>
      </c>
      <c r="B3888" s="108" t="s">
        <v>9209</v>
      </c>
      <c r="C3888" s="110" t="s">
        <v>5755</v>
      </c>
      <c r="D3888" s="111">
        <v>479.72</v>
      </c>
    </row>
    <row r="3889" spans="1:4" ht="51" x14ac:dyDescent="0.25">
      <c r="A3889" s="106">
        <v>12273</v>
      </c>
      <c r="B3889" s="108" t="s">
        <v>9210</v>
      </c>
      <c r="C3889" s="110" t="s">
        <v>5755</v>
      </c>
      <c r="D3889" s="111">
        <v>52.29</v>
      </c>
    </row>
    <row r="3890" spans="1:4" x14ac:dyDescent="0.25">
      <c r="A3890" s="106">
        <v>38392</v>
      </c>
      <c r="B3890" s="108" t="s">
        <v>9211</v>
      </c>
      <c r="C3890" s="110" t="s">
        <v>5755</v>
      </c>
      <c r="D3890" s="111">
        <v>51.73</v>
      </c>
    </row>
    <row r="3891" spans="1:4" ht="25.5" x14ac:dyDescent="0.25">
      <c r="A3891" s="106">
        <v>11735</v>
      </c>
      <c r="B3891" s="108" t="s">
        <v>9212</v>
      </c>
      <c r="C3891" s="110" t="s">
        <v>5755</v>
      </c>
      <c r="D3891" s="111">
        <v>3.98</v>
      </c>
    </row>
    <row r="3892" spans="1:4" ht="25.5" x14ac:dyDescent="0.25">
      <c r="A3892" s="106">
        <v>11733</v>
      </c>
      <c r="B3892" s="108" t="s">
        <v>9213</v>
      </c>
      <c r="C3892" s="110" t="s">
        <v>5755</v>
      </c>
      <c r="D3892" s="111">
        <v>1.95</v>
      </c>
    </row>
    <row r="3893" spans="1:4" ht="25.5" x14ac:dyDescent="0.25">
      <c r="A3893" s="106">
        <v>11734</v>
      </c>
      <c r="B3893" s="108" t="s">
        <v>9214</v>
      </c>
      <c r="C3893" s="110" t="s">
        <v>5755</v>
      </c>
      <c r="D3893" s="111">
        <v>3</v>
      </c>
    </row>
    <row r="3894" spans="1:4" ht="25.5" x14ac:dyDescent="0.25">
      <c r="A3894" s="106">
        <v>11737</v>
      </c>
      <c r="B3894" s="108" t="s">
        <v>9215</v>
      </c>
      <c r="C3894" s="110" t="s">
        <v>5755</v>
      </c>
      <c r="D3894" s="111">
        <v>5.31</v>
      </c>
    </row>
    <row r="3895" spans="1:4" ht="25.5" x14ac:dyDescent="0.25">
      <c r="A3895" s="106">
        <v>11738</v>
      </c>
      <c r="B3895" s="108" t="s">
        <v>9216</v>
      </c>
      <c r="C3895" s="110" t="s">
        <v>5755</v>
      </c>
      <c r="D3895" s="111">
        <v>8.64</v>
      </c>
    </row>
    <row r="3896" spans="1:4" ht="25.5" x14ac:dyDescent="0.25">
      <c r="A3896" s="106">
        <v>36143</v>
      </c>
      <c r="B3896" s="108" t="s">
        <v>9217</v>
      </c>
      <c r="C3896" s="110" t="s">
        <v>5755</v>
      </c>
      <c r="D3896" s="111">
        <v>24.49</v>
      </c>
    </row>
    <row r="3897" spans="1:4" ht="25.5" x14ac:dyDescent="0.25">
      <c r="A3897" s="106">
        <v>36142</v>
      </c>
      <c r="B3897" s="108" t="s">
        <v>9218</v>
      </c>
      <c r="C3897" s="110" t="s">
        <v>5755</v>
      </c>
      <c r="D3897" s="111">
        <v>1.79</v>
      </c>
    </row>
    <row r="3898" spans="1:4" x14ac:dyDescent="0.25">
      <c r="A3898" s="106">
        <v>36146</v>
      </c>
      <c r="B3898" s="108" t="s">
        <v>9219</v>
      </c>
      <c r="C3898" s="110" t="s">
        <v>5755</v>
      </c>
      <c r="D3898" s="111">
        <v>203.15</v>
      </c>
    </row>
    <row r="3899" spans="1:4" ht="25.5" x14ac:dyDescent="0.25">
      <c r="A3899" s="106">
        <v>39015</v>
      </c>
      <c r="B3899" s="108" t="s">
        <v>9220</v>
      </c>
      <c r="C3899" s="110" t="s">
        <v>5755</v>
      </c>
      <c r="D3899" s="111">
        <v>0.6</v>
      </c>
    </row>
    <row r="3900" spans="1:4" x14ac:dyDescent="0.25">
      <c r="A3900" s="106">
        <v>38377</v>
      </c>
      <c r="B3900" s="108" t="s">
        <v>9221</v>
      </c>
      <c r="C3900" s="110" t="s">
        <v>5755</v>
      </c>
      <c r="D3900" s="111">
        <v>23.3</v>
      </c>
    </row>
    <row r="3901" spans="1:4" x14ac:dyDescent="0.25">
      <c r="A3901" s="106">
        <v>38376</v>
      </c>
      <c r="B3901" s="108" t="s">
        <v>9222</v>
      </c>
      <c r="C3901" s="110" t="s">
        <v>5755</v>
      </c>
      <c r="D3901" s="111">
        <v>26.56</v>
      </c>
    </row>
    <row r="3902" spans="1:4" x14ac:dyDescent="0.25">
      <c r="A3902" s="106">
        <v>38116</v>
      </c>
      <c r="B3902" s="108" t="s">
        <v>9223</v>
      </c>
      <c r="C3902" s="110" t="s">
        <v>5755</v>
      </c>
      <c r="D3902" s="111">
        <v>3.44</v>
      </c>
    </row>
    <row r="3903" spans="1:4" ht="25.5" x14ac:dyDescent="0.25">
      <c r="A3903" s="106">
        <v>38066</v>
      </c>
      <c r="B3903" s="108" t="s">
        <v>9224</v>
      </c>
      <c r="C3903" s="110" t="s">
        <v>5755</v>
      </c>
      <c r="D3903" s="111">
        <v>5.69</v>
      </c>
    </row>
    <row r="3904" spans="1:4" x14ac:dyDescent="0.25">
      <c r="A3904" s="106">
        <v>38117</v>
      </c>
      <c r="B3904" s="108" t="s">
        <v>9225</v>
      </c>
      <c r="C3904" s="110" t="s">
        <v>5755</v>
      </c>
      <c r="D3904" s="111">
        <v>5.86</v>
      </c>
    </row>
    <row r="3905" spans="1:4" ht="25.5" x14ac:dyDescent="0.25">
      <c r="A3905" s="106">
        <v>38067</v>
      </c>
      <c r="B3905" s="108" t="s">
        <v>9226</v>
      </c>
      <c r="C3905" s="110" t="s">
        <v>5755</v>
      </c>
      <c r="D3905" s="111">
        <v>8.01</v>
      </c>
    </row>
    <row r="3906" spans="1:4" ht="25.5" x14ac:dyDescent="0.25">
      <c r="A3906" s="106">
        <v>41757</v>
      </c>
      <c r="B3906" s="108" t="s">
        <v>9227</v>
      </c>
      <c r="C3906" s="110" t="s">
        <v>5755</v>
      </c>
      <c r="D3906" s="111">
        <v>6816.03</v>
      </c>
    </row>
    <row r="3907" spans="1:4" ht="38.25" x14ac:dyDescent="0.25">
      <c r="A3907" s="106">
        <v>5080</v>
      </c>
      <c r="B3907" s="108" t="s">
        <v>9228</v>
      </c>
      <c r="C3907" s="110" t="s">
        <v>5755</v>
      </c>
      <c r="D3907" s="111">
        <v>11.66</v>
      </c>
    </row>
    <row r="3908" spans="1:4" ht="38.25" x14ac:dyDescent="0.25">
      <c r="A3908" s="106">
        <v>11522</v>
      </c>
      <c r="B3908" s="108" t="s">
        <v>9229</v>
      </c>
      <c r="C3908" s="110" t="s">
        <v>5755</v>
      </c>
      <c r="D3908" s="111">
        <v>14.58</v>
      </c>
    </row>
    <row r="3909" spans="1:4" ht="38.25" x14ac:dyDescent="0.25">
      <c r="A3909" s="106">
        <v>38168</v>
      </c>
      <c r="B3909" s="108" t="s">
        <v>9230</v>
      </c>
      <c r="C3909" s="110" t="s">
        <v>5755</v>
      </c>
      <c r="D3909" s="111">
        <v>135.62</v>
      </c>
    </row>
    <row r="3910" spans="1:4" ht="25.5" x14ac:dyDescent="0.25">
      <c r="A3910" s="106">
        <v>13393</v>
      </c>
      <c r="B3910" s="108" t="s">
        <v>9231</v>
      </c>
      <c r="C3910" s="110" t="s">
        <v>5755</v>
      </c>
      <c r="D3910" s="111">
        <v>287.33</v>
      </c>
    </row>
    <row r="3911" spans="1:4" ht="38.25" x14ac:dyDescent="0.25">
      <c r="A3911" s="106">
        <v>13395</v>
      </c>
      <c r="B3911" s="108" t="s">
        <v>10721</v>
      </c>
      <c r="C3911" s="110" t="s">
        <v>5755</v>
      </c>
      <c r="D3911" s="111">
        <v>402.66</v>
      </c>
    </row>
    <row r="3912" spans="1:4" ht="25.5" x14ac:dyDescent="0.25">
      <c r="A3912" s="106">
        <v>12039</v>
      </c>
      <c r="B3912" s="108" t="s">
        <v>9232</v>
      </c>
      <c r="C3912" s="110" t="s">
        <v>5755</v>
      </c>
      <c r="D3912" s="111">
        <v>423.15</v>
      </c>
    </row>
    <row r="3913" spans="1:4" ht="25.5" x14ac:dyDescent="0.25">
      <c r="A3913" s="106">
        <v>13396</v>
      </c>
      <c r="B3913" s="108" t="s">
        <v>9233</v>
      </c>
      <c r="C3913" s="110" t="s">
        <v>5755</v>
      </c>
      <c r="D3913" s="111">
        <v>594.29</v>
      </c>
    </row>
    <row r="3914" spans="1:4" ht="25.5" x14ac:dyDescent="0.25">
      <c r="A3914" s="106">
        <v>12041</v>
      </c>
      <c r="B3914" s="108" t="s">
        <v>540</v>
      </c>
      <c r="C3914" s="110" t="s">
        <v>5755</v>
      </c>
      <c r="D3914" s="111">
        <v>485.28</v>
      </c>
    </row>
    <row r="3915" spans="1:4" ht="25.5" x14ac:dyDescent="0.25">
      <c r="A3915" s="106">
        <v>12043</v>
      </c>
      <c r="B3915" s="108" t="s">
        <v>9234</v>
      </c>
      <c r="C3915" s="110" t="s">
        <v>5755</v>
      </c>
      <c r="D3915" s="111">
        <v>1024.58</v>
      </c>
    </row>
    <row r="3916" spans="1:4" ht="25.5" x14ac:dyDescent="0.25">
      <c r="A3916" s="106">
        <v>39762</v>
      </c>
      <c r="B3916" s="108" t="s">
        <v>9235</v>
      </c>
      <c r="C3916" s="110" t="s">
        <v>5755</v>
      </c>
      <c r="D3916" s="111">
        <v>487.73</v>
      </c>
    </row>
    <row r="3917" spans="1:4" ht="25.5" x14ac:dyDescent="0.25">
      <c r="A3917" s="106">
        <v>12042</v>
      </c>
      <c r="B3917" s="108" t="s">
        <v>9236</v>
      </c>
      <c r="C3917" s="110" t="s">
        <v>5755</v>
      </c>
      <c r="D3917" s="111">
        <v>712.07</v>
      </c>
    </row>
    <row r="3918" spans="1:4" ht="25.5" x14ac:dyDescent="0.25">
      <c r="A3918" s="106">
        <v>39763</v>
      </c>
      <c r="B3918" s="108" t="s">
        <v>9237</v>
      </c>
      <c r="C3918" s="110" t="s">
        <v>5755</v>
      </c>
      <c r="D3918" s="111">
        <v>833.38</v>
      </c>
    </row>
    <row r="3919" spans="1:4" ht="38.25" x14ac:dyDescent="0.25">
      <c r="A3919" s="106">
        <v>39760</v>
      </c>
      <c r="B3919" s="108" t="s">
        <v>10722</v>
      </c>
      <c r="C3919" s="110" t="s">
        <v>5755</v>
      </c>
      <c r="D3919" s="111">
        <v>830.64</v>
      </c>
    </row>
    <row r="3920" spans="1:4" ht="38.25" x14ac:dyDescent="0.25">
      <c r="A3920" s="106">
        <v>39756</v>
      </c>
      <c r="B3920" s="108" t="s">
        <v>9238</v>
      </c>
      <c r="C3920" s="110" t="s">
        <v>5755</v>
      </c>
      <c r="D3920" s="111">
        <v>298.25</v>
      </c>
    </row>
    <row r="3921" spans="1:4" ht="38.25" x14ac:dyDescent="0.25">
      <c r="A3921" s="106">
        <v>12038</v>
      </c>
      <c r="B3921" s="108" t="s">
        <v>539</v>
      </c>
      <c r="C3921" s="110" t="s">
        <v>5755</v>
      </c>
      <c r="D3921" s="111">
        <v>372.67</v>
      </c>
    </row>
    <row r="3922" spans="1:4" ht="38.25" x14ac:dyDescent="0.25">
      <c r="A3922" s="106">
        <v>39757</v>
      </c>
      <c r="B3922" s="108" t="s">
        <v>9239</v>
      </c>
      <c r="C3922" s="110" t="s">
        <v>5755</v>
      </c>
      <c r="D3922" s="111">
        <v>344.6</v>
      </c>
    </row>
    <row r="3923" spans="1:4" ht="38.25" x14ac:dyDescent="0.25">
      <c r="A3923" s="106">
        <v>39758</v>
      </c>
      <c r="B3923" s="108" t="s">
        <v>9240</v>
      </c>
      <c r="C3923" s="110" t="s">
        <v>5755</v>
      </c>
      <c r="D3923" s="111">
        <v>502.22</v>
      </c>
    </row>
    <row r="3924" spans="1:4" ht="38.25" x14ac:dyDescent="0.25">
      <c r="A3924" s="106">
        <v>39759</v>
      </c>
      <c r="B3924" s="108" t="s">
        <v>9241</v>
      </c>
      <c r="C3924" s="110" t="s">
        <v>5755</v>
      </c>
      <c r="D3924" s="111">
        <v>620.24</v>
      </c>
    </row>
    <row r="3925" spans="1:4" ht="38.25" x14ac:dyDescent="0.25">
      <c r="A3925" s="106">
        <v>39761</v>
      </c>
      <c r="B3925" s="108" t="s">
        <v>9242</v>
      </c>
      <c r="C3925" s="110" t="s">
        <v>5755</v>
      </c>
      <c r="D3925" s="111">
        <v>745.55</v>
      </c>
    </row>
    <row r="3926" spans="1:4" ht="25.5" x14ac:dyDescent="0.25">
      <c r="A3926" s="106">
        <v>39805</v>
      </c>
      <c r="B3926" s="108" t="s">
        <v>10723</v>
      </c>
      <c r="C3926" s="110" t="s">
        <v>5755</v>
      </c>
      <c r="D3926" s="111">
        <v>106.83</v>
      </c>
    </row>
    <row r="3927" spans="1:4" ht="25.5" x14ac:dyDescent="0.25">
      <c r="A3927" s="106">
        <v>39806</v>
      </c>
      <c r="B3927" s="108" t="s">
        <v>10724</v>
      </c>
      <c r="C3927" s="110" t="s">
        <v>5755</v>
      </c>
      <c r="D3927" s="111">
        <v>197.94</v>
      </c>
    </row>
    <row r="3928" spans="1:4" ht="25.5" x14ac:dyDescent="0.25">
      <c r="A3928" s="106">
        <v>39807</v>
      </c>
      <c r="B3928" s="108" t="s">
        <v>10725</v>
      </c>
      <c r="C3928" s="110" t="s">
        <v>5755</v>
      </c>
      <c r="D3928" s="111">
        <v>428.98</v>
      </c>
    </row>
    <row r="3929" spans="1:4" ht="25.5" x14ac:dyDescent="0.25">
      <c r="A3929" s="106">
        <v>43100</v>
      </c>
      <c r="B3929" s="108" t="s">
        <v>10726</v>
      </c>
      <c r="C3929" s="110" t="s">
        <v>5755</v>
      </c>
      <c r="D3929" s="111">
        <v>335.37</v>
      </c>
    </row>
    <row r="3930" spans="1:4" ht="25.5" x14ac:dyDescent="0.25">
      <c r="A3930" s="106">
        <v>39804</v>
      </c>
      <c r="B3930" s="108" t="s">
        <v>10727</v>
      </c>
      <c r="C3930" s="110" t="s">
        <v>5755</v>
      </c>
      <c r="D3930" s="111">
        <v>62.73</v>
      </c>
    </row>
    <row r="3931" spans="1:4" ht="25.5" x14ac:dyDescent="0.25">
      <c r="A3931" s="106">
        <v>39796</v>
      </c>
      <c r="B3931" s="108" t="s">
        <v>10728</v>
      </c>
      <c r="C3931" s="110" t="s">
        <v>5755</v>
      </c>
      <c r="D3931" s="111">
        <v>64.97</v>
      </c>
    </row>
    <row r="3932" spans="1:4" ht="25.5" x14ac:dyDescent="0.25">
      <c r="A3932" s="106">
        <v>39797</v>
      </c>
      <c r="B3932" s="108" t="s">
        <v>10729</v>
      </c>
      <c r="C3932" s="110" t="s">
        <v>5755</v>
      </c>
      <c r="D3932" s="111">
        <v>102</v>
      </c>
    </row>
    <row r="3933" spans="1:4" ht="25.5" x14ac:dyDescent="0.25">
      <c r="A3933" s="106">
        <v>39798</v>
      </c>
      <c r="B3933" s="108" t="s">
        <v>10730</v>
      </c>
      <c r="C3933" s="110" t="s">
        <v>5755</v>
      </c>
      <c r="D3933" s="111">
        <v>174.96</v>
      </c>
    </row>
    <row r="3934" spans="1:4" ht="25.5" x14ac:dyDescent="0.25">
      <c r="A3934" s="106">
        <v>39794</v>
      </c>
      <c r="B3934" s="108" t="s">
        <v>10731</v>
      </c>
      <c r="C3934" s="110" t="s">
        <v>5755</v>
      </c>
      <c r="D3934" s="111">
        <v>27.58</v>
      </c>
    </row>
    <row r="3935" spans="1:4" ht="25.5" x14ac:dyDescent="0.25">
      <c r="A3935" s="106">
        <v>39795</v>
      </c>
      <c r="B3935" s="108" t="s">
        <v>10732</v>
      </c>
      <c r="C3935" s="110" t="s">
        <v>5755</v>
      </c>
      <c r="D3935" s="111">
        <v>43.57</v>
      </c>
    </row>
    <row r="3936" spans="1:4" ht="25.5" x14ac:dyDescent="0.25">
      <c r="A3936" s="106">
        <v>39799</v>
      </c>
      <c r="B3936" s="108" t="s">
        <v>10733</v>
      </c>
      <c r="C3936" s="110" t="s">
        <v>5755</v>
      </c>
      <c r="D3936" s="111">
        <v>32.15</v>
      </c>
    </row>
    <row r="3937" spans="1:4" ht="25.5" x14ac:dyDescent="0.25">
      <c r="A3937" s="106">
        <v>39801</v>
      </c>
      <c r="B3937" s="108" t="s">
        <v>10734</v>
      </c>
      <c r="C3937" s="110" t="s">
        <v>5755</v>
      </c>
      <c r="D3937" s="111">
        <v>92.01</v>
      </c>
    </row>
    <row r="3938" spans="1:4" ht="25.5" x14ac:dyDescent="0.25">
      <c r="A3938" s="106">
        <v>39802</v>
      </c>
      <c r="B3938" s="108" t="s">
        <v>10735</v>
      </c>
      <c r="C3938" s="110" t="s">
        <v>5755</v>
      </c>
      <c r="D3938" s="111">
        <v>134.87</v>
      </c>
    </row>
    <row r="3939" spans="1:4" ht="25.5" x14ac:dyDescent="0.25">
      <c r="A3939" s="106">
        <v>39803</v>
      </c>
      <c r="B3939" s="108" t="s">
        <v>10736</v>
      </c>
      <c r="C3939" s="110" t="s">
        <v>5755</v>
      </c>
      <c r="D3939" s="111">
        <v>188.15</v>
      </c>
    </row>
    <row r="3940" spans="1:4" ht="25.5" x14ac:dyDescent="0.25">
      <c r="A3940" s="106">
        <v>39800</v>
      </c>
      <c r="B3940" s="108" t="s">
        <v>10737</v>
      </c>
      <c r="C3940" s="110" t="s">
        <v>5755</v>
      </c>
      <c r="D3940" s="111">
        <v>54.76</v>
      </c>
    </row>
    <row r="3941" spans="1:4" x14ac:dyDescent="0.25">
      <c r="A3941" s="106">
        <v>4224</v>
      </c>
      <c r="B3941" s="108" t="s">
        <v>9243</v>
      </c>
      <c r="C3941" s="110" t="s">
        <v>5818</v>
      </c>
      <c r="D3941" s="111">
        <v>13.05</v>
      </c>
    </row>
    <row r="3942" spans="1:4" x14ac:dyDescent="0.25">
      <c r="A3942" s="106">
        <v>21059</v>
      </c>
      <c r="B3942" s="108" t="s">
        <v>9244</v>
      </c>
      <c r="C3942" s="110" t="s">
        <v>5755</v>
      </c>
      <c r="D3942" s="111">
        <v>39.47</v>
      </c>
    </row>
    <row r="3943" spans="1:4" x14ac:dyDescent="0.25">
      <c r="A3943" s="106">
        <v>11234</v>
      </c>
      <c r="B3943" s="108" t="s">
        <v>9245</v>
      </c>
      <c r="C3943" s="110" t="s">
        <v>5755</v>
      </c>
      <c r="D3943" s="111">
        <v>59.49</v>
      </c>
    </row>
    <row r="3944" spans="1:4" x14ac:dyDescent="0.25">
      <c r="A3944" s="106">
        <v>21060</v>
      </c>
      <c r="B3944" s="108" t="s">
        <v>9246</v>
      </c>
      <c r="C3944" s="110" t="s">
        <v>5755</v>
      </c>
      <c r="D3944" s="111">
        <v>73.22</v>
      </c>
    </row>
    <row r="3945" spans="1:4" x14ac:dyDescent="0.25">
      <c r="A3945" s="106">
        <v>21061</v>
      </c>
      <c r="B3945" s="108" t="s">
        <v>9247</v>
      </c>
      <c r="C3945" s="110" t="s">
        <v>5755</v>
      </c>
      <c r="D3945" s="111">
        <v>91.53</v>
      </c>
    </row>
    <row r="3946" spans="1:4" x14ac:dyDescent="0.25">
      <c r="A3946" s="106">
        <v>21062</v>
      </c>
      <c r="B3946" s="108" t="s">
        <v>9248</v>
      </c>
      <c r="C3946" s="110" t="s">
        <v>5755</v>
      </c>
      <c r="D3946" s="111">
        <v>144.16</v>
      </c>
    </row>
    <row r="3947" spans="1:4" x14ac:dyDescent="0.25">
      <c r="A3947" s="106">
        <v>11708</v>
      </c>
      <c r="B3947" s="108" t="s">
        <v>578</v>
      </c>
      <c r="C3947" s="110" t="s">
        <v>5755</v>
      </c>
      <c r="D3947" s="111">
        <v>15.73</v>
      </c>
    </row>
    <row r="3948" spans="1:4" x14ac:dyDescent="0.25">
      <c r="A3948" s="106">
        <v>11709</v>
      </c>
      <c r="B3948" s="108" t="s">
        <v>579</v>
      </c>
      <c r="C3948" s="110" t="s">
        <v>5755</v>
      </c>
      <c r="D3948" s="111">
        <v>36.950000000000003</v>
      </c>
    </row>
    <row r="3949" spans="1:4" x14ac:dyDescent="0.25">
      <c r="A3949" s="106">
        <v>11710</v>
      </c>
      <c r="B3949" s="108" t="s">
        <v>9249</v>
      </c>
      <c r="C3949" s="110" t="s">
        <v>5755</v>
      </c>
      <c r="D3949" s="111">
        <v>84.95</v>
      </c>
    </row>
    <row r="3950" spans="1:4" x14ac:dyDescent="0.25">
      <c r="A3950" s="106">
        <v>11707</v>
      </c>
      <c r="B3950" s="108" t="s">
        <v>577</v>
      </c>
      <c r="C3950" s="110" t="s">
        <v>5755</v>
      </c>
      <c r="D3950" s="111">
        <v>11.78</v>
      </c>
    </row>
    <row r="3951" spans="1:4" x14ac:dyDescent="0.25">
      <c r="A3951" s="106">
        <v>11739</v>
      </c>
      <c r="B3951" s="108" t="s">
        <v>9250</v>
      </c>
      <c r="C3951" s="110" t="s">
        <v>5755</v>
      </c>
      <c r="D3951" s="111">
        <v>5.79</v>
      </c>
    </row>
    <row r="3952" spans="1:4" x14ac:dyDescent="0.25">
      <c r="A3952" s="106">
        <v>11711</v>
      </c>
      <c r="B3952" s="108" t="s">
        <v>9251</v>
      </c>
      <c r="C3952" s="110" t="s">
        <v>5755</v>
      </c>
      <c r="D3952" s="111">
        <v>8.48</v>
      </c>
    </row>
    <row r="3953" spans="1:4" ht="25.5" x14ac:dyDescent="0.25">
      <c r="A3953" s="106">
        <v>5102</v>
      </c>
      <c r="B3953" s="108" t="s">
        <v>9252</v>
      </c>
      <c r="C3953" s="110" t="s">
        <v>5755</v>
      </c>
      <c r="D3953" s="111">
        <v>8.1999999999999993</v>
      </c>
    </row>
    <row r="3954" spans="1:4" ht="25.5" x14ac:dyDescent="0.25">
      <c r="A3954" s="106">
        <v>11741</v>
      </c>
      <c r="B3954" s="108" t="s">
        <v>9253</v>
      </c>
      <c r="C3954" s="110" t="s">
        <v>5755</v>
      </c>
      <c r="D3954" s="111">
        <v>5.97</v>
      </c>
    </row>
    <row r="3955" spans="1:4" ht="25.5" x14ac:dyDescent="0.25">
      <c r="A3955" s="106">
        <v>11743</v>
      </c>
      <c r="B3955" s="108" t="s">
        <v>9254</v>
      </c>
      <c r="C3955" s="110" t="s">
        <v>5755</v>
      </c>
      <c r="D3955" s="111">
        <v>5.42</v>
      </c>
    </row>
    <row r="3956" spans="1:4" ht="25.5" x14ac:dyDescent="0.25">
      <c r="A3956" s="106">
        <v>11745</v>
      </c>
      <c r="B3956" s="108" t="s">
        <v>9255</v>
      </c>
      <c r="C3956" s="110" t="s">
        <v>5755</v>
      </c>
      <c r="D3956" s="111">
        <v>7.7</v>
      </c>
    </row>
    <row r="3957" spans="1:4" x14ac:dyDescent="0.25">
      <c r="A3957" s="106">
        <v>25961</v>
      </c>
      <c r="B3957" s="108" t="s">
        <v>9256</v>
      </c>
      <c r="C3957" s="110" t="s">
        <v>5759</v>
      </c>
      <c r="D3957" s="111">
        <v>8</v>
      </c>
    </row>
    <row r="3958" spans="1:4" x14ac:dyDescent="0.25">
      <c r="A3958" s="106">
        <v>40985</v>
      </c>
      <c r="B3958" s="108" t="s">
        <v>9257</v>
      </c>
      <c r="C3958" s="110" t="s">
        <v>5906</v>
      </c>
      <c r="D3958" s="111">
        <v>1420.78</v>
      </c>
    </row>
    <row r="3959" spans="1:4" ht="25.5" x14ac:dyDescent="0.25">
      <c r="A3959" s="106">
        <v>1088</v>
      </c>
      <c r="B3959" s="108" t="s">
        <v>9258</v>
      </c>
      <c r="C3959" s="110" t="s">
        <v>5755</v>
      </c>
      <c r="D3959" s="111">
        <v>13.89</v>
      </c>
    </row>
    <row r="3960" spans="1:4" ht="25.5" x14ac:dyDescent="0.25">
      <c r="A3960" s="106">
        <v>1087</v>
      </c>
      <c r="B3960" s="108" t="s">
        <v>9259</v>
      </c>
      <c r="C3960" s="110" t="s">
        <v>5755</v>
      </c>
      <c r="D3960" s="111">
        <v>17.350000000000001</v>
      </c>
    </row>
    <row r="3961" spans="1:4" x14ac:dyDescent="0.25">
      <c r="A3961" s="106">
        <v>38777</v>
      </c>
      <c r="B3961" s="108" t="s">
        <v>9260</v>
      </c>
      <c r="C3961" s="110" t="s">
        <v>5755</v>
      </c>
      <c r="D3961" s="111">
        <v>34.56</v>
      </c>
    </row>
    <row r="3962" spans="1:4" ht="25.5" x14ac:dyDescent="0.25">
      <c r="A3962" s="106">
        <v>1086</v>
      </c>
      <c r="B3962" s="108" t="s">
        <v>9261</v>
      </c>
      <c r="C3962" s="110" t="s">
        <v>5755</v>
      </c>
      <c r="D3962" s="111">
        <v>18.239999999999998</v>
      </c>
    </row>
    <row r="3963" spans="1:4" ht="25.5" x14ac:dyDescent="0.25">
      <c r="A3963" s="106">
        <v>1079</v>
      </c>
      <c r="B3963" s="108" t="s">
        <v>9262</v>
      </c>
      <c r="C3963" s="110" t="s">
        <v>5755</v>
      </c>
      <c r="D3963" s="111">
        <v>18.850000000000001</v>
      </c>
    </row>
    <row r="3964" spans="1:4" ht="25.5" x14ac:dyDescent="0.25">
      <c r="A3964" s="106">
        <v>39374</v>
      </c>
      <c r="B3964" s="108" t="s">
        <v>9263</v>
      </c>
      <c r="C3964" s="110" t="s">
        <v>5755</v>
      </c>
      <c r="D3964" s="111">
        <v>97.54</v>
      </c>
    </row>
    <row r="3965" spans="1:4" x14ac:dyDescent="0.25">
      <c r="A3965" s="106">
        <v>1082</v>
      </c>
      <c r="B3965" s="108" t="s">
        <v>9264</v>
      </c>
      <c r="C3965" s="110" t="s">
        <v>5755</v>
      </c>
      <c r="D3965" s="111">
        <v>118.54</v>
      </c>
    </row>
    <row r="3966" spans="1:4" x14ac:dyDescent="0.25">
      <c r="A3966" s="106">
        <v>12316</v>
      </c>
      <c r="B3966" s="108" t="s">
        <v>9265</v>
      </c>
      <c r="C3966" s="110" t="s">
        <v>5755</v>
      </c>
      <c r="D3966" s="111">
        <v>54.33</v>
      </c>
    </row>
    <row r="3967" spans="1:4" x14ac:dyDescent="0.25">
      <c r="A3967" s="106">
        <v>12317</v>
      </c>
      <c r="B3967" s="108" t="s">
        <v>9266</v>
      </c>
      <c r="C3967" s="110" t="s">
        <v>5755</v>
      </c>
      <c r="D3967" s="111">
        <v>64.790000000000006</v>
      </c>
    </row>
    <row r="3968" spans="1:4" x14ac:dyDescent="0.25">
      <c r="A3968" s="106">
        <v>12318</v>
      </c>
      <c r="B3968" s="108" t="s">
        <v>9267</v>
      </c>
      <c r="C3968" s="110" t="s">
        <v>5755</v>
      </c>
      <c r="D3968" s="111">
        <v>74.64</v>
      </c>
    </row>
    <row r="3969" spans="1:4" ht="25.5" x14ac:dyDescent="0.25">
      <c r="A3969" s="106">
        <v>5104</v>
      </c>
      <c r="B3969" s="108" t="s">
        <v>496</v>
      </c>
      <c r="C3969" s="110" t="s">
        <v>5816</v>
      </c>
      <c r="D3969" s="111">
        <v>47.41</v>
      </c>
    </row>
    <row r="3970" spans="1:4" ht="25.5" x14ac:dyDescent="0.25">
      <c r="A3970" s="106">
        <v>26023</v>
      </c>
      <c r="B3970" s="108" t="s">
        <v>9268</v>
      </c>
      <c r="C3970" s="110" t="s">
        <v>5755</v>
      </c>
      <c r="D3970" s="111">
        <v>66.180000000000007</v>
      </c>
    </row>
    <row r="3971" spans="1:4" ht="25.5" x14ac:dyDescent="0.25">
      <c r="A3971" s="106">
        <v>2710</v>
      </c>
      <c r="B3971" s="108" t="s">
        <v>9269</v>
      </c>
      <c r="C3971" s="110" t="s">
        <v>5755</v>
      </c>
      <c r="D3971" s="111">
        <v>52.85</v>
      </c>
    </row>
    <row r="3972" spans="1:4" ht="25.5" x14ac:dyDescent="0.25">
      <c r="A3972" s="106">
        <v>14575</v>
      </c>
      <c r="B3972" s="108" t="s">
        <v>9270</v>
      </c>
      <c r="C3972" s="110" t="s">
        <v>5755</v>
      </c>
      <c r="D3972" s="111">
        <v>3905271.1</v>
      </c>
    </row>
    <row r="3973" spans="1:4" ht="25.5" x14ac:dyDescent="0.25">
      <c r="A3973" s="106">
        <v>20034</v>
      </c>
      <c r="B3973" s="108" t="s">
        <v>9271</v>
      </c>
      <c r="C3973" s="110" t="s">
        <v>5755</v>
      </c>
      <c r="D3973" s="111">
        <v>56.48</v>
      </c>
    </row>
    <row r="3974" spans="1:4" ht="25.5" x14ac:dyDescent="0.25">
      <c r="A3974" s="106">
        <v>20036</v>
      </c>
      <c r="B3974" s="108" t="s">
        <v>9272</v>
      </c>
      <c r="C3974" s="110" t="s">
        <v>5755</v>
      </c>
      <c r="D3974" s="111">
        <v>108.64</v>
      </c>
    </row>
    <row r="3975" spans="1:4" ht="25.5" x14ac:dyDescent="0.25">
      <c r="A3975" s="106">
        <v>20037</v>
      </c>
      <c r="B3975" s="108" t="s">
        <v>9273</v>
      </c>
      <c r="C3975" s="110" t="s">
        <v>5755</v>
      </c>
      <c r="D3975" s="111">
        <v>204.92</v>
      </c>
    </row>
    <row r="3976" spans="1:4" x14ac:dyDescent="0.25">
      <c r="A3976" s="106">
        <v>20043</v>
      </c>
      <c r="B3976" s="108" t="s">
        <v>571</v>
      </c>
      <c r="C3976" s="110" t="s">
        <v>5755</v>
      </c>
      <c r="D3976" s="111">
        <v>5.19</v>
      </c>
    </row>
    <row r="3977" spans="1:4" x14ac:dyDescent="0.25">
      <c r="A3977" s="106">
        <v>20044</v>
      </c>
      <c r="B3977" s="108" t="s">
        <v>9274</v>
      </c>
      <c r="C3977" s="110" t="s">
        <v>5755</v>
      </c>
      <c r="D3977" s="111">
        <v>6.06</v>
      </c>
    </row>
    <row r="3978" spans="1:4" x14ac:dyDescent="0.25">
      <c r="A3978" s="106">
        <v>20042</v>
      </c>
      <c r="B3978" s="108" t="s">
        <v>572</v>
      </c>
      <c r="C3978" s="110" t="s">
        <v>5755</v>
      </c>
      <c r="D3978" s="111">
        <v>4.3899999999999997</v>
      </c>
    </row>
    <row r="3979" spans="1:4" ht="25.5" x14ac:dyDescent="0.25">
      <c r="A3979" s="106">
        <v>20046</v>
      </c>
      <c r="B3979" s="108" t="s">
        <v>9275</v>
      </c>
      <c r="C3979" s="110" t="s">
        <v>5755</v>
      </c>
      <c r="D3979" s="111">
        <v>12.87</v>
      </c>
    </row>
    <row r="3980" spans="1:4" ht="25.5" x14ac:dyDescent="0.25">
      <c r="A3980" s="106">
        <v>20047</v>
      </c>
      <c r="B3980" s="108" t="s">
        <v>9276</v>
      </c>
      <c r="C3980" s="110" t="s">
        <v>5755</v>
      </c>
      <c r="D3980" s="111">
        <v>35.17</v>
      </c>
    </row>
    <row r="3981" spans="1:4" ht="25.5" x14ac:dyDescent="0.25">
      <c r="A3981" s="106">
        <v>20045</v>
      </c>
      <c r="B3981" s="108" t="s">
        <v>9277</v>
      </c>
      <c r="C3981" s="110" t="s">
        <v>5755</v>
      </c>
      <c r="D3981" s="111">
        <v>5.29</v>
      </c>
    </row>
    <row r="3982" spans="1:4" ht="25.5" x14ac:dyDescent="0.25">
      <c r="A3982" s="106">
        <v>20972</v>
      </c>
      <c r="B3982" s="108" t="s">
        <v>631</v>
      </c>
      <c r="C3982" s="110" t="s">
        <v>5755</v>
      </c>
      <c r="D3982" s="111">
        <v>93.04</v>
      </c>
    </row>
    <row r="3983" spans="1:4" ht="25.5" x14ac:dyDescent="0.25">
      <c r="A3983" s="106">
        <v>20032</v>
      </c>
      <c r="B3983" s="108" t="s">
        <v>9278</v>
      </c>
      <c r="C3983" s="110" t="s">
        <v>5755</v>
      </c>
      <c r="D3983" s="111">
        <v>48.52</v>
      </c>
    </row>
    <row r="3984" spans="1:4" ht="25.5" x14ac:dyDescent="0.25">
      <c r="A3984" s="106">
        <v>11321</v>
      </c>
      <c r="B3984" s="108" t="s">
        <v>9279</v>
      </c>
      <c r="C3984" s="110" t="s">
        <v>5755</v>
      </c>
      <c r="D3984" s="111">
        <v>22.12</v>
      </c>
    </row>
    <row r="3985" spans="1:4" ht="25.5" x14ac:dyDescent="0.25">
      <c r="A3985" s="106">
        <v>11323</v>
      </c>
      <c r="B3985" s="108" t="s">
        <v>9280</v>
      </c>
      <c r="C3985" s="110" t="s">
        <v>5755</v>
      </c>
      <c r="D3985" s="111">
        <v>25.44</v>
      </c>
    </row>
    <row r="3986" spans="1:4" ht="25.5" x14ac:dyDescent="0.25">
      <c r="A3986" s="106">
        <v>20327</v>
      </c>
      <c r="B3986" s="108" t="s">
        <v>9281</v>
      </c>
      <c r="C3986" s="110" t="s">
        <v>5755</v>
      </c>
      <c r="D3986" s="111">
        <v>14.44</v>
      </c>
    </row>
    <row r="3987" spans="1:4" x14ac:dyDescent="0.25">
      <c r="A3987" s="106">
        <v>25966</v>
      </c>
      <c r="B3987" s="108" t="s">
        <v>9282</v>
      </c>
      <c r="C3987" s="110" t="s">
        <v>5818</v>
      </c>
      <c r="D3987" s="111">
        <v>16.68</v>
      </c>
    </row>
    <row r="3988" spans="1:4" ht="51" x14ac:dyDescent="0.25">
      <c r="A3988" s="106">
        <v>13390</v>
      </c>
      <c r="B3988" s="108" t="s">
        <v>9283</v>
      </c>
      <c r="C3988" s="110" t="s">
        <v>5755</v>
      </c>
      <c r="D3988" s="111">
        <v>68.569999999999993</v>
      </c>
    </row>
    <row r="3989" spans="1:4" x14ac:dyDescent="0.25">
      <c r="A3989" s="106">
        <v>6034</v>
      </c>
      <c r="B3989" s="108" t="s">
        <v>9284</v>
      </c>
      <c r="C3989" s="110" t="s">
        <v>5755</v>
      </c>
      <c r="D3989" s="111">
        <v>4.71</v>
      </c>
    </row>
    <row r="3990" spans="1:4" ht="25.5" x14ac:dyDescent="0.25">
      <c r="A3990" s="106">
        <v>6036</v>
      </c>
      <c r="B3990" s="108" t="s">
        <v>9285</v>
      </c>
      <c r="C3990" s="110" t="s">
        <v>5755</v>
      </c>
      <c r="D3990" s="111">
        <v>6.42</v>
      </c>
    </row>
    <row r="3991" spans="1:4" ht="25.5" x14ac:dyDescent="0.25">
      <c r="A3991" s="106">
        <v>6031</v>
      </c>
      <c r="B3991" s="108" t="s">
        <v>9286</v>
      </c>
      <c r="C3991" s="110" t="s">
        <v>5755</v>
      </c>
      <c r="D3991" s="111">
        <v>7.55</v>
      </c>
    </row>
    <row r="3992" spans="1:4" ht="25.5" x14ac:dyDescent="0.25">
      <c r="A3992" s="106">
        <v>6029</v>
      </c>
      <c r="B3992" s="108" t="s">
        <v>9287</v>
      </c>
      <c r="C3992" s="110" t="s">
        <v>5755</v>
      </c>
      <c r="D3992" s="111">
        <v>7.63</v>
      </c>
    </row>
    <row r="3993" spans="1:4" ht="25.5" x14ac:dyDescent="0.25">
      <c r="A3993" s="106">
        <v>6033</v>
      </c>
      <c r="B3993" s="108" t="s">
        <v>9288</v>
      </c>
      <c r="C3993" s="110" t="s">
        <v>5755</v>
      </c>
      <c r="D3993" s="111">
        <v>10.050000000000001</v>
      </c>
    </row>
    <row r="3994" spans="1:4" ht="25.5" x14ac:dyDescent="0.25">
      <c r="A3994" s="106">
        <v>11672</v>
      </c>
      <c r="B3994" s="108" t="s">
        <v>9289</v>
      </c>
      <c r="C3994" s="110" t="s">
        <v>5755</v>
      </c>
      <c r="D3994" s="111">
        <v>21.87</v>
      </c>
    </row>
    <row r="3995" spans="1:4" ht="25.5" x14ac:dyDescent="0.25">
      <c r="A3995" s="106">
        <v>11669</v>
      </c>
      <c r="B3995" s="108" t="s">
        <v>9290</v>
      </c>
      <c r="C3995" s="110" t="s">
        <v>5755</v>
      </c>
      <c r="D3995" s="111">
        <v>20.83</v>
      </c>
    </row>
    <row r="3996" spans="1:4" ht="25.5" x14ac:dyDescent="0.25">
      <c r="A3996" s="106">
        <v>11670</v>
      </c>
      <c r="B3996" s="108" t="s">
        <v>9291</v>
      </c>
      <c r="C3996" s="110" t="s">
        <v>5755</v>
      </c>
      <c r="D3996" s="111">
        <v>7.98</v>
      </c>
    </row>
    <row r="3997" spans="1:4" ht="25.5" x14ac:dyDescent="0.25">
      <c r="A3997" s="106">
        <v>20055</v>
      </c>
      <c r="B3997" s="108" t="s">
        <v>9292</v>
      </c>
      <c r="C3997" s="110" t="s">
        <v>5755</v>
      </c>
      <c r="D3997" s="111">
        <v>15.6</v>
      </c>
    </row>
    <row r="3998" spans="1:4" ht="25.5" x14ac:dyDescent="0.25">
      <c r="A3998" s="106">
        <v>11671</v>
      </c>
      <c r="B3998" s="108" t="s">
        <v>9293</v>
      </c>
      <c r="C3998" s="110" t="s">
        <v>5755</v>
      </c>
      <c r="D3998" s="111">
        <v>33.479999999999997</v>
      </c>
    </row>
    <row r="3999" spans="1:4" ht="25.5" x14ac:dyDescent="0.25">
      <c r="A3999" s="106">
        <v>6032</v>
      </c>
      <c r="B3999" s="108" t="s">
        <v>9294</v>
      </c>
      <c r="C3999" s="110" t="s">
        <v>5755</v>
      </c>
      <c r="D3999" s="111">
        <v>9.56</v>
      </c>
    </row>
    <row r="4000" spans="1:4" ht="25.5" x14ac:dyDescent="0.25">
      <c r="A4000" s="106">
        <v>11673</v>
      </c>
      <c r="B4000" s="108" t="s">
        <v>9295</v>
      </c>
      <c r="C4000" s="110" t="s">
        <v>5755</v>
      </c>
      <c r="D4000" s="111">
        <v>7.53</v>
      </c>
    </row>
    <row r="4001" spans="1:4" ht="25.5" x14ac:dyDescent="0.25">
      <c r="A4001" s="106">
        <v>11674</v>
      </c>
      <c r="B4001" s="108" t="s">
        <v>9296</v>
      </c>
      <c r="C4001" s="110" t="s">
        <v>5755</v>
      </c>
      <c r="D4001" s="111">
        <v>9.69</v>
      </c>
    </row>
    <row r="4002" spans="1:4" ht="25.5" x14ac:dyDescent="0.25">
      <c r="A4002" s="106">
        <v>11675</v>
      </c>
      <c r="B4002" s="108" t="s">
        <v>9297</v>
      </c>
      <c r="C4002" s="110" t="s">
        <v>5755</v>
      </c>
      <c r="D4002" s="111">
        <v>15.39</v>
      </c>
    </row>
    <row r="4003" spans="1:4" ht="25.5" x14ac:dyDescent="0.25">
      <c r="A4003" s="106">
        <v>11676</v>
      </c>
      <c r="B4003" s="108" t="s">
        <v>9298</v>
      </c>
      <c r="C4003" s="110" t="s">
        <v>5755</v>
      </c>
      <c r="D4003" s="111">
        <v>20.59</v>
      </c>
    </row>
    <row r="4004" spans="1:4" ht="25.5" x14ac:dyDescent="0.25">
      <c r="A4004" s="106">
        <v>11677</v>
      </c>
      <c r="B4004" s="108" t="s">
        <v>9299</v>
      </c>
      <c r="C4004" s="110" t="s">
        <v>5755</v>
      </c>
      <c r="D4004" s="111">
        <v>21.26</v>
      </c>
    </row>
    <row r="4005" spans="1:4" ht="25.5" x14ac:dyDescent="0.25">
      <c r="A4005" s="106">
        <v>11678</v>
      </c>
      <c r="B4005" s="108" t="s">
        <v>9300</v>
      </c>
      <c r="C4005" s="110" t="s">
        <v>5755</v>
      </c>
      <c r="D4005" s="111">
        <v>38.94</v>
      </c>
    </row>
    <row r="4006" spans="1:4" x14ac:dyDescent="0.25">
      <c r="A4006" s="106">
        <v>6038</v>
      </c>
      <c r="B4006" s="108" t="s">
        <v>9301</v>
      </c>
      <c r="C4006" s="110" t="s">
        <v>5755</v>
      </c>
      <c r="D4006" s="111">
        <v>2.4700000000000002</v>
      </c>
    </row>
    <row r="4007" spans="1:4" x14ac:dyDescent="0.25">
      <c r="A4007" s="106">
        <v>11718</v>
      </c>
      <c r="B4007" s="108" t="s">
        <v>9302</v>
      </c>
      <c r="C4007" s="110" t="s">
        <v>5755</v>
      </c>
      <c r="D4007" s="111">
        <v>7.04</v>
      </c>
    </row>
    <row r="4008" spans="1:4" x14ac:dyDescent="0.25">
      <c r="A4008" s="106">
        <v>6037</v>
      </c>
      <c r="B4008" s="108" t="s">
        <v>9303</v>
      </c>
      <c r="C4008" s="110" t="s">
        <v>5755</v>
      </c>
      <c r="D4008" s="111">
        <v>5.14</v>
      </c>
    </row>
    <row r="4009" spans="1:4" x14ac:dyDescent="0.25">
      <c r="A4009" s="106">
        <v>11719</v>
      </c>
      <c r="B4009" s="108" t="s">
        <v>9304</v>
      </c>
      <c r="C4009" s="110" t="s">
        <v>5755</v>
      </c>
      <c r="D4009" s="111">
        <v>5.71</v>
      </c>
    </row>
    <row r="4010" spans="1:4" x14ac:dyDescent="0.25">
      <c r="A4010" s="106">
        <v>6019</v>
      </c>
      <c r="B4010" s="108" t="s">
        <v>9305</v>
      </c>
      <c r="C4010" s="110" t="s">
        <v>5755</v>
      </c>
      <c r="D4010" s="111">
        <v>31.7</v>
      </c>
    </row>
    <row r="4011" spans="1:4" x14ac:dyDescent="0.25">
      <c r="A4011" s="106">
        <v>6010</v>
      </c>
      <c r="B4011" s="108" t="s">
        <v>9306</v>
      </c>
      <c r="C4011" s="110" t="s">
        <v>5755</v>
      </c>
      <c r="D4011" s="111">
        <v>54.55</v>
      </c>
    </row>
    <row r="4012" spans="1:4" x14ac:dyDescent="0.25">
      <c r="A4012" s="106">
        <v>6017</v>
      </c>
      <c r="B4012" s="108" t="s">
        <v>9307</v>
      </c>
      <c r="C4012" s="110" t="s">
        <v>5755</v>
      </c>
      <c r="D4012" s="111">
        <v>43.2</v>
      </c>
    </row>
    <row r="4013" spans="1:4" x14ac:dyDescent="0.25">
      <c r="A4013" s="106">
        <v>6020</v>
      </c>
      <c r="B4013" s="108" t="s">
        <v>9308</v>
      </c>
      <c r="C4013" s="110" t="s">
        <v>5755</v>
      </c>
      <c r="D4013" s="111">
        <v>19.04</v>
      </c>
    </row>
    <row r="4014" spans="1:4" x14ac:dyDescent="0.25">
      <c r="A4014" s="106">
        <v>6028</v>
      </c>
      <c r="B4014" s="108" t="s">
        <v>9309</v>
      </c>
      <c r="C4014" s="110" t="s">
        <v>5755</v>
      </c>
      <c r="D4014" s="111">
        <v>75.98</v>
      </c>
    </row>
    <row r="4015" spans="1:4" x14ac:dyDescent="0.25">
      <c r="A4015" s="106">
        <v>6011</v>
      </c>
      <c r="B4015" s="108" t="s">
        <v>9310</v>
      </c>
      <c r="C4015" s="110" t="s">
        <v>5755</v>
      </c>
      <c r="D4015" s="111">
        <v>157.57</v>
      </c>
    </row>
    <row r="4016" spans="1:4" x14ac:dyDescent="0.25">
      <c r="A4016" s="106">
        <v>6012</v>
      </c>
      <c r="B4016" s="108" t="s">
        <v>9311</v>
      </c>
      <c r="C4016" s="110" t="s">
        <v>5755</v>
      </c>
      <c r="D4016" s="111">
        <v>190.77</v>
      </c>
    </row>
    <row r="4017" spans="1:4" x14ac:dyDescent="0.25">
      <c r="A4017" s="106">
        <v>6016</v>
      </c>
      <c r="B4017" s="108" t="s">
        <v>9312</v>
      </c>
      <c r="C4017" s="110" t="s">
        <v>5755</v>
      </c>
      <c r="D4017" s="111">
        <v>20.079999999999998</v>
      </c>
    </row>
    <row r="4018" spans="1:4" x14ac:dyDescent="0.25">
      <c r="A4018" s="106">
        <v>6027</v>
      </c>
      <c r="B4018" s="108" t="s">
        <v>9313</v>
      </c>
      <c r="C4018" s="110" t="s">
        <v>5755</v>
      </c>
      <c r="D4018" s="111">
        <v>397.5</v>
      </c>
    </row>
    <row r="4019" spans="1:4" ht="25.5" x14ac:dyDescent="0.25">
      <c r="A4019" s="106">
        <v>6013</v>
      </c>
      <c r="B4019" s="108" t="s">
        <v>9314</v>
      </c>
      <c r="C4019" s="110" t="s">
        <v>5755</v>
      </c>
      <c r="D4019" s="111">
        <v>59.98</v>
      </c>
    </row>
    <row r="4020" spans="1:4" ht="25.5" x14ac:dyDescent="0.25">
      <c r="A4020" s="106">
        <v>6015</v>
      </c>
      <c r="B4020" s="108" t="s">
        <v>9315</v>
      </c>
      <c r="C4020" s="110" t="s">
        <v>5755</v>
      </c>
      <c r="D4020" s="111">
        <v>87.22</v>
      </c>
    </row>
    <row r="4021" spans="1:4" ht="25.5" x14ac:dyDescent="0.25">
      <c r="A4021" s="106">
        <v>6014</v>
      </c>
      <c r="B4021" s="108" t="s">
        <v>9316</v>
      </c>
      <c r="C4021" s="110" t="s">
        <v>5755</v>
      </c>
      <c r="D4021" s="111">
        <v>83.39</v>
      </c>
    </row>
    <row r="4022" spans="1:4" ht="25.5" x14ac:dyDescent="0.25">
      <c r="A4022" s="106">
        <v>6006</v>
      </c>
      <c r="B4022" s="108" t="s">
        <v>9317</v>
      </c>
      <c r="C4022" s="110" t="s">
        <v>5755</v>
      </c>
      <c r="D4022" s="111">
        <v>43.43</v>
      </c>
    </row>
    <row r="4023" spans="1:4" ht="25.5" x14ac:dyDescent="0.25">
      <c r="A4023" s="106">
        <v>6005</v>
      </c>
      <c r="B4023" s="108" t="s">
        <v>9318</v>
      </c>
      <c r="C4023" s="110" t="s">
        <v>5755</v>
      </c>
      <c r="D4023" s="111">
        <v>49</v>
      </c>
    </row>
    <row r="4024" spans="1:4" x14ac:dyDescent="0.25">
      <c r="A4024" s="106">
        <v>11756</v>
      </c>
      <c r="B4024" s="108" t="s">
        <v>623</v>
      </c>
      <c r="C4024" s="110" t="s">
        <v>5755</v>
      </c>
      <c r="D4024" s="111">
        <v>23.4</v>
      </c>
    </row>
    <row r="4025" spans="1:4" ht="38.25" x14ac:dyDescent="0.25">
      <c r="A4025" s="106">
        <v>10904</v>
      </c>
      <c r="B4025" s="108" t="s">
        <v>630</v>
      </c>
      <c r="C4025" s="110" t="s">
        <v>5755</v>
      </c>
      <c r="D4025" s="111">
        <v>130.26</v>
      </c>
    </row>
    <row r="4026" spans="1:4" x14ac:dyDescent="0.25">
      <c r="A4026" s="106">
        <v>11752</v>
      </c>
      <c r="B4026" s="108" t="s">
        <v>9319</v>
      </c>
      <c r="C4026" s="110" t="s">
        <v>5755</v>
      </c>
      <c r="D4026" s="111">
        <v>13.49</v>
      </c>
    </row>
    <row r="4027" spans="1:4" x14ac:dyDescent="0.25">
      <c r="A4027" s="106">
        <v>11753</v>
      </c>
      <c r="B4027" s="108" t="s">
        <v>9320</v>
      </c>
      <c r="C4027" s="110" t="s">
        <v>5755</v>
      </c>
      <c r="D4027" s="111">
        <v>16.11</v>
      </c>
    </row>
    <row r="4028" spans="1:4" ht="25.5" x14ac:dyDescent="0.25">
      <c r="A4028" s="106">
        <v>6021</v>
      </c>
      <c r="B4028" s="108" t="s">
        <v>9321</v>
      </c>
      <c r="C4028" s="110" t="s">
        <v>5755</v>
      </c>
      <c r="D4028" s="111">
        <v>44.71</v>
      </c>
    </row>
    <row r="4029" spans="1:4" ht="25.5" x14ac:dyDescent="0.25">
      <c r="A4029" s="106">
        <v>6024</v>
      </c>
      <c r="B4029" s="108" t="s">
        <v>9322</v>
      </c>
      <c r="C4029" s="110" t="s">
        <v>5755</v>
      </c>
      <c r="D4029" s="111">
        <v>46.21</v>
      </c>
    </row>
    <row r="4030" spans="1:4" x14ac:dyDescent="0.25">
      <c r="A4030" s="106">
        <v>38379</v>
      </c>
      <c r="B4030" s="108" t="s">
        <v>9323</v>
      </c>
      <c r="C4030" s="110" t="s">
        <v>5767</v>
      </c>
      <c r="D4030" s="111">
        <v>31.17</v>
      </c>
    </row>
    <row r="4031" spans="1:4" ht="25.5" x14ac:dyDescent="0.25">
      <c r="A4031" s="106">
        <v>13897</v>
      </c>
      <c r="B4031" s="108" t="s">
        <v>9324</v>
      </c>
      <c r="C4031" s="110" t="s">
        <v>5755</v>
      </c>
      <c r="D4031" s="111">
        <v>5934.87</v>
      </c>
    </row>
    <row r="4032" spans="1:4" ht="25.5" x14ac:dyDescent="0.25">
      <c r="A4032" s="106">
        <v>10640</v>
      </c>
      <c r="B4032" s="108" t="s">
        <v>9325</v>
      </c>
      <c r="C4032" s="110" t="s">
        <v>5755</v>
      </c>
      <c r="D4032" s="111">
        <v>12853.69</v>
      </c>
    </row>
    <row r="4033" spans="1:4" ht="25.5" x14ac:dyDescent="0.25">
      <c r="A4033" s="106">
        <v>11086</v>
      </c>
      <c r="B4033" s="108" t="s">
        <v>9326</v>
      </c>
      <c r="C4033" s="110" t="s">
        <v>5902</v>
      </c>
      <c r="D4033" s="111">
        <v>71.92</v>
      </c>
    </row>
    <row r="4034" spans="1:4" x14ac:dyDescent="0.25">
      <c r="A4034" s="106">
        <v>34356</v>
      </c>
      <c r="B4034" s="108" t="s">
        <v>9327</v>
      </c>
      <c r="C4034" s="110" t="s">
        <v>5816</v>
      </c>
      <c r="D4034" s="111">
        <v>3.72</v>
      </c>
    </row>
    <row r="4035" spans="1:4" x14ac:dyDescent="0.25">
      <c r="A4035" s="106">
        <v>34357</v>
      </c>
      <c r="B4035" s="108" t="s">
        <v>414</v>
      </c>
      <c r="C4035" s="110" t="s">
        <v>5816</v>
      </c>
      <c r="D4035" s="111">
        <v>4.13</v>
      </c>
    </row>
    <row r="4036" spans="1:4" x14ac:dyDescent="0.25">
      <c r="A4036" s="106">
        <v>37329</v>
      </c>
      <c r="B4036" s="108" t="s">
        <v>485</v>
      </c>
      <c r="C4036" s="110" t="s">
        <v>5816</v>
      </c>
      <c r="D4036" s="111">
        <v>57.59</v>
      </c>
    </row>
    <row r="4037" spans="1:4" x14ac:dyDescent="0.25">
      <c r="A4037" s="106">
        <v>37398</v>
      </c>
      <c r="B4037" s="108" t="s">
        <v>9328</v>
      </c>
      <c r="C4037" s="110" t="s">
        <v>5816</v>
      </c>
      <c r="D4037" s="111">
        <v>73.709999999999994</v>
      </c>
    </row>
    <row r="4038" spans="1:4" ht="25.5" x14ac:dyDescent="0.25">
      <c r="A4038" s="106">
        <v>2510</v>
      </c>
      <c r="B4038" s="108" t="s">
        <v>9329</v>
      </c>
      <c r="C4038" s="110" t="s">
        <v>5755</v>
      </c>
      <c r="D4038" s="111">
        <v>17.170000000000002</v>
      </c>
    </row>
    <row r="4039" spans="1:4" ht="25.5" x14ac:dyDescent="0.25">
      <c r="A4039" s="106">
        <v>12359</v>
      </c>
      <c r="B4039" s="108" t="s">
        <v>9330</v>
      </c>
      <c r="C4039" s="110" t="s">
        <v>5755</v>
      </c>
      <c r="D4039" s="111">
        <v>104.76</v>
      </c>
    </row>
    <row r="4040" spans="1:4" x14ac:dyDescent="0.25">
      <c r="A4040" s="106">
        <v>5320</v>
      </c>
      <c r="B4040" s="108" t="s">
        <v>9331</v>
      </c>
      <c r="C4040" s="110" t="s">
        <v>5818</v>
      </c>
      <c r="D4040" s="111">
        <v>33.369999999999997</v>
      </c>
    </row>
    <row r="4041" spans="1:4" x14ac:dyDescent="0.25">
      <c r="A4041" s="106">
        <v>7353</v>
      </c>
      <c r="B4041" s="108" t="s">
        <v>9332</v>
      </c>
      <c r="C4041" s="110" t="s">
        <v>5818</v>
      </c>
      <c r="D4041" s="111">
        <v>23.81</v>
      </c>
    </row>
    <row r="4042" spans="1:4" x14ac:dyDescent="0.25">
      <c r="A4042" s="106">
        <v>36144</v>
      </c>
      <c r="B4042" s="108" t="s">
        <v>9333</v>
      </c>
      <c r="C4042" s="110" t="s">
        <v>5755</v>
      </c>
      <c r="D4042" s="111">
        <v>1.33</v>
      </c>
    </row>
    <row r="4043" spans="1:4" x14ac:dyDescent="0.25">
      <c r="A4043" s="106">
        <v>10518</v>
      </c>
      <c r="B4043" s="108" t="s">
        <v>9334</v>
      </c>
      <c r="C4043" s="110" t="s">
        <v>5755</v>
      </c>
      <c r="D4043" s="111">
        <v>70.08</v>
      </c>
    </row>
    <row r="4044" spans="1:4" ht="51" x14ac:dyDescent="0.25">
      <c r="A4044" s="106">
        <v>36530</v>
      </c>
      <c r="B4044" s="108" t="s">
        <v>9335</v>
      </c>
      <c r="C4044" s="110" t="s">
        <v>5755</v>
      </c>
      <c r="D4044" s="111">
        <v>226003.82</v>
      </c>
    </row>
    <row r="4045" spans="1:4" ht="63.75" x14ac:dyDescent="0.25">
      <c r="A4045" s="106">
        <v>6046</v>
      </c>
      <c r="B4045" s="108" t="s">
        <v>9336</v>
      </c>
      <c r="C4045" s="110" t="s">
        <v>5755</v>
      </c>
      <c r="D4045" s="111">
        <v>245136.43</v>
      </c>
    </row>
    <row r="4046" spans="1:4" ht="51" x14ac:dyDescent="0.25">
      <c r="A4046" s="106">
        <v>36531</v>
      </c>
      <c r="B4046" s="108" t="s">
        <v>9337</v>
      </c>
      <c r="C4046" s="110" t="s">
        <v>5755</v>
      </c>
      <c r="D4046" s="111">
        <v>254104.81</v>
      </c>
    </row>
    <row r="4047" spans="1:4" ht="25.5" x14ac:dyDescent="0.25">
      <c r="A4047" s="106">
        <v>34684</v>
      </c>
      <c r="B4047" s="108" t="s">
        <v>9338</v>
      </c>
      <c r="C4047" s="110" t="s">
        <v>5757</v>
      </c>
      <c r="D4047" s="111">
        <v>167.93</v>
      </c>
    </row>
    <row r="4048" spans="1:4" ht="25.5" x14ac:dyDescent="0.25">
      <c r="A4048" s="106">
        <v>34683</v>
      </c>
      <c r="B4048" s="108" t="s">
        <v>9339</v>
      </c>
      <c r="C4048" s="110" t="s">
        <v>5757</v>
      </c>
      <c r="D4048" s="111">
        <v>104.95</v>
      </c>
    </row>
    <row r="4049" spans="1:4" ht="25.5" x14ac:dyDescent="0.25">
      <c r="A4049" s="106">
        <v>533</v>
      </c>
      <c r="B4049" s="108" t="s">
        <v>9340</v>
      </c>
      <c r="C4049" s="110" t="s">
        <v>5757</v>
      </c>
      <c r="D4049" s="111">
        <v>10.56</v>
      </c>
    </row>
    <row r="4050" spans="1:4" ht="25.5" x14ac:dyDescent="0.25">
      <c r="A4050" s="106">
        <v>10515</v>
      </c>
      <c r="B4050" s="108" t="s">
        <v>9341</v>
      </c>
      <c r="C4050" s="110" t="s">
        <v>5757</v>
      </c>
      <c r="D4050" s="111">
        <v>27.24</v>
      </c>
    </row>
    <row r="4051" spans="1:4" ht="25.5" x14ac:dyDescent="0.25">
      <c r="A4051" s="106">
        <v>536</v>
      </c>
      <c r="B4051" s="108" t="s">
        <v>9342</v>
      </c>
      <c r="C4051" s="110" t="s">
        <v>5757</v>
      </c>
      <c r="D4051" s="111">
        <v>17.899999999999999</v>
      </c>
    </row>
    <row r="4052" spans="1:4" ht="25.5" x14ac:dyDescent="0.25">
      <c r="A4052" s="106">
        <v>153</v>
      </c>
      <c r="B4052" s="108" t="s">
        <v>9343</v>
      </c>
      <c r="C4052" s="110" t="s">
        <v>5818</v>
      </c>
      <c r="D4052" s="111">
        <v>67.98</v>
      </c>
    </row>
    <row r="4053" spans="1:4" ht="25.5" x14ac:dyDescent="0.25">
      <c r="A4053" s="106">
        <v>34682</v>
      </c>
      <c r="B4053" s="108" t="s">
        <v>9344</v>
      </c>
      <c r="C4053" s="110" t="s">
        <v>5757</v>
      </c>
      <c r="D4053" s="111">
        <v>80.260000000000005</v>
      </c>
    </row>
    <row r="4054" spans="1:4" ht="25.5" x14ac:dyDescent="0.25">
      <c r="A4054" s="106">
        <v>20205</v>
      </c>
      <c r="B4054" s="108" t="s">
        <v>9345</v>
      </c>
      <c r="C4054" s="110" t="s">
        <v>5767</v>
      </c>
      <c r="D4054" s="111">
        <v>1.48</v>
      </c>
    </row>
    <row r="4055" spans="1:4" ht="25.5" x14ac:dyDescent="0.25">
      <c r="A4055" s="106">
        <v>4412</v>
      </c>
      <c r="B4055" s="108" t="s">
        <v>9346</v>
      </c>
      <c r="C4055" s="110" t="s">
        <v>5767</v>
      </c>
      <c r="D4055" s="111">
        <v>0.93</v>
      </c>
    </row>
    <row r="4056" spans="1:4" ht="25.5" x14ac:dyDescent="0.25">
      <c r="A4056" s="106">
        <v>4408</v>
      </c>
      <c r="B4056" s="108" t="s">
        <v>9347</v>
      </c>
      <c r="C4056" s="110" t="s">
        <v>5767</v>
      </c>
      <c r="D4056" s="111">
        <v>1.26</v>
      </c>
    </row>
    <row r="4057" spans="1:4" ht="25.5" x14ac:dyDescent="0.25">
      <c r="A4057" s="106">
        <v>4505</v>
      </c>
      <c r="B4057" s="108" t="s">
        <v>9348</v>
      </c>
      <c r="C4057" s="110" t="s">
        <v>5767</v>
      </c>
      <c r="D4057" s="111">
        <v>2.4900000000000002</v>
      </c>
    </row>
    <row r="4058" spans="1:4" x14ac:dyDescent="0.25">
      <c r="A4058" s="106">
        <v>10559</v>
      </c>
      <c r="B4058" s="108" t="s">
        <v>9349</v>
      </c>
      <c r="C4058" s="110" t="s">
        <v>5755</v>
      </c>
      <c r="D4058" s="111">
        <v>2050</v>
      </c>
    </row>
    <row r="4059" spans="1:4" x14ac:dyDescent="0.25">
      <c r="A4059" s="106">
        <v>10664</v>
      </c>
      <c r="B4059" s="108" t="s">
        <v>9350</v>
      </c>
      <c r="C4059" s="110" t="s">
        <v>5755</v>
      </c>
      <c r="D4059" s="111">
        <v>5571.46</v>
      </c>
    </row>
    <row r="4060" spans="1:4" x14ac:dyDescent="0.25">
      <c r="A4060" s="106">
        <v>36250</v>
      </c>
      <c r="B4060" s="108" t="s">
        <v>9351</v>
      </c>
      <c r="C4060" s="110" t="s">
        <v>5767</v>
      </c>
      <c r="D4060" s="111">
        <v>2.59</v>
      </c>
    </row>
    <row r="4061" spans="1:4" x14ac:dyDescent="0.25">
      <c r="A4061" s="106">
        <v>10857</v>
      </c>
      <c r="B4061" s="108" t="s">
        <v>9352</v>
      </c>
      <c r="C4061" s="110" t="s">
        <v>5767</v>
      </c>
      <c r="D4061" s="111">
        <v>9.58</v>
      </c>
    </row>
    <row r="4062" spans="1:4" ht="25.5" x14ac:dyDescent="0.25">
      <c r="A4062" s="106">
        <v>4803</v>
      </c>
      <c r="B4062" s="108" t="s">
        <v>9353</v>
      </c>
      <c r="C4062" s="110" t="s">
        <v>5767</v>
      </c>
      <c r="D4062" s="111">
        <v>25.06</v>
      </c>
    </row>
    <row r="4063" spans="1:4" ht="25.5" x14ac:dyDescent="0.25">
      <c r="A4063" s="106">
        <v>6186</v>
      </c>
      <c r="B4063" s="108" t="s">
        <v>9354</v>
      </c>
      <c r="C4063" s="110" t="s">
        <v>5767</v>
      </c>
      <c r="D4063" s="111">
        <v>10.119999999999999</v>
      </c>
    </row>
    <row r="4064" spans="1:4" ht="25.5" x14ac:dyDescent="0.25">
      <c r="A4064" s="106">
        <v>4829</v>
      </c>
      <c r="B4064" s="108" t="s">
        <v>9355</v>
      </c>
      <c r="C4064" s="110" t="s">
        <v>5767</v>
      </c>
      <c r="D4064" s="111">
        <v>41.67</v>
      </c>
    </row>
    <row r="4065" spans="1:4" x14ac:dyDescent="0.25">
      <c r="A4065" s="106">
        <v>39829</v>
      </c>
      <c r="B4065" s="108" t="s">
        <v>9356</v>
      </c>
      <c r="C4065" s="110" t="s">
        <v>5767</v>
      </c>
      <c r="D4065" s="111">
        <v>21.54</v>
      </c>
    </row>
    <row r="4066" spans="1:4" ht="38.25" x14ac:dyDescent="0.25">
      <c r="A4066" s="106">
        <v>20231</v>
      </c>
      <c r="B4066" s="108" t="s">
        <v>9357</v>
      </c>
      <c r="C4066" s="110" t="s">
        <v>5767</v>
      </c>
      <c r="D4066" s="111">
        <v>53.58</v>
      </c>
    </row>
    <row r="4067" spans="1:4" x14ac:dyDescent="0.25">
      <c r="A4067" s="106">
        <v>4804</v>
      </c>
      <c r="B4067" s="108" t="s">
        <v>9358</v>
      </c>
      <c r="C4067" s="110" t="s">
        <v>5767</v>
      </c>
      <c r="D4067" s="111">
        <v>19.239999999999998</v>
      </c>
    </row>
    <row r="4068" spans="1:4" ht="25.5" x14ac:dyDescent="0.25">
      <c r="A4068" s="106">
        <v>34680</v>
      </c>
      <c r="B4068" s="108" t="s">
        <v>9359</v>
      </c>
      <c r="C4068" s="110" t="s">
        <v>5767</v>
      </c>
      <c r="D4068" s="111">
        <v>24.69</v>
      </c>
    </row>
    <row r="4069" spans="1:4" ht="25.5" x14ac:dyDescent="0.25">
      <c r="A4069" s="106">
        <v>11573</v>
      </c>
      <c r="B4069" s="108" t="s">
        <v>9360</v>
      </c>
      <c r="C4069" s="110" t="s">
        <v>5755</v>
      </c>
      <c r="D4069" s="111">
        <v>6.6</v>
      </c>
    </row>
    <row r="4070" spans="1:4" x14ac:dyDescent="0.25">
      <c r="A4070" s="106">
        <v>38401</v>
      </c>
      <c r="B4070" s="108" t="s">
        <v>9361</v>
      </c>
      <c r="C4070" s="110" t="s">
        <v>5755</v>
      </c>
      <c r="D4070" s="111">
        <v>12.66</v>
      </c>
    </row>
    <row r="4071" spans="1:4" ht="25.5" x14ac:dyDescent="0.25">
      <c r="A4071" s="106">
        <v>38179</v>
      </c>
      <c r="B4071" s="108" t="s">
        <v>9362</v>
      </c>
      <c r="C4071" s="110" t="s">
        <v>5755</v>
      </c>
      <c r="D4071" s="111">
        <v>28.92</v>
      </c>
    </row>
    <row r="4072" spans="1:4" ht="25.5" x14ac:dyDescent="0.25">
      <c r="A4072" s="106">
        <v>11575</v>
      </c>
      <c r="B4072" s="108" t="s">
        <v>9363</v>
      </c>
      <c r="C4072" s="110" t="s">
        <v>5755</v>
      </c>
      <c r="D4072" s="111">
        <v>31.21</v>
      </c>
    </row>
    <row r="4073" spans="1:4" ht="25.5" x14ac:dyDescent="0.25">
      <c r="A4073" s="106">
        <v>20256</v>
      </c>
      <c r="B4073" s="108" t="s">
        <v>9364</v>
      </c>
      <c r="C4073" s="110" t="s">
        <v>5755</v>
      </c>
      <c r="D4073" s="111">
        <v>0.31</v>
      </c>
    </row>
    <row r="4074" spans="1:4" ht="38.25" x14ac:dyDescent="0.25">
      <c r="A4074" s="106">
        <v>14511</v>
      </c>
      <c r="B4074" s="108" t="s">
        <v>9365</v>
      </c>
      <c r="C4074" s="110" t="s">
        <v>5755</v>
      </c>
      <c r="D4074" s="111">
        <v>495462.77</v>
      </c>
    </row>
    <row r="4075" spans="1:4" ht="38.25" x14ac:dyDescent="0.25">
      <c r="A4075" s="106">
        <v>10642</v>
      </c>
      <c r="B4075" s="108" t="s">
        <v>9366</v>
      </c>
      <c r="C4075" s="110" t="s">
        <v>5755</v>
      </c>
      <c r="D4075" s="111">
        <v>466750</v>
      </c>
    </row>
    <row r="4076" spans="1:4" ht="38.25" x14ac:dyDescent="0.25">
      <c r="A4076" s="106">
        <v>14489</v>
      </c>
      <c r="B4076" s="108" t="s">
        <v>9367</v>
      </c>
      <c r="C4076" s="110" t="s">
        <v>5755</v>
      </c>
      <c r="D4076" s="111">
        <v>413998.56</v>
      </c>
    </row>
    <row r="4077" spans="1:4" ht="38.25" x14ac:dyDescent="0.25">
      <c r="A4077" s="106">
        <v>14513</v>
      </c>
      <c r="B4077" s="108" t="s">
        <v>9368</v>
      </c>
      <c r="C4077" s="110" t="s">
        <v>5755</v>
      </c>
      <c r="D4077" s="111">
        <v>310508.75</v>
      </c>
    </row>
    <row r="4078" spans="1:4" ht="38.25" x14ac:dyDescent="0.25">
      <c r="A4078" s="106">
        <v>13600</v>
      </c>
      <c r="B4078" s="108" t="s">
        <v>9369</v>
      </c>
      <c r="C4078" s="110" t="s">
        <v>5755</v>
      </c>
      <c r="D4078" s="111">
        <v>400643.73</v>
      </c>
    </row>
    <row r="4079" spans="1:4" ht="38.25" x14ac:dyDescent="0.25">
      <c r="A4079" s="106">
        <v>10646</v>
      </c>
      <c r="B4079" s="108" t="s">
        <v>9370</v>
      </c>
      <c r="C4079" s="110" t="s">
        <v>5755</v>
      </c>
      <c r="D4079" s="111">
        <v>298653.2</v>
      </c>
    </row>
    <row r="4080" spans="1:4" ht="38.25" x14ac:dyDescent="0.25">
      <c r="A4080" s="106">
        <v>6070</v>
      </c>
      <c r="B4080" s="108" t="s">
        <v>9371</v>
      </c>
      <c r="C4080" s="110" t="s">
        <v>5755</v>
      </c>
      <c r="D4080" s="111">
        <v>408072.85</v>
      </c>
    </row>
    <row r="4081" spans="1:4" ht="38.25" x14ac:dyDescent="0.25">
      <c r="A4081" s="106">
        <v>6069</v>
      </c>
      <c r="B4081" s="108" t="s">
        <v>9372</v>
      </c>
      <c r="C4081" s="110" t="s">
        <v>5755</v>
      </c>
      <c r="D4081" s="111">
        <v>90149.440000000002</v>
      </c>
    </row>
    <row r="4082" spans="1:4" ht="38.25" x14ac:dyDescent="0.25">
      <c r="A4082" s="106">
        <v>14626</v>
      </c>
      <c r="B4082" s="108" t="s">
        <v>9373</v>
      </c>
      <c r="C4082" s="110" t="s">
        <v>5755</v>
      </c>
      <c r="D4082" s="111">
        <v>446746.44</v>
      </c>
    </row>
    <row r="4083" spans="1:4" ht="25.5" x14ac:dyDescent="0.25">
      <c r="A4083" s="106">
        <v>6067</v>
      </c>
      <c r="B4083" s="108" t="s">
        <v>9374</v>
      </c>
      <c r="C4083" s="110" t="s">
        <v>5755</v>
      </c>
      <c r="D4083" s="111">
        <v>366732.14</v>
      </c>
    </row>
    <row r="4084" spans="1:4" x14ac:dyDescent="0.25">
      <c r="A4084" s="106">
        <v>38393</v>
      </c>
      <c r="B4084" s="108" t="s">
        <v>9375</v>
      </c>
      <c r="C4084" s="110" t="s">
        <v>5755</v>
      </c>
      <c r="D4084" s="111">
        <v>14.49</v>
      </c>
    </row>
    <row r="4085" spans="1:4" x14ac:dyDescent="0.25">
      <c r="A4085" s="106">
        <v>38390</v>
      </c>
      <c r="B4085" s="108" t="s">
        <v>9376</v>
      </c>
      <c r="C4085" s="110" t="s">
        <v>5755</v>
      </c>
      <c r="D4085" s="111">
        <v>32.14</v>
      </c>
    </row>
    <row r="4086" spans="1:4" x14ac:dyDescent="0.25">
      <c r="A4086" s="106">
        <v>36532</v>
      </c>
      <c r="B4086" s="108" t="s">
        <v>9377</v>
      </c>
      <c r="C4086" s="110" t="s">
        <v>5755</v>
      </c>
      <c r="D4086" s="111">
        <v>27984.39</v>
      </c>
    </row>
    <row r="4087" spans="1:4" ht="38.25" x14ac:dyDescent="0.25">
      <c r="A4087" s="106">
        <v>11578</v>
      </c>
      <c r="B4087" s="108" t="s">
        <v>9378</v>
      </c>
      <c r="C4087" s="110" t="s">
        <v>5755</v>
      </c>
      <c r="D4087" s="111">
        <v>10.02</v>
      </c>
    </row>
    <row r="4088" spans="1:4" ht="38.25" x14ac:dyDescent="0.25">
      <c r="A4088" s="106">
        <v>11577</v>
      </c>
      <c r="B4088" s="108" t="s">
        <v>9379</v>
      </c>
      <c r="C4088" s="110" t="s">
        <v>5755</v>
      </c>
      <c r="D4088" s="111">
        <v>9.57</v>
      </c>
    </row>
    <row r="4089" spans="1:4" ht="51" x14ac:dyDescent="0.25">
      <c r="A4089" s="106">
        <v>42432</v>
      </c>
      <c r="B4089" s="108" t="s">
        <v>9380</v>
      </c>
      <c r="C4089" s="110" t="s">
        <v>5755</v>
      </c>
      <c r="D4089" s="111">
        <v>1377.27</v>
      </c>
    </row>
    <row r="4090" spans="1:4" ht="38.25" x14ac:dyDescent="0.25">
      <c r="A4090" s="106">
        <v>42437</v>
      </c>
      <c r="B4090" s="108" t="s">
        <v>9381</v>
      </c>
      <c r="C4090" s="110" t="s">
        <v>5755</v>
      </c>
      <c r="D4090" s="111">
        <v>1047.0899999999999</v>
      </c>
    </row>
    <row r="4091" spans="1:4" x14ac:dyDescent="0.25">
      <c r="A4091" s="106">
        <v>1116</v>
      </c>
      <c r="B4091" s="108" t="s">
        <v>9382</v>
      </c>
      <c r="C4091" s="110" t="s">
        <v>5767</v>
      </c>
      <c r="D4091" s="111">
        <v>16.510000000000002</v>
      </c>
    </row>
    <row r="4092" spans="1:4" x14ac:dyDescent="0.25">
      <c r="A4092" s="106">
        <v>1115</v>
      </c>
      <c r="B4092" s="108" t="s">
        <v>9383</v>
      </c>
      <c r="C4092" s="110" t="s">
        <v>5767</v>
      </c>
      <c r="D4092" s="111">
        <v>19.78</v>
      </c>
    </row>
    <row r="4093" spans="1:4" ht="25.5" x14ac:dyDescent="0.25">
      <c r="A4093" s="106">
        <v>1113</v>
      </c>
      <c r="B4093" s="108" t="s">
        <v>9384</v>
      </c>
      <c r="C4093" s="110" t="s">
        <v>5767</v>
      </c>
      <c r="D4093" s="111">
        <v>23.12</v>
      </c>
    </row>
    <row r="4094" spans="1:4" x14ac:dyDescent="0.25">
      <c r="A4094" s="106">
        <v>1114</v>
      </c>
      <c r="B4094" s="108" t="s">
        <v>9385</v>
      </c>
      <c r="C4094" s="110" t="s">
        <v>5767</v>
      </c>
      <c r="D4094" s="111">
        <v>27.55</v>
      </c>
    </row>
    <row r="4095" spans="1:4" ht="25.5" x14ac:dyDescent="0.25">
      <c r="A4095" s="106">
        <v>40873</v>
      </c>
      <c r="B4095" s="108" t="s">
        <v>10738</v>
      </c>
      <c r="C4095" s="110" t="s">
        <v>5767</v>
      </c>
      <c r="D4095" s="111">
        <v>21.56</v>
      </c>
    </row>
    <row r="4096" spans="1:4" x14ac:dyDescent="0.25">
      <c r="A4096" s="106">
        <v>20214</v>
      </c>
      <c r="B4096" s="108" t="s">
        <v>9386</v>
      </c>
      <c r="C4096" s="110" t="s">
        <v>5755</v>
      </c>
      <c r="D4096" s="111">
        <v>31.28</v>
      </c>
    </row>
    <row r="4097" spans="1:4" ht="25.5" x14ac:dyDescent="0.25">
      <c r="A4097" s="106">
        <v>11064</v>
      </c>
      <c r="B4097" s="108" t="s">
        <v>9387</v>
      </c>
      <c r="C4097" s="110" t="s">
        <v>5755</v>
      </c>
      <c r="D4097" s="111">
        <v>13.26</v>
      </c>
    </row>
    <row r="4098" spans="1:4" ht="25.5" x14ac:dyDescent="0.25">
      <c r="A4098" s="106">
        <v>7237</v>
      </c>
      <c r="B4098" s="108" t="s">
        <v>9388</v>
      </c>
      <c r="C4098" s="110" t="s">
        <v>5755</v>
      </c>
      <c r="D4098" s="111">
        <v>18.09</v>
      </c>
    </row>
    <row r="4099" spans="1:4" x14ac:dyDescent="0.25">
      <c r="A4099" s="106">
        <v>16</v>
      </c>
      <c r="B4099" s="108" t="s">
        <v>9389</v>
      </c>
      <c r="C4099" s="110" t="s">
        <v>5816</v>
      </c>
      <c r="D4099" s="111">
        <v>6.96</v>
      </c>
    </row>
    <row r="4100" spans="1:4" x14ac:dyDescent="0.25">
      <c r="A4100" s="106">
        <v>11757</v>
      </c>
      <c r="B4100" s="108" t="s">
        <v>9390</v>
      </c>
      <c r="C4100" s="110" t="s">
        <v>5755</v>
      </c>
      <c r="D4100" s="111">
        <v>23.5</v>
      </c>
    </row>
    <row r="4101" spans="1:4" ht="25.5" x14ac:dyDescent="0.25">
      <c r="A4101" s="106">
        <v>11758</v>
      </c>
      <c r="B4101" s="108" t="s">
        <v>9391</v>
      </c>
      <c r="C4101" s="110" t="s">
        <v>5755</v>
      </c>
      <c r="D4101" s="111">
        <v>46.25</v>
      </c>
    </row>
    <row r="4102" spans="1:4" x14ac:dyDescent="0.25">
      <c r="A4102" s="106">
        <v>37526</v>
      </c>
      <c r="B4102" s="108" t="s">
        <v>9392</v>
      </c>
      <c r="C4102" s="110" t="s">
        <v>5755</v>
      </c>
      <c r="D4102" s="111">
        <v>2.33</v>
      </c>
    </row>
    <row r="4103" spans="1:4" x14ac:dyDescent="0.25">
      <c r="A4103" s="106">
        <v>6076</v>
      </c>
      <c r="B4103" s="108" t="s">
        <v>9393</v>
      </c>
      <c r="C4103" s="110" t="s">
        <v>5902</v>
      </c>
      <c r="D4103" s="111">
        <v>53.25</v>
      </c>
    </row>
    <row r="4104" spans="1:4" x14ac:dyDescent="0.25">
      <c r="A4104" s="106">
        <v>13109</v>
      </c>
      <c r="B4104" s="108" t="s">
        <v>9394</v>
      </c>
      <c r="C4104" s="110" t="s">
        <v>5755</v>
      </c>
      <c r="D4104" s="111">
        <v>175.12</v>
      </c>
    </row>
    <row r="4105" spans="1:4" x14ac:dyDescent="0.25">
      <c r="A4105" s="106">
        <v>13110</v>
      </c>
      <c r="B4105" s="108" t="s">
        <v>9395</v>
      </c>
      <c r="C4105" s="110" t="s">
        <v>5755</v>
      </c>
      <c r="D4105" s="111">
        <v>230.47</v>
      </c>
    </row>
    <row r="4106" spans="1:4" ht="25.5" x14ac:dyDescent="0.25">
      <c r="A4106" s="106">
        <v>7581</v>
      </c>
      <c r="B4106" s="108" t="s">
        <v>9396</v>
      </c>
      <c r="C4106" s="110" t="s">
        <v>5755</v>
      </c>
      <c r="D4106" s="111">
        <v>2.57</v>
      </c>
    </row>
    <row r="4107" spans="1:4" ht="25.5" x14ac:dyDescent="0.25">
      <c r="A4107" s="106">
        <v>20206</v>
      </c>
      <c r="B4107" s="108" t="s">
        <v>9397</v>
      </c>
      <c r="C4107" s="110" t="s">
        <v>5767</v>
      </c>
      <c r="D4107" s="111">
        <v>4.38</v>
      </c>
    </row>
    <row r="4108" spans="1:4" ht="25.5" x14ac:dyDescent="0.25">
      <c r="A4108" s="106">
        <v>4460</v>
      </c>
      <c r="B4108" s="108" t="s">
        <v>401</v>
      </c>
      <c r="C4108" s="110" t="s">
        <v>5767</v>
      </c>
      <c r="D4108" s="111">
        <v>5.25</v>
      </c>
    </row>
    <row r="4109" spans="1:4" ht="25.5" x14ac:dyDescent="0.25">
      <c r="A4109" s="106">
        <v>4417</v>
      </c>
      <c r="B4109" s="108" t="s">
        <v>9398</v>
      </c>
      <c r="C4109" s="110" t="s">
        <v>5767</v>
      </c>
      <c r="D4109" s="111">
        <v>3.02</v>
      </c>
    </row>
    <row r="4110" spans="1:4" ht="25.5" x14ac:dyDescent="0.25">
      <c r="A4110" s="106">
        <v>4517</v>
      </c>
      <c r="B4110" s="108" t="s">
        <v>9399</v>
      </c>
      <c r="C4110" s="110" t="s">
        <v>5767</v>
      </c>
      <c r="D4110" s="111">
        <v>2</v>
      </c>
    </row>
    <row r="4111" spans="1:4" ht="25.5" x14ac:dyDescent="0.25">
      <c r="A4111" s="106">
        <v>4512</v>
      </c>
      <c r="B4111" s="108" t="s">
        <v>9400</v>
      </c>
      <c r="C4111" s="110" t="s">
        <v>5767</v>
      </c>
      <c r="D4111" s="111">
        <v>1.45</v>
      </c>
    </row>
    <row r="4112" spans="1:4" ht="25.5" x14ac:dyDescent="0.25">
      <c r="A4112" s="106">
        <v>4415</v>
      </c>
      <c r="B4112" s="108" t="s">
        <v>9401</v>
      </c>
      <c r="C4112" s="110" t="s">
        <v>5767</v>
      </c>
      <c r="D4112" s="111">
        <v>2.5299999999999998</v>
      </c>
    </row>
    <row r="4113" spans="1:4" x14ac:dyDescent="0.25">
      <c r="A4113" s="106">
        <v>37373</v>
      </c>
      <c r="B4113" s="108" t="s">
        <v>9402</v>
      </c>
      <c r="C4113" s="110" t="s">
        <v>5759</v>
      </c>
      <c r="D4113" s="111">
        <v>7.0000000000000007E-2</v>
      </c>
    </row>
    <row r="4114" spans="1:4" x14ac:dyDescent="0.25">
      <c r="A4114" s="106">
        <v>40864</v>
      </c>
      <c r="B4114" s="108" t="s">
        <v>9403</v>
      </c>
      <c r="C4114" s="110" t="s">
        <v>5906</v>
      </c>
      <c r="D4114" s="111">
        <v>13.07</v>
      </c>
    </row>
    <row r="4115" spans="1:4" ht="25.5" x14ac:dyDescent="0.25">
      <c r="A4115" s="106">
        <v>4734</v>
      </c>
      <c r="B4115" s="108" t="s">
        <v>9404</v>
      </c>
      <c r="C4115" s="110" t="s">
        <v>5902</v>
      </c>
      <c r="D4115" s="111">
        <v>102.36</v>
      </c>
    </row>
    <row r="4116" spans="1:4" x14ac:dyDescent="0.25">
      <c r="A4116" s="106">
        <v>6085</v>
      </c>
      <c r="B4116" s="108" t="s">
        <v>9405</v>
      </c>
      <c r="C4116" s="110" t="s">
        <v>5818</v>
      </c>
      <c r="D4116" s="111">
        <v>3.89</v>
      </c>
    </row>
    <row r="4117" spans="1:4" x14ac:dyDescent="0.25">
      <c r="A4117" s="106">
        <v>38396</v>
      </c>
      <c r="B4117" s="108" t="s">
        <v>9406</v>
      </c>
      <c r="C4117" s="110" t="s">
        <v>5755</v>
      </c>
      <c r="D4117" s="111">
        <v>544.79999999999995</v>
      </c>
    </row>
    <row r="4118" spans="1:4" x14ac:dyDescent="0.25">
      <c r="A4118" s="106">
        <v>6090</v>
      </c>
      <c r="B4118" s="108" t="s">
        <v>9407</v>
      </c>
      <c r="C4118" s="110" t="s">
        <v>5818</v>
      </c>
      <c r="D4118" s="111">
        <v>7.39</v>
      </c>
    </row>
    <row r="4119" spans="1:4" ht="25.5" x14ac:dyDescent="0.25">
      <c r="A4119" s="106">
        <v>11622</v>
      </c>
      <c r="B4119" s="108" t="s">
        <v>9408</v>
      </c>
      <c r="C4119" s="110" t="s">
        <v>5816</v>
      </c>
      <c r="D4119" s="111">
        <v>51.22</v>
      </c>
    </row>
    <row r="4120" spans="1:4" x14ac:dyDescent="0.25">
      <c r="A4120" s="106">
        <v>6094</v>
      </c>
      <c r="B4120" s="108" t="s">
        <v>9409</v>
      </c>
      <c r="C4120" s="110" t="s">
        <v>5816</v>
      </c>
      <c r="D4120" s="111">
        <v>12.49</v>
      </c>
    </row>
    <row r="4121" spans="1:4" ht="25.5" x14ac:dyDescent="0.25">
      <c r="A4121" s="106">
        <v>43143</v>
      </c>
      <c r="B4121" s="108" t="s">
        <v>10739</v>
      </c>
      <c r="C4121" s="110" t="s">
        <v>5818</v>
      </c>
      <c r="D4121" s="111">
        <v>19.34</v>
      </c>
    </row>
    <row r="4122" spans="1:4" x14ac:dyDescent="0.25">
      <c r="A4122" s="106">
        <v>7317</v>
      </c>
      <c r="B4122" s="108" t="s">
        <v>9410</v>
      </c>
      <c r="C4122" s="110" t="s">
        <v>5816</v>
      </c>
      <c r="D4122" s="111">
        <v>20.170000000000002</v>
      </c>
    </row>
    <row r="4123" spans="1:4" ht="25.5" x14ac:dyDescent="0.25">
      <c r="A4123" s="106">
        <v>142</v>
      </c>
      <c r="B4123" s="108" t="s">
        <v>10740</v>
      </c>
      <c r="C4123" s="110" t="s">
        <v>9411</v>
      </c>
      <c r="D4123" s="111">
        <v>24.17</v>
      </c>
    </row>
    <row r="4124" spans="1:4" ht="25.5" x14ac:dyDescent="0.25">
      <c r="A4124" s="106">
        <v>43142</v>
      </c>
      <c r="B4124" s="108" t="s">
        <v>10741</v>
      </c>
      <c r="C4124" s="110" t="s">
        <v>5818</v>
      </c>
      <c r="D4124" s="111">
        <v>109.79</v>
      </c>
    </row>
    <row r="4125" spans="1:4" x14ac:dyDescent="0.25">
      <c r="A4125" s="106">
        <v>38123</v>
      </c>
      <c r="B4125" s="108" t="s">
        <v>9412</v>
      </c>
      <c r="C4125" s="110" t="s">
        <v>5816</v>
      </c>
      <c r="D4125" s="111">
        <v>65.88</v>
      </c>
    </row>
    <row r="4126" spans="1:4" ht="25.5" x14ac:dyDescent="0.25">
      <c r="A4126" s="106">
        <v>42701</v>
      </c>
      <c r="B4126" s="108" t="s">
        <v>9413</v>
      </c>
      <c r="C4126" s="110" t="s">
        <v>5755</v>
      </c>
      <c r="D4126" s="111">
        <v>26.26</v>
      </c>
    </row>
    <row r="4127" spans="1:4" ht="25.5" x14ac:dyDescent="0.25">
      <c r="A4127" s="106">
        <v>42702</v>
      </c>
      <c r="B4127" s="108" t="s">
        <v>9414</v>
      </c>
      <c r="C4127" s="110" t="s">
        <v>5755</v>
      </c>
      <c r="D4127" s="111">
        <v>46.67</v>
      </c>
    </row>
    <row r="4128" spans="1:4" ht="25.5" x14ac:dyDescent="0.25">
      <c r="A4128" s="106">
        <v>37955</v>
      </c>
      <c r="B4128" s="108" t="s">
        <v>9415</v>
      </c>
      <c r="C4128" s="110" t="s">
        <v>5755</v>
      </c>
      <c r="D4128" s="111">
        <v>60.48</v>
      </c>
    </row>
    <row r="4129" spans="1:4" ht="25.5" x14ac:dyDescent="0.25">
      <c r="A4129" s="106">
        <v>42699</v>
      </c>
      <c r="B4129" s="108" t="s">
        <v>9416</v>
      </c>
      <c r="C4129" s="110" t="s">
        <v>5755</v>
      </c>
      <c r="D4129" s="111">
        <v>16.04</v>
      </c>
    </row>
    <row r="4130" spans="1:4" ht="25.5" x14ac:dyDescent="0.25">
      <c r="A4130" s="106">
        <v>42700</v>
      </c>
      <c r="B4130" s="108" t="s">
        <v>9417</v>
      </c>
      <c r="C4130" s="110" t="s">
        <v>5755</v>
      </c>
      <c r="D4130" s="111">
        <v>45.74</v>
      </c>
    </row>
    <row r="4131" spans="1:4" ht="38.25" x14ac:dyDescent="0.25">
      <c r="A4131" s="106">
        <v>37743</v>
      </c>
      <c r="B4131" s="108" t="s">
        <v>9418</v>
      </c>
      <c r="C4131" s="110" t="s">
        <v>5755</v>
      </c>
      <c r="D4131" s="111">
        <v>131739.35</v>
      </c>
    </row>
    <row r="4132" spans="1:4" ht="38.25" x14ac:dyDescent="0.25">
      <c r="A4132" s="106">
        <v>37744</v>
      </c>
      <c r="B4132" s="108" t="s">
        <v>9419</v>
      </c>
      <c r="C4132" s="110" t="s">
        <v>5755</v>
      </c>
      <c r="D4132" s="111">
        <v>154900.69</v>
      </c>
    </row>
    <row r="4133" spans="1:4" ht="38.25" x14ac:dyDescent="0.25">
      <c r="A4133" s="106">
        <v>37741</v>
      </c>
      <c r="B4133" s="108" t="s">
        <v>9420</v>
      </c>
      <c r="C4133" s="110" t="s">
        <v>5755</v>
      </c>
      <c r="D4133" s="111">
        <v>119789.87</v>
      </c>
    </row>
    <row r="4134" spans="1:4" ht="25.5" x14ac:dyDescent="0.25">
      <c r="A4134" s="106">
        <v>39396</v>
      </c>
      <c r="B4134" s="108" t="s">
        <v>9421</v>
      </c>
      <c r="C4134" s="110" t="s">
        <v>5755</v>
      </c>
      <c r="D4134" s="111">
        <v>33.630000000000003</v>
      </c>
    </row>
    <row r="4135" spans="1:4" ht="38.25" x14ac:dyDescent="0.25">
      <c r="A4135" s="106">
        <v>39392</v>
      </c>
      <c r="B4135" s="108" t="s">
        <v>9422</v>
      </c>
      <c r="C4135" s="110" t="s">
        <v>5755</v>
      </c>
      <c r="D4135" s="111">
        <v>37.93</v>
      </c>
    </row>
    <row r="4136" spans="1:4" ht="38.25" x14ac:dyDescent="0.25">
      <c r="A4136" s="106">
        <v>39393</v>
      </c>
      <c r="B4136" s="108" t="s">
        <v>9423</v>
      </c>
      <c r="C4136" s="110" t="s">
        <v>5755</v>
      </c>
      <c r="D4136" s="111">
        <v>23.46</v>
      </c>
    </row>
    <row r="4137" spans="1:4" ht="38.25" x14ac:dyDescent="0.25">
      <c r="A4137" s="106">
        <v>39394</v>
      </c>
      <c r="B4137" s="108" t="s">
        <v>9424</v>
      </c>
      <c r="C4137" s="110" t="s">
        <v>5755</v>
      </c>
      <c r="D4137" s="111">
        <v>26.4</v>
      </c>
    </row>
    <row r="4138" spans="1:4" ht="38.25" x14ac:dyDescent="0.25">
      <c r="A4138" s="106">
        <v>39395</v>
      </c>
      <c r="B4138" s="108" t="s">
        <v>9425</v>
      </c>
      <c r="C4138" s="110" t="s">
        <v>5755</v>
      </c>
      <c r="D4138" s="111">
        <v>24.55</v>
      </c>
    </row>
    <row r="4139" spans="1:4" ht="25.5" x14ac:dyDescent="0.25">
      <c r="A4139" s="106">
        <v>14618</v>
      </c>
      <c r="B4139" s="108" t="s">
        <v>9426</v>
      </c>
      <c r="C4139" s="110" t="s">
        <v>5755</v>
      </c>
      <c r="D4139" s="111">
        <v>1248.02</v>
      </c>
    </row>
    <row r="4140" spans="1:4" ht="38.25" x14ac:dyDescent="0.25">
      <c r="A4140" s="106">
        <v>40269</v>
      </c>
      <c r="B4140" s="108" t="s">
        <v>9427</v>
      </c>
      <c r="C4140" s="110" t="s">
        <v>5755</v>
      </c>
      <c r="D4140" s="111">
        <v>5028.18</v>
      </c>
    </row>
    <row r="4141" spans="1:4" x14ac:dyDescent="0.25">
      <c r="A4141" s="106">
        <v>6110</v>
      </c>
      <c r="B4141" s="108" t="s">
        <v>9428</v>
      </c>
      <c r="C4141" s="110" t="s">
        <v>5759</v>
      </c>
      <c r="D4141" s="111">
        <v>12.79</v>
      </c>
    </row>
    <row r="4142" spans="1:4" x14ac:dyDescent="0.25">
      <c r="A4142" s="106">
        <v>40910</v>
      </c>
      <c r="B4142" s="108" t="s">
        <v>9429</v>
      </c>
      <c r="C4142" s="110" t="s">
        <v>5906</v>
      </c>
      <c r="D4142" s="111">
        <v>2266.4299999999998</v>
      </c>
    </row>
    <row r="4143" spans="1:4" x14ac:dyDescent="0.25">
      <c r="A4143" s="106">
        <v>6111</v>
      </c>
      <c r="B4143" s="108" t="s">
        <v>9430</v>
      </c>
      <c r="C4143" s="110" t="s">
        <v>5759</v>
      </c>
      <c r="D4143" s="111">
        <v>9.51</v>
      </c>
    </row>
    <row r="4144" spans="1:4" x14ac:dyDescent="0.25">
      <c r="A4144" s="106">
        <v>41084</v>
      </c>
      <c r="B4144" s="108" t="s">
        <v>9431</v>
      </c>
      <c r="C4144" s="110" t="s">
        <v>5906</v>
      </c>
      <c r="D4144" s="111">
        <v>1685.96</v>
      </c>
    </row>
    <row r="4145" spans="1:4" ht="25.5" x14ac:dyDescent="0.25">
      <c r="A4145" s="106">
        <v>25950</v>
      </c>
      <c r="B4145" s="108" t="s">
        <v>9432</v>
      </c>
      <c r="C4145" s="110" t="s">
        <v>5902</v>
      </c>
      <c r="D4145" s="111">
        <v>37.71</v>
      </c>
    </row>
    <row r="4146" spans="1:4" x14ac:dyDescent="0.25">
      <c r="A4146" s="106">
        <v>38637</v>
      </c>
      <c r="B4146" s="108" t="s">
        <v>9433</v>
      </c>
      <c r="C4146" s="110" t="s">
        <v>5755</v>
      </c>
      <c r="D4146" s="111">
        <v>188.07</v>
      </c>
    </row>
    <row r="4147" spans="1:4" x14ac:dyDescent="0.25">
      <c r="A4147" s="106">
        <v>6150</v>
      </c>
      <c r="B4147" s="108" t="s">
        <v>9434</v>
      </c>
      <c r="C4147" s="110" t="s">
        <v>5755</v>
      </c>
      <c r="D4147" s="111">
        <v>190.37</v>
      </c>
    </row>
    <row r="4148" spans="1:4" x14ac:dyDescent="0.25">
      <c r="A4148" s="106">
        <v>6136</v>
      </c>
      <c r="B4148" s="108" t="s">
        <v>9435</v>
      </c>
      <c r="C4148" s="110" t="s">
        <v>5755</v>
      </c>
      <c r="D4148" s="111">
        <v>149.63999999999999</v>
      </c>
    </row>
    <row r="4149" spans="1:4" x14ac:dyDescent="0.25">
      <c r="A4149" s="106">
        <v>38638</v>
      </c>
      <c r="B4149" s="108" t="s">
        <v>9436</v>
      </c>
      <c r="C4149" s="110" t="s">
        <v>5755</v>
      </c>
      <c r="D4149" s="111">
        <v>158.47999999999999</v>
      </c>
    </row>
    <row r="4150" spans="1:4" x14ac:dyDescent="0.25">
      <c r="A4150" s="106">
        <v>20262</v>
      </c>
      <c r="B4150" s="108" t="s">
        <v>9437</v>
      </c>
      <c r="C4150" s="110" t="s">
        <v>5755</v>
      </c>
      <c r="D4150" s="111">
        <v>12.93</v>
      </c>
    </row>
    <row r="4151" spans="1:4" ht="25.5" x14ac:dyDescent="0.25">
      <c r="A4151" s="106">
        <v>6148</v>
      </c>
      <c r="B4151" s="108" t="s">
        <v>546</v>
      </c>
      <c r="C4151" s="110" t="s">
        <v>5755</v>
      </c>
      <c r="D4151" s="111">
        <v>8</v>
      </c>
    </row>
    <row r="4152" spans="1:4" x14ac:dyDescent="0.25">
      <c r="A4152" s="106">
        <v>6145</v>
      </c>
      <c r="B4152" s="108" t="s">
        <v>9438</v>
      </c>
      <c r="C4152" s="110" t="s">
        <v>5755</v>
      </c>
      <c r="D4152" s="111">
        <v>14.34</v>
      </c>
    </row>
    <row r="4153" spans="1:4" x14ac:dyDescent="0.25">
      <c r="A4153" s="106">
        <v>6149</v>
      </c>
      <c r="B4153" s="108" t="s">
        <v>466</v>
      </c>
      <c r="C4153" s="110" t="s">
        <v>5755</v>
      </c>
      <c r="D4153" s="111">
        <v>13.52</v>
      </c>
    </row>
    <row r="4154" spans="1:4" x14ac:dyDescent="0.25">
      <c r="A4154" s="106">
        <v>6146</v>
      </c>
      <c r="B4154" s="108" t="s">
        <v>9439</v>
      </c>
      <c r="C4154" s="110" t="s">
        <v>5755</v>
      </c>
      <c r="D4154" s="111">
        <v>14.36</v>
      </c>
    </row>
    <row r="4155" spans="1:4" x14ac:dyDescent="0.25">
      <c r="A4155" s="106">
        <v>26026</v>
      </c>
      <c r="B4155" s="108" t="s">
        <v>9440</v>
      </c>
      <c r="C4155" s="110" t="s">
        <v>5816</v>
      </c>
      <c r="D4155" s="111">
        <v>2.0299999999999998</v>
      </c>
    </row>
    <row r="4156" spans="1:4" x14ac:dyDescent="0.25">
      <c r="A4156" s="106">
        <v>39961</v>
      </c>
      <c r="B4156" s="108" t="s">
        <v>9441</v>
      </c>
      <c r="C4156" s="110" t="s">
        <v>5755</v>
      </c>
      <c r="D4156" s="111">
        <v>15.97</v>
      </c>
    </row>
    <row r="4157" spans="1:4" ht="38.25" x14ac:dyDescent="0.25">
      <c r="A4157" s="106">
        <v>42433</v>
      </c>
      <c r="B4157" s="108" t="s">
        <v>9442</v>
      </c>
      <c r="C4157" s="110" t="s">
        <v>5755</v>
      </c>
      <c r="D4157" s="111">
        <v>2720.4</v>
      </c>
    </row>
    <row r="4158" spans="1:4" ht="38.25" x14ac:dyDescent="0.25">
      <c r="A4158" s="106">
        <v>42434</v>
      </c>
      <c r="B4158" s="108" t="s">
        <v>9443</v>
      </c>
      <c r="C4158" s="110" t="s">
        <v>5755</v>
      </c>
      <c r="D4158" s="111">
        <v>2939.79</v>
      </c>
    </row>
    <row r="4159" spans="1:4" ht="38.25" x14ac:dyDescent="0.25">
      <c r="A4159" s="106">
        <v>42435</v>
      </c>
      <c r="B4159" s="108" t="s">
        <v>9444</v>
      </c>
      <c r="C4159" s="110" t="s">
        <v>5755</v>
      </c>
      <c r="D4159" s="111">
        <v>1465.96</v>
      </c>
    </row>
    <row r="4160" spans="1:4" ht="25.5" x14ac:dyDescent="0.25">
      <c r="A4160" s="106">
        <v>38061</v>
      </c>
      <c r="B4160" s="108" t="s">
        <v>535</v>
      </c>
      <c r="C4160" s="110" t="s">
        <v>5755</v>
      </c>
      <c r="D4160" s="111">
        <v>53.63</v>
      </c>
    </row>
    <row r="4161" spans="1:4" x14ac:dyDescent="0.25">
      <c r="A4161" s="106">
        <v>20250</v>
      </c>
      <c r="B4161" s="108" t="s">
        <v>9445</v>
      </c>
      <c r="C4161" s="110" t="s">
        <v>5816</v>
      </c>
      <c r="D4161" s="111">
        <v>10.5</v>
      </c>
    </row>
    <row r="4162" spans="1:4" ht="51" x14ac:dyDescent="0.25">
      <c r="A4162" s="106">
        <v>39965</v>
      </c>
      <c r="B4162" s="108" t="s">
        <v>9446</v>
      </c>
      <c r="C4162" s="110" t="s">
        <v>5757</v>
      </c>
      <c r="D4162" s="111">
        <v>1325.85</v>
      </c>
    </row>
    <row r="4163" spans="1:4" ht="63.75" x14ac:dyDescent="0.25">
      <c r="A4163" s="106">
        <v>39964</v>
      </c>
      <c r="B4163" s="108" t="s">
        <v>10504</v>
      </c>
      <c r="C4163" s="110" t="s">
        <v>5757</v>
      </c>
      <c r="D4163" s="111">
        <v>1126.1600000000001</v>
      </c>
    </row>
    <row r="4164" spans="1:4" x14ac:dyDescent="0.25">
      <c r="A4164" s="106">
        <v>7</v>
      </c>
      <c r="B4164" s="108" t="s">
        <v>9447</v>
      </c>
      <c r="C4164" s="110" t="s">
        <v>5816</v>
      </c>
      <c r="D4164" s="111">
        <v>11.55</v>
      </c>
    </row>
    <row r="4165" spans="1:4" x14ac:dyDescent="0.25">
      <c r="A4165" s="106">
        <v>13388</v>
      </c>
      <c r="B4165" s="108" t="s">
        <v>9448</v>
      </c>
      <c r="C4165" s="110" t="s">
        <v>5816</v>
      </c>
      <c r="D4165" s="111">
        <v>64.23</v>
      </c>
    </row>
    <row r="4166" spans="1:4" x14ac:dyDescent="0.25">
      <c r="A4166" s="106">
        <v>39914</v>
      </c>
      <c r="B4166" s="108" t="s">
        <v>9449</v>
      </c>
      <c r="C4166" s="110" t="s">
        <v>5816</v>
      </c>
      <c r="D4166" s="111">
        <v>164.53</v>
      </c>
    </row>
    <row r="4167" spans="1:4" ht="25.5" x14ac:dyDescent="0.25">
      <c r="A4167" s="106">
        <v>12732</v>
      </c>
      <c r="B4167" s="108" t="s">
        <v>9450</v>
      </c>
      <c r="C4167" s="110" t="s">
        <v>5755</v>
      </c>
      <c r="D4167" s="111">
        <v>189.85</v>
      </c>
    </row>
    <row r="4168" spans="1:4" x14ac:dyDescent="0.25">
      <c r="A4168" s="106">
        <v>6160</v>
      </c>
      <c r="B4168" s="108" t="s">
        <v>9451</v>
      </c>
      <c r="C4168" s="110" t="s">
        <v>5759</v>
      </c>
      <c r="D4168" s="111">
        <v>12.36</v>
      </c>
    </row>
    <row r="4169" spans="1:4" x14ac:dyDescent="0.25">
      <c r="A4169" s="106">
        <v>41087</v>
      </c>
      <c r="B4169" s="108" t="s">
        <v>9452</v>
      </c>
      <c r="C4169" s="110" t="s">
        <v>5906</v>
      </c>
      <c r="D4169" s="111">
        <v>2191.4299999999998</v>
      </c>
    </row>
    <row r="4170" spans="1:4" x14ac:dyDescent="0.25">
      <c r="A4170" s="106">
        <v>6166</v>
      </c>
      <c r="B4170" s="108" t="s">
        <v>9453</v>
      </c>
      <c r="C4170" s="110" t="s">
        <v>5759</v>
      </c>
      <c r="D4170" s="111">
        <v>16.559999999999999</v>
      </c>
    </row>
    <row r="4171" spans="1:4" ht="25.5" x14ac:dyDescent="0.25">
      <c r="A4171" s="106">
        <v>41088</v>
      </c>
      <c r="B4171" s="108" t="s">
        <v>9454</v>
      </c>
      <c r="C4171" s="110" t="s">
        <v>5906</v>
      </c>
      <c r="D4171" s="111">
        <v>2937.82</v>
      </c>
    </row>
    <row r="4172" spans="1:4" ht="38.25" x14ac:dyDescent="0.25">
      <c r="A4172" s="106">
        <v>20232</v>
      </c>
      <c r="B4172" s="108" t="s">
        <v>9455</v>
      </c>
      <c r="C4172" s="110" t="s">
        <v>5767</v>
      </c>
      <c r="D4172" s="111">
        <v>75.84</v>
      </c>
    </row>
    <row r="4173" spans="1:4" ht="25.5" x14ac:dyDescent="0.25">
      <c r="A4173" s="106">
        <v>10856</v>
      </c>
      <c r="B4173" s="108" t="s">
        <v>9456</v>
      </c>
      <c r="C4173" s="110" t="s">
        <v>5767</v>
      </c>
      <c r="D4173" s="111">
        <v>67.91</v>
      </c>
    </row>
    <row r="4174" spans="1:4" ht="25.5" x14ac:dyDescent="0.25">
      <c r="A4174" s="106">
        <v>4828</v>
      </c>
      <c r="B4174" s="108" t="s">
        <v>9457</v>
      </c>
      <c r="C4174" s="110" t="s">
        <v>5767</v>
      </c>
      <c r="D4174" s="111">
        <v>62.19</v>
      </c>
    </row>
    <row r="4175" spans="1:4" ht="25.5" x14ac:dyDescent="0.25">
      <c r="A4175" s="106">
        <v>20249</v>
      </c>
      <c r="B4175" s="108" t="s">
        <v>9458</v>
      </c>
      <c r="C4175" s="110" t="s">
        <v>5767</v>
      </c>
      <c r="D4175" s="111">
        <v>34.049999999999997</v>
      </c>
    </row>
    <row r="4176" spans="1:4" ht="25.5" x14ac:dyDescent="0.25">
      <c r="A4176" s="106">
        <v>11609</v>
      </c>
      <c r="B4176" s="108" t="s">
        <v>9459</v>
      </c>
      <c r="C4176" s="110" t="s">
        <v>5818</v>
      </c>
      <c r="D4176" s="111">
        <v>8.51</v>
      </c>
    </row>
    <row r="4177" spans="1:4" x14ac:dyDescent="0.25">
      <c r="A4177" s="106">
        <v>20083</v>
      </c>
      <c r="B4177" s="108" t="s">
        <v>548</v>
      </c>
      <c r="C4177" s="110" t="s">
        <v>5755</v>
      </c>
      <c r="D4177" s="111">
        <v>71.62</v>
      </c>
    </row>
    <row r="4178" spans="1:4" x14ac:dyDescent="0.25">
      <c r="A4178" s="106">
        <v>20082</v>
      </c>
      <c r="B4178" s="108" t="s">
        <v>9460</v>
      </c>
      <c r="C4178" s="110" t="s">
        <v>5755</v>
      </c>
      <c r="D4178" s="111">
        <v>27.9</v>
      </c>
    </row>
    <row r="4179" spans="1:4" x14ac:dyDescent="0.25">
      <c r="A4179" s="106">
        <v>5318</v>
      </c>
      <c r="B4179" s="108" t="s">
        <v>9461</v>
      </c>
      <c r="C4179" s="110" t="s">
        <v>5818</v>
      </c>
      <c r="D4179" s="111">
        <v>12.41</v>
      </c>
    </row>
    <row r="4180" spans="1:4" ht="25.5" x14ac:dyDescent="0.25">
      <c r="A4180" s="106">
        <v>10691</v>
      </c>
      <c r="B4180" s="108" t="s">
        <v>9462</v>
      </c>
      <c r="C4180" s="110" t="s">
        <v>5818</v>
      </c>
      <c r="D4180" s="111">
        <v>39.06</v>
      </c>
    </row>
    <row r="4181" spans="1:4" x14ac:dyDescent="0.25">
      <c r="A4181" s="106">
        <v>12295</v>
      </c>
      <c r="B4181" s="108" t="s">
        <v>9463</v>
      </c>
      <c r="C4181" s="110" t="s">
        <v>5755</v>
      </c>
      <c r="D4181" s="111">
        <v>2.64</v>
      </c>
    </row>
    <row r="4182" spans="1:4" x14ac:dyDescent="0.25">
      <c r="A4182" s="106">
        <v>12296</v>
      </c>
      <c r="B4182" s="108" t="s">
        <v>9464</v>
      </c>
      <c r="C4182" s="110" t="s">
        <v>5755</v>
      </c>
      <c r="D4182" s="111">
        <v>3.42</v>
      </c>
    </row>
    <row r="4183" spans="1:4" ht="25.5" x14ac:dyDescent="0.25">
      <c r="A4183" s="106">
        <v>12294</v>
      </c>
      <c r="B4183" s="108" t="s">
        <v>9465</v>
      </c>
      <c r="C4183" s="110" t="s">
        <v>5755</v>
      </c>
      <c r="D4183" s="111">
        <v>8.2100000000000009</v>
      </c>
    </row>
    <row r="4184" spans="1:4" ht="25.5" x14ac:dyDescent="0.25">
      <c r="A4184" s="106">
        <v>14543</v>
      </c>
      <c r="B4184" s="108" t="s">
        <v>9466</v>
      </c>
      <c r="C4184" s="110" t="s">
        <v>5755</v>
      </c>
      <c r="D4184" s="111">
        <v>5.86</v>
      </c>
    </row>
    <row r="4185" spans="1:4" ht="25.5" x14ac:dyDescent="0.25">
      <c r="A4185" s="106">
        <v>13329</v>
      </c>
      <c r="B4185" s="108" t="s">
        <v>9467</v>
      </c>
      <c r="C4185" s="110" t="s">
        <v>5755</v>
      </c>
      <c r="D4185" s="111">
        <v>3.44</v>
      </c>
    </row>
    <row r="4186" spans="1:4" ht="25.5" x14ac:dyDescent="0.25">
      <c r="A4186" s="106">
        <v>21044</v>
      </c>
      <c r="B4186" s="108" t="s">
        <v>9468</v>
      </c>
      <c r="C4186" s="110" t="s">
        <v>5755</v>
      </c>
      <c r="D4186" s="111">
        <v>27.64</v>
      </c>
    </row>
    <row r="4187" spans="1:4" ht="25.5" x14ac:dyDescent="0.25">
      <c r="A4187" s="106">
        <v>21045</v>
      </c>
      <c r="B4187" s="108" t="s">
        <v>9469</v>
      </c>
      <c r="C4187" s="110" t="s">
        <v>5755</v>
      </c>
      <c r="D4187" s="111">
        <v>37.86</v>
      </c>
    </row>
    <row r="4188" spans="1:4" ht="25.5" x14ac:dyDescent="0.25">
      <c r="A4188" s="106">
        <v>21040</v>
      </c>
      <c r="B4188" s="108" t="s">
        <v>9470</v>
      </c>
      <c r="C4188" s="110" t="s">
        <v>5755</v>
      </c>
      <c r="D4188" s="111">
        <v>27.05</v>
      </c>
    </row>
    <row r="4189" spans="1:4" ht="25.5" x14ac:dyDescent="0.25">
      <c r="A4189" s="106">
        <v>21041</v>
      </c>
      <c r="B4189" s="108" t="s">
        <v>9471</v>
      </c>
      <c r="C4189" s="110" t="s">
        <v>5755</v>
      </c>
      <c r="D4189" s="111">
        <v>32.65</v>
      </c>
    </row>
    <row r="4190" spans="1:4" ht="25.5" x14ac:dyDescent="0.25">
      <c r="A4190" s="106">
        <v>21047</v>
      </c>
      <c r="B4190" s="108" t="s">
        <v>9472</v>
      </c>
      <c r="C4190" s="110" t="s">
        <v>5755</v>
      </c>
      <c r="D4190" s="111">
        <v>40.75</v>
      </c>
    </row>
    <row r="4191" spans="1:4" ht="25.5" x14ac:dyDescent="0.25">
      <c r="A4191" s="106">
        <v>21043</v>
      </c>
      <c r="B4191" s="108" t="s">
        <v>9473</v>
      </c>
      <c r="C4191" s="110" t="s">
        <v>5755</v>
      </c>
      <c r="D4191" s="111">
        <v>39.68</v>
      </c>
    </row>
    <row r="4192" spans="1:4" ht="25.5" x14ac:dyDescent="0.25">
      <c r="A4192" s="106">
        <v>21042</v>
      </c>
      <c r="B4192" s="108" t="s">
        <v>9474</v>
      </c>
      <c r="C4192" s="110" t="s">
        <v>5755</v>
      </c>
      <c r="D4192" s="111">
        <v>31.41</v>
      </c>
    </row>
    <row r="4193" spans="1:4" ht="25.5" x14ac:dyDescent="0.25">
      <c r="A4193" s="106">
        <v>11895</v>
      </c>
      <c r="B4193" s="108" t="s">
        <v>9475</v>
      </c>
      <c r="C4193" s="110" t="s">
        <v>5755</v>
      </c>
      <c r="D4193" s="111">
        <v>977.75</v>
      </c>
    </row>
    <row r="4194" spans="1:4" ht="25.5" x14ac:dyDescent="0.25">
      <c r="A4194" s="106">
        <v>11896</v>
      </c>
      <c r="B4194" s="108" t="s">
        <v>9476</v>
      </c>
      <c r="C4194" s="110" t="s">
        <v>5755</v>
      </c>
      <c r="D4194" s="111">
        <v>5124.7700000000004</v>
      </c>
    </row>
    <row r="4195" spans="1:4" ht="25.5" x14ac:dyDescent="0.25">
      <c r="A4195" s="106">
        <v>11897</v>
      </c>
      <c r="B4195" s="108" t="s">
        <v>9477</v>
      </c>
      <c r="C4195" s="110" t="s">
        <v>5755</v>
      </c>
      <c r="D4195" s="111">
        <v>6686.92</v>
      </c>
    </row>
    <row r="4196" spans="1:4" ht="25.5" x14ac:dyDescent="0.25">
      <c r="A4196" s="106">
        <v>11898</v>
      </c>
      <c r="B4196" s="108" t="s">
        <v>9478</v>
      </c>
      <c r="C4196" s="110" t="s">
        <v>5755</v>
      </c>
      <c r="D4196" s="111">
        <v>7024.08</v>
      </c>
    </row>
    <row r="4197" spans="1:4" ht="25.5" x14ac:dyDescent="0.25">
      <c r="A4197" s="106">
        <v>3282</v>
      </c>
      <c r="B4197" s="108" t="s">
        <v>9479</v>
      </c>
      <c r="C4197" s="110" t="s">
        <v>5755</v>
      </c>
      <c r="D4197" s="111">
        <v>710.83</v>
      </c>
    </row>
    <row r="4198" spans="1:4" ht="25.5" x14ac:dyDescent="0.25">
      <c r="A4198" s="106">
        <v>11899</v>
      </c>
      <c r="B4198" s="108" t="s">
        <v>9480</v>
      </c>
      <c r="C4198" s="110" t="s">
        <v>5755</v>
      </c>
      <c r="D4198" s="111">
        <v>3467.08</v>
      </c>
    </row>
    <row r="4199" spans="1:4" ht="25.5" x14ac:dyDescent="0.25">
      <c r="A4199" s="106">
        <v>11900</v>
      </c>
      <c r="B4199" s="108" t="s">
        <v>9481</v>
      </c>
      <c r="C4199" s="110" t="s">
        <v>5755</v>
      </c>
      <c r="D4199" s="111">
        <v>4753.8900000000003</v>
      </c>
    </row>
    <row r="4200" spans="1:4" x14ac:dyDescent="0.25">
      <c r="A4200" s="106">
        <v>14149</v>
      </c>
      <c r="B4200" s="108" t="s">
        <v>9482</v>
      </c>
      <c r="C4200" s="110" t="s">
        <v>7700</v>
      </c>
      <c r="D4200" s="111">
        <v>161.13</v>
      </c>
    </row>
    <row r="4201" spans="1:4" ht="25.5" x14ac:dyDescent="0.25">
      <c r="A4201" s="106">
        <v>38099</v>
      </c>
      <c r="B4201" s="108" t="s">
        <v>9483</v>
      </c>
      <c r="C4201" s="110" t="s">
        <v>5755</v>
      </c>
      <c r="D4201" s="111">
        <v>0.9</v>
      </c>
    </row>
    <row r="4202" spans="1:4" ht="25.5" x14ac:dyDescent="0.25">
      <c r="A4202" s="106">
        <v>38100</v>
      </c>
      <c r="B4202" s="108" t="s">
        <v>9484</v>
      </c>
      <c r="C4202" s="110" t="s">
        <v>5755</v>
      </c>
      <c r="D4202" s="111">
        <v>1.48</v>
      </c>
    </row>
    <row r="4203" spans="1:4" ht="25.5" x14ac:dyDescent="0.25">
      <c r="A4203" s="106">
        <v>20061</v>
      </c>
      <c r="B4203" s="108" t="s">
        <v>9485</v>
      </c>
      <c r="C4203" s="110" t="s">
        <v>5755</v>
      </c>
      <c r="D4203" s="111">
        <v>2.63</v>
      </c>
    </row>
    <row r="4204" spans="1:4" ht="25.5" x14ac:dyDescent="0.25">
      <c r="A4204" s="106">
        <v>7576</v>
      </c>
      <c r="B4204" s="108" t="s">
        <v>9486</v>
      </c>
      <c r="C4204" s="110" t="s">
        <v>5755</v>
      </c>
      <c r="D4204" s="111">
        <v>105.5</v>
      </c>
    </row>
    <row r="4205" spans="1:4" ht="25.5" x14ac:dyDescent="0.25">
      <c r="A4205" s="106">
        <v>3384</v>
      </c>
      <c r="B4205" s="108" t="s">
        <v>9487</v>
      </c>
      <c r="C4205" s="110" t="s">
        <v>5755</v>
      </c>
      <c r="D4205" s="111">
        <v>4.24</v>
      </c>
    </row>
    <row r="4206" spans="1:4" ht="25.5" x14ac:dyDescent="0.25">
      <c r="A4206" s="106">
        <v>7572</v>
      </c>
      <c r="B4206" s="108" t="s">
        <v>9488</v>
      </c>
      <c r="C4206" s="110" t="s">
        <v>5755</v>
      </c>
      <c r="D4206" s="111">
        <v>8.57</v>
      </c>
    </row>
    <row r="4207" spans="1:4" ht="25.5" x14ac:dyDescent="0.25">
      <c r="A4207" s="106">
        <v>3396</v>
      </c>
      <c r="B4207" s="108" t="s">
        <v>9489</v>
      </c>
      <c r="C4207" s="110" t="s">
        <v>5755</v>
      </c>
      <c r="D4207" s="111">
        <v>6.07</v>
      </c>
    </row>
    <row r="4208" spans="1:4" ht="25.5" x14ac:dyDescent="0.25">
      <c r="A4208" s="106">
        <v>37590</v>
      </c>
      <c r="B4208" s="108" t="s">
        <v>9490</v>
      </c>
      <c r="C4208" s="110" t="s">
        <v>5755</v>
      </c>
      <c r="D4208" s="111">
        <v>10.15</v>
      </c>
    </row>
    <row r="4209" spans="1:4" ht="25.5" x14ac:dyDescent="0.25">
      <c r="A4209" s="106">
        <v>37591</v>
      </c>
      <c r="B4209" s="108" t="s">
        <v>486</v>
      </c>
      <c r="C4209" s="110" t="s">
        <v>5755</v>
      </c>
      <c r="D4209" s="111">
        <v>12.2</v>
      </c>
    </row>
    <row r="4210" spans="1:4" ht="25.5" x14ac:dyDescent="0.25">
      <c r="A4210" s="106">
        <v>12626</v>
      </c>
      <c r="B4210" s="108" t="s">
        <v>9491</v>
      </c>
      <c r="C4210" s="110" t="s">
        <v>5755</v>
      </c>
      <c r="D4210" s="111">
        <v>12.64</v>
      </c>
    </row>
    <row r="4211" spans="1:4" x14ac:dyDescent="0.25">
      <c r="A4211" s="106">
        <v>11033</v>
      </c>
      <c r="B4211" s="108" t="s">
        <v>9492</v>
      </c>
      <c r="C4211" s="110" t="s">
        <v>5755</v>
      </c>
      <c r="D4211" s="111">
        <v>4.13</v>
      </c>
    </row>
    <row r="4212" spans="1:4" x14ac:dyDescent="0.25">
      <c r="A4212" s="106">
        <v>390</v>
      </c>
      <c r="B4212" s="108" t="s">
        <v>9493</v>
      </c>
      <c r="C4212" s="110" t="s">
        <v>5755</v>
      </c>
      <c r="D4212" s="111">
        <v>12.2</v>
      </c>
    </row>
    <row r="4213" spans="1:4" ht="38.25" x14ac:dyDescent="0.25">
      <c r="A4213" s="106">
        <v>42436</v>
      </c>
      <c r="B4213" s="108" t="s">
        <v>9494</v>
      </c>
      <c r="C4213" s="110" t="s">
        <v>5755</v>
      </c>
      <c r="D4213" s="111">
        <v>1534.45</v>
      </c>
    </row>
    <row r="4214" spans="1:4" ht="25.5" x14ac:dyDescent="0.25">
      <c r="A4214" s="106">
        <v>6178</v>
      </c>
      <c r="B4214" s="108" t="s">
        <v>9495</v>
      </c>
      <c r="C4214" s="110" t="s">
        <v>5757</v>
      </c>
      <c r="D4214" s="111">
        <v>168.84</v>
      </c>
    </row>
    <row r="4215" spans="1:4" ht="25.5" x14ac:dyDescent="0.25">
      <c r="A4215" s="106">
        <v>6180</v>
      </c>
      <c r="B4215" s="108" t="s">
        <v>9496</v>
      </c>
      <c r="C4215" s="110" t="s">
        <v>5757</v>
      </c>
      <c r="D4215" s="111">
        <v>182.23</v>
      </c>
    </row>
    <row r="4216" spans="1:4" ht="25.5" x14ac:dyDescent="0.25">
      <c r="A4216" s="106">
        <v>6182</v>
      </c>
      <c r="B4216" s="108" t="s">
        <v>9497</v>
      </c>
      <c r="C4216" s="110" t="s">
        <v>5757</v>
      </c>
      <c r="D4216" s="111">
        <v>226.19</v>
      </c>
    </row>
    <row r="4217" spans="1:4" ht="25.5" x14ac:dyDescent="0.25">
      <c r="A4217" s="106">
        <v>3993</v>
      </c>
      <c r="B4217" s="108" t="s">
        <v>9498</v>
      </c>
      <c r="C4217" s="110" t="s">
        <v>5757</v>
      </c>
      <c r="D4217" s="111">
        <v>56.78</v>
      </c>
    </row>
    <row r="4218" spans="1:4" ht="25.5" x14ac:dyDescent="0.25">
      <c r="A4218" s="106">
        <v>3990</v>
      </c>
      <c r="B4218" s="108" t="s">
        <v>9499</v>
      </c>
      <c r="C4218" s="110" t="s">
        <v>5767</v>
      </c>
      <c r="D4218" s="111">
        <v>12.54</v>
      </c>
    </row>
    <row r="4219" spans="1:4" ht="25.5" x14ac:dyDescent="0.25">
      <c r="A4219" s="106">
        <v>3992</v>
      </c>
      <c r="B4219" s="108" t="s">
        <v>9500</v>
      </c>
      <c r="C4219" s="110" t="s">
        <v>5767</v>
      </c>
      <c r="D4219" s="111">
        <v>15.4</v>
      </c>
    </row>
    <row r="4220" spans="1:4" ht="25.5" x14ac:dyDescent="0.25">
      <c r="A4220" s="106">
        <v>4509</v>
      </c>
      <c r="B4220" s="108" t="s">
        <v>9501</v>
      </c>
      <c r="C4220" s="110" t="s">
        <v>5767</v>
      </c>
      <c r="D4220" s="111">
        <v>3.05</v>
      </c>
    </row>
    <row r="4221" spans="1:4" ht="25.5" x14ac:dyDescent="0.25">
      <c r="A4221" s="106">
        <v>6194</v>
      </c>
      <c r="B4221" s="108" t="s">
        <v>9502</v>
      </c>
      <c r="C4221" s="110" t="s">
        <v>5767</v>
      </c>
      <c r="D4221" s="111">
        <v>4.1500000000000004</v>
      </c>
    </row>
    <row r="4222" spans="1:4" ht="25.5" x14ac:dyDescent="0.25">
      <c r="A4222" s="106">
        <v>6193</v>
      </c>
      <c r="B4222" s="108" t="s">
        <v>9503</v>
      </c>
      <c r="C4222" s="110" t="s">
        <v>5767</v>
      </c>
      <c r="D4222" s="111">
        <v>5.98</v>
      </c>
    </row>
    <row r="4223" spans="1:4" ht="25.5" x14ac:dyDescent="0.25">
      <c r="A4223" s="106">
        <v>10567</v>
      </c>
      <c r="B4223" s="108" t="s">
        <v>9504</v>
      </c>
      <c r="C4223" s="110" t="s">
        <v>5767</v>
      </c>
      <c r="D4223" s="111">
        <v>6.88</v>
      </c>
    </row>
    <row r="4224" spans="1:4" ht="25.5" x14ac:dyDescent="0.25">
      <c r="A4224" s="106">
        <v>6212</v>
      </c>
      <c r="B4224" s="108" t="s">
        <v>9505</v>
      </c>
      <c r="C4224" s="110" t="s">
        <v>5767</v>
      </c>
      <c r="D4224" s="111">
        <v>11.28</v>
      </c>
    </row>
    <row r="4225" spans="1:4" ht="25.5" x14ac:dyDescent="0.25">
      <c r="A4225" s="106">
        <v>6189</v>
      </c>
      <c r="B4225" s="108" t="s">
        <v>9506</v>
      </c>
      <c r="C4225" s="110" t="s">
        <v>5767</v>
      </c>
      <c r="D4225" s="111">
        <v>8.74</v>
      </c>
    </row>
    <row r="4226" spans="1:4" ht="25.5" x14ac:dyDescent="0.25">
      <c r="A4226" s="106">
        <v>6214</v>
      </c>
      <c r="B4226" s="108" t="s">
        <v>9507</v>
      </c>
      <c r="C4226" s="110" t="s">
        <v>5757</v>
      </c>
      <c r="D4226" s="111">
        <v>105.76</v>
      </c>
    </row>
    <row r="4227" spans="1:4" ht="25.5" x14ac:dyDescent="0.25">
      <c r="A4227" s="106">
        <v>36153</v>
      </c>
      <c r="B4227" s="108" t="s">
        <v>9508</v>
      </c>
      <c r="C4227" s="110" t="s">
        <v>5755</v>
      </c>
      <c r="D4227" s="111">
        <v>159.83000000000001</v>
      </c>
    </row>
    <row r="4228" spans="1:4" x14ac:dyDescent="0.25">
      <c r="A4228" s="106">
        <v>10740</v>
      </c>
      <c r="B4228" s="108" t="s">
        <v>9509</v>
      </c>
      <c r="C4228" s="110" t="s">
        <v>5755</v>
      </c>
      <c r="D4228" s="111">
        <v>9376.57</v>
      </c>
    </row>
    <row r="4229" spans="1:4" ht="25.5" x14ac:dyDescent="0.25">
      <c r="A4229" s="106">
        <v>13914</v>
      </c>
      <c r="B4229" s="108" t="s">
        <v>9510</v>
      </c>
      <c r="C4229" s="110" t="s">
        <v>5755</v>
      </c>
      <c r="D4229" s="111">
        <v>678.43</v>
      </c>
    </row>
    <row r="4230" spans="1:4" ht="25.5" x14ac:dyDescent="0.25">
      <c r="A4230" s="106">
        <v>10742</v>
      </c>
      <c r="B4230" s="108" t="s">
        <v>9511</v>
      </c>
      <c r="C4230" s="110" t="s">
        <v>5755</v>
      </c>
      <c r="D4230" s="111">
        <v>989.5</v>
      </c>
    </row>
    <row r="4231" spans="1:4" x14ac:dyDescent="0.25">
      <c r="A4231" s="106">
        <v>38465</v>
      </c>
      <c r="B4231" s="108" t="s">
        <v>9512</v>
      </c>
      <c r="C4231" s="110" t="s">
        <v>5755</v>
      </c>
      <c r="D4231" s="111">
        <v>32.9</v>
      </c>
    </row>
    <row r="4232" spans="1:4" x14ac:dyDescent="0.25">
      <c r="A4232" s="106">
        <v>7543</v>
      </c>
      <c r="B4232" s="108" t="s">
        <v>528</v>
      </c>
      <c r="C4232" s="110" t="s">
        <v>5755</v>
      </c>
      <c r="D4232" s="111">
        <v>3.72</v>
      </c>
    </row>
    <row r="4233" spans="1:4" ht="25.5" x14ac:dyDescent="0.25">
      <c r="A4233" s="106">
        <v>13255</v>
      </c>
      <c r="B4233" s="108" t="s">
        <v>620</v>
      </c>
      <c r="C4233" s="110" t="s">
        <v>5755</v>
      </c>
      <c r="D4233" s="111">
        <v>49.89</v>
      </c>
    </row>
    <row r="4234" spans="1:4" x14ac:dyDescent="0.25">
      <c r="A4234" s="106">
        <v>39352</v>
      </c>
      <c r="B4234" s="108" t="s">
        <v>9513</v>
      </c>
      <c r="C4234" s="110" t="s">
        <v>5755</v>
      </c>
      <c r="D4234" s="111">
        <v>2.2999999999999998</v>
      </c>
    </row>
    <row r="4235" spans="1:4" x14ac:dyDescent="0.25">
      <c r="A4235" s="106">
        <v>39346</v>
      </c>
      <c r="B4235" s="108" t="s">
        <v>9514</v>
      </c>
      <c r="C4235" s="110" t="s">
        <v>5755</v>
      </c>
      <c r="D4235" s="111">
        <v>2.2999999999999998</v>
      </c>
    </row>
    <row r="4236" spans="1:4" x14ac:dyDescent="0.25">
      <c r="A4236" s="106">
        <v>39350</v>
      </c>
      <c r="B4236" s="108" t="s">
        <v>9515</v>
      </c>
      <c r="C4236" s="110" t="s">
        <v>5755</v>
      </c>
      <c r="D4236" s="111">
        <v>2.4700000000000002</v>
      </c>
    </row>
    <row r="4237" spans="1:4" x14ac:dyDescent="0.25">
      <c r="A4237" s="106">
        <v>39351</v>
      </c>
      <c r="B4237" s="108" t="s">
        <v>9516</v>
      </c>
      <c r="C4237" s="110" t="s">
        <v>5755</v>
      </c>
      <c r="D4237" s="111">
        <v>2.86</v>
      </c>
    </row>
    <row r="4238" spans="1:4" x14ac:dyDescent="0.25">
      <c r="A4238" s="106">
        <v>38952</v>
      </c>
      <c r="B4238" s="108" t="s">
        <v>9517</v>
      </c>
      <c r="C4238" s="110" t="s">
        <v>5755</v>
      </c>
      <c r="D4238" s="111">
        <v>2.78</v>
      </c>
    </row>
    <row r="4239" spans="1:4" x14ac:dyDescent="0.25">
      <c r="A4239" s="106">
        <v>38953</v>
      </c>
      <c r="B4239" s="108" t="s">
        <v>9518</v>
      </c>
      <c r="C4239" s="110" t="s">
        <v>5755</v>
      </c>
      <c r="D4239" s="111">
        <v>4.3899999999999997</v>
      </c>
    </row>
    <row r="4240" spans="1:4" x14ac:dyDescent="0.25">
      <c r="A4240" s="106">
        <v>38835</v>
      </c>
      <c r="B4240" s="108" t="s">
        <v>9519</v>
      </c>
      <c r="C4240" s="110" t="s">
        <v>5755</v>
      </c>
      <c r="D4240" s="111">
        <v>3.94</v>
      </c>
    </row>
    <row r="4241" spans="1:4" x14ac:dyDescent="0.25">
      <c r="A4241" s="106">
        <v>38837</v>
      </c>
      <c r="B4241" s="108" t="s">
        <v>9520</v>
      </c>
      <c r="C4241" s="110" t="s">
        <v>5755</v>
      </c>
      <c r="D4241" s="111">
        <v>10.25</v>
      </c>
    </row>
    <row r="4242" spans="1:4" x14ac:dyDescent="0.25">
      <c r="A4242" s="106">
        <v>38836</v>
      </c>
      <c r="B4242" s="108" t="s">
        <v>9521</v>
      </c>
      <c r="C4242" s="110" t="s">
        <v>5755</v>
      </c>
      <c r="D4242" s="111">
        <v>5.67</v>
      </c>
    </row>
    <row r="4243" spans="1:4" ht="25.5" x14ac:dyDescent="0.25">
      <c r="A4243" s="106">
        <v>2666</v>
      </c>
      <c r="B4243" s="108" t="s">
        <v>9522</v>
      </c>
      <c r="C4243" s="110" t="s">
        <v>5755</v>
      </c>
      <c r="D4243" s="111">
        <v>5.26</v>
      </c>
    </row>
    <row r="4244" spans="1:4" ht="25.5" x14ac:dyDescent="0.25">
      <c r="A4244" s="106">
        <v>2668</v>
      </c>
      <c r="B4244" s="108" t="s">
        <v>9523</v>
      </c>
      <c r="C4244" s="110" t="s">
        <v>5755</v>
      </c>
      <c r="D4244" s="111">
        <v>6</v>
      </c>
    </row>
    <row r="4245" spans="1:4" ht="25.5" x14ac:dyDescent="0.25">
      <c r="A4245" s="106">
        <v>2664</v>
      </c>
      <c r="B4245" s="108" t="s">
        <v>9524</v>
      </c>
      <c r="C4245" s="110" t="s">
        <v>5755</v>
      </c>
      <c r="D4245" s="111">
        <v>8.85</v>
      </c>
    </row>
    <row r="4246" spans="1:4" ht="25.5" x14ac:dyDescent="0.25">
      <c r="A4246" s="106">
        <v>2662</v>
      </c>
      <c r="B4246" s="108" t="s">
        <v>9525</v>
      </c>
      <c r="C4246" s="110" t="s">
        <v>5755</v>
      </c>
      <c r="D4246" s="111">
        <v>10.86</v>
      </c>
    </row>
    <row r="4247" spans="1:4" ht="25.5" x14ac:dyDescent="0.25">
      <c r="A4247" s="106">
        <v>20964</v>
      </c>
      <c r="B4247" s="108" t="s">
        <v>9526</v>
      </c>
      <c r="C4247" s="110" t="s">
        <v>5755</v>
      </c>
      <c r="D4247" s="111">
        <v>50.86</v>
      </c>
    </row>
    <row r="4248" spans="1:4" ht="25.5" x14ac:dyDescent="0.25">
      <c r="A4248" s="106">
        <v>10905</v>
      </c>
      <c r="B4248" s="108" t="s">
        <v>633</v>
      </c>
      <c r="C4248" s="110" t="s">
        <v>5755</v>
      </c>
      <c r="D4248" s="111">
        <v>68.23</v>
      </c>
    </row>
    <row r="4249" spans="1:4" ht="25.5" x14ac:dyDescent="0.25">
      <c r="A4249" s="106">
        <v>42703</v>
      </c>
      <c r="B4249" s="108" t="s">
        <v>9527</v>
      </c>
      <c r="C4249" s="110" t="s">
        <v>5755</v>
      </c>
      <c r="D4249" s="111">
        <v>51.39</v>
      </c>
    </row>
    <row r="4250" spans="1:4" ht="25.5" x14ac:dyDescent="0.25">
      <c r="A4250" s="106">
        <v>42704</v>
      </c>
      <c r="B4250" s="108" t="s">
        <v>9528</v>
      </c>
      <c r="C4250" s="110" t="s">
        <v>5755</v>
      </c>
      <c r="D4250" s="111">
        <v>78.900000000000006</v>
      </c>
    </row>
    <row r="4251" spans="1:4" ht="25.5" x14ac:dyDescent="0.25">
      <c r="A4251" s="106">
        <v>42705</v>
      </c>
      <c r="B4251" s="108" t="s">
        <v>9529</v>
      </c>
      <c r="C4251" s="110" t="s">
        <v>5755</v>
      </c>
      <c r="D4251" s="111">
        <v>100.67</v>
      </c>
    </row>
    <row r="4252" spans="1:4" ht="25.5" x14ac:dyDescent="0.25">
      <c r="A4252" s="106">
        <v>42706</v>
      </c>
      <c r="B4252" s="108" t="s">
        <v>9530</v>
      </c>
      <c r="C4252" s="110" t="s">
        <v>5755</v>
      </c>
      <c r="D4252" s="111">
        <v>124.67</v>
      </c>
    </row>
    <row r="4253" spans="1:4" ht="25.5" x14ac:dyDescent="0.25">
      <c r="A4253" s="106">
        <v>11289</v>
      </c>
      <c r="B4253" s="108" t="s">
        <v>9531</v>
      </c>
      <c r="C4253" s="110" t="s">
        <v>5755</v>
      </c>
      <c r="D4253" s="111">
        <v>64.069999999999993</v>
      </c>
    </row>
    <row r="4254" spans="1:4" ht="25.5" x14ac:dyDescent="0.25">
      <c r="A4254" s="106">
        <v>11241</v>
      </c>
      <c r="B4254" s="108" t="s">
        <v>9532</v>
      </c>
      <c r="C4254" s="110" t="s">
        <v>5755</v>
      </c>
      <c r="D4254" s="111">
        <v>160.18</v>
      </c>
    </row>
    <row r="4255" spans="1:4" ht="25.5" x14ac:dyDescent="0.25">
      <c r="A4255" s="106">
        <v>11301</v>
      </c>
      <c r="B4255" s="108" t="s">
        <v>609</v>
      </c>
      <c r="C4255" s="110" t="s">
        <v>5755</v>
      </c>
      <c r="D4255" s="111">
        <v>406.18</v>
      </c>
    </row>
    <row r="4256" spans="1:4" ht="25.5" x14ac:dyDescent="0.25">
      <c r="A4256" s="106">
        <v>21090</v>
      </c>
      <c r="B4256" s="108" t="s">
        <v>9533</v>
      </c>
      <c r="C4256" s="110" t="s">
        <v>5755</v>
      </c>
      <c r="D4256" s="111">
        <v>497.72</v>
      </c>
    </row>
    <row r="4257" spans="1:4" ht="25.5" x14ac:dyDescent="0.25">
      <c r="A4257" s="106">
        <v>14112</v>
      </c>
      <c r="B4257" s="108" t="s">
        <v>9534</v>
      </c>
      <c r="C4257" s="110" t="s">
        <v>5755</v>
      </c>
      <c r="D4257" s="111">
        <v>207.66</v>
      </c>
    </row>
    <row r="4258" spans="1:4" ht="25.5" x14ac:dyDescent="0.25">
      <c r="A4258" s="106">
        <v>11315</v>
      </c>
      <c r="B4258" s="108" t="s">
        <v>9535</v>
      </c>
      <c r="C4258" s="110" t="s">
        <v>5755</v>
      </c>
      <c r="D4258" s="111">
        <v>97.25</v>
      </c>
    </row>
    <row r="4259" spans="1:4" ht="25.5" x14ac:dyDescent="0.25">
      <c r="A4259" s="106">
        <v>11292</v>
      </c>
      <c r="B4259" s="108" t="s">
        <v>9536</v>
      </c>
      <c r="C4259" s="110" t="s">
        <v>5755</v>
      </c>
      <c r="D4259" s="111">
        <v>227.69</v>
      </c>
    </row>
    <row r="4260" spans="1:4" ht="25.5" x14ac:dyDescent="0.25">
      <c r="A4260" s="106">
        <v>21071</v>
      </c>
      <c r="B4260" s="108" t="s">
        <v>9537</v>
      </c>
      <c r="C4260" s="110" t="s">
        <v>5755</v>
      </c>
      <c r="D4260" s="111">
        <v>148.74</v>
      </c>
    </row>
    <row r="4261" spans="1:4" ht="25.5" x14ac:dyDescent="0.25">
      <c r="A4261" s="106">
        <v>11293</v>
      </c>
      <c r="B4261" s="108" t="s">
        <v>9538</v>
      </c>
      <c r="C4261" s="110" t="s">
        <v>5755</v>
      </c>
      <c r="D4261" s="111">
        <v>251.72</v>
      </c>
    </row>
    <row r="4262" spans="1:4" ht="25.5" x14ac:dyDescent="0.25">
      <c r="A4262" s="106">
        <v>11316</v>
      </c>
      <c r="B4262" s="108" t="s">
        <v>9539</v>
      </c>
      <c r="C4262" s="110" t="s">
        <v>5755</v>
      </c>
      <c r="D4262" s="111">
        <v>320.37</v>
      </c>
    </row>
    <row r="4263" spans="1:4" ht="25.5" x14ac:dyDescent="0.25">
      <c r="A4263" s="106">
        <v>6243</v>
      </c>
      <c r="B4263" s="108" t="s">
        <v>9540</v>
      </c>
      <c r="C4263" s="110" t="s">
        <v>5755</v>
      </c>
      <c r="D4263" s="111">
        <v>369</v>
      </c>
    </row>
    <row r="4264" spans="1:4" ht="25.5" x14ac:dyDescent="0.25">
      <c r="A4264" s="106">
        <v>21079</v>
      </c>
      <c r="B4264" s="108" t="s">
        <v>9541</v>
      </c>
      <c r="C4264" s="110" t="s">
        <v>5755</v>
      </c>
      <c r="D4264" s="111">
        <v>439.93</v>
      </c>
    </row>
    <row r="4265" spans="1:4" ht="25.5" x14ac:dyDescent="0.25">
      <c r="A4265" s="106">
        <v>6240</v>
      </c>
      <c r="B4265" s="108" t="s">
        <v>9542</v>
      </c>
      <c r="C4265" s="110" t="s">
        <v>5755</v>
      </c>
      <c r="D4265" s="111">
        <v>488.56</v>
      </c>
    </row>
    <row r="4266" spans="1:4" ht="25.5" x14ac:dyDescent="0.25">
      <c r="A4266" s="106">
        <v>11296</v>
      </c>
      <c r="B4266" s="108" t="s">
        <v>9543</v>
      </c>
      <c r="C4266" s="110" t="s">
        <v>5755</v>
      </c>
      <c r="D4266" s="111">
        <v>1556.66</v>
      </c>
    </row>
    <row r="4267" spans="1:4" ht="25.5" x14ac:dyDescent="0.25">
      <c r="A4267" s="106">
        <v>11299</v>
      </c>
      <c r="B4267" s="108" t="s">
        <v>9544</v>
      </c>
      <c r="C4267" s="110" t="s">
        <v>5755</v>
      </c>
      <c r="D4267" s="111">
        <v>526.89</v>
      </c>
    </row>
    <row r="4268" spans="1:4" ht="25.5" x14ac:dyDescent="0.25">
      <c r="A4268" s="106">
        <v>11066</v>
      </c>
      <c r="B4268" s="108" t="s">
        <v>9545</v>
      </c>
      <c r="C4268" s="110" t="s">
        <v>5755</v>
      </c>
      <c r="D4268" s="111">
        <v>11</v>
      </c>
    </row>
    <row r="4269" spans="1:4" ht="25.5" x14ac:dyDescent="0.25">
      <c r="A4269" s="106">
        <v>11065</v>
      </c>
      <c r="B4269" s="108" t="s">
        <v>9546</v>
      </c>
      <c r="C4269" s="110" t="s">
        <v>5755</v>
      </c>
      <c r="D4269" s="111">
        <v>12.61</v>
      </c>
    </row>
    <row r="4270" spans="1:4" ht="25.5" x14ac:dyDescent="0.25">
      <c r="A4270" s="106">
        <v>11688</v>
      </c>
      <c r="B4270" s="108" t="s">
        <v>9547</v>
      </c>
      <c r="C4270" s="110" t="s">
        <v>5755</v>
      </c>
      <c r="D4270" s="111">
        <v>365.16</v>
      </c>
    </row>
    <row r="4271" spans="1:4" ht="51" x14ac:dyDescent="0.25">
      <c r="A4271" s="106">
        <v>37736</v>
      </c>
      <c r="B4271" s="108" t="s">
        <v>9548</v>
      </c>
      <c r="C4271" s="110" t="s">
        <v>5755</v>
      </c>
      <c r="D4271" s="111">
        <v>55000</v>
      </c>
    </row>
    <row r="4272" spans="1:4" ht="25.5" x14ac:dyDescent="0.25">
      <c r="A4272" s="106">
        <v>37739</v>
      </c>
      <c r="B4272" s="108" t="s">
        <v>9549</v>
      </c>
      <c r="C4272" s="110" t="s">
        <v>5755</v>
      </c>
      <c r="D4272" s="111">
        <v>67692.3</v>
      </c>
    </row>
    <row r="4273" spans="1:4" ht="25.5" x14ac:dyDescent="0.25">
      <c r="A4273" s="106">
        <v>37740</v>
      </c>
      <c r="B4273" s="108" t="s">
        <v>9550</v>
      </c>
      <c r="C4273" s="110" t="s">
        <v>5755</v>
      </c>
      <c r="D4273" s="111">
        <v>38628.76</v>
      </c>
    </row>
    <row r="4274" spans="1:4" ht="25.5" x14ac:dyDescent="0.25">
      <c r="A4274" s="106">
        <v>37738</v>
      </c>
      <c r="B4274" s="108" t="s">
        <v>9551</v>
      </c>
      <c r="C4274" s="110" t="s">
        <v>5755</v>
      </c>
      <c r="D4274" s="111">
        <v>45894.65</v>
      </c>
    </row>
    <row r="4275" spans="1:4" ht="25.5" x14ac:dyDescent="0.25">
      <c r="A4275" s="106">
        <v>37737</v>
      </c>
      <c r="B4275" s="108" t="s">
        <v>9552</v>
      </c>
      <c r="C4275" s="110" t="s">
        <v>5755</v>
      </c>
      <c r="D4275" s="111">
        <v>36513.370000000003</v>
      </c>
    </row>
    <row r="4276" spans="1:4" ht="25.5" x14ac:dyDescent="0.25">
      <c r="A4276" s="106">
        <v>25014</v>
      </c>
      <c r="B4276" s="108" t="s">
        <v>9553</v>
      </c>
      <c r="C4276" s="110" t="s">
        <v>5755</v>
      </c>
      <c r="D4276" s="111">
        <v>76475.75</v>
      </c>
    </row>
    <row r="4277" spans="1:4" ht="25.5" x14ac:dyDescent="0.25">
      <c r="A4277" s="106">
        <v>25013</v>
      </c>
      <c r="B4277" s="108" t="s">
        <v>9554</v>
      </c>
      <c r="C4277" s="110" t="s">
        <v>5755</v>
      </c>
      <c r="D4277" s="111">
        <v>80154.679999999993</v>
      </c>
    </row>
    <row r="4278" spans="1:4" ht="25.5" x14ac:dyDescent="0.25">
      <c r="A4278" s="106">
        <v>14405</v>
      </c>
      <c r="B4278" s="108" t="s">
        <v>9555</v>
      </c>
      <c r="C4278" s="110" t="s">
        <v>5755</v>
      </c>
      <c r="D4278" s="111">
        <v>94088.62</v>
      </c>
    </row>
    <row r="4279" spans="1:4" ht="25.5" x14ac:dyDescent="0.25">
      <c r="A4279" s="106">
        <v>36790</v>
      </c>
      <c r="B4279" s="108" t="s">
        <v>9556</v>
      </c>
      <c r="C4279" s="110" t="s">
        <v>5755</v>
      </c>
      <c r="D4279" s="111">
        <v>187.64</v>
      </c>
    </row>
    <row r="4280" spans="1:4" x14ac:dyDescent="0.25">
      <c r="A4280" s="106">
        <v>20271</v>
      </c>
      <c r="B4280" s="108" t="s">
        <v>9557</v>
      </c>
      <c r="C4280" s="110" t="s">
        <v>5755</v>
      </c>
      <c r="D4280" s="111">
        <v>466.96</v>
      </c>
    </row>
    <row r="4281" spans="1:4" x14ac:dyDescent="0.25">
      <c r="A4281" s="106">
        <v>10423</v>
      </c>
      <c r="B4281" s="108" t="s">
        <v>9558</v>
      </c>
      <c r="C4281" s="110" t="s">
        <v>5755</v>
      </c>
      <c r="D4281" s="111">
        <v>289.62</v>
      </c>
    </row>
    <row r="4282" spans="1:4" ht="25.5" x14ac:dyDescent="0.25">
      <c r="A4282" s="106">
        <v>37589</v>
      </c>
      <c r="B4282" s="108" t="s">
        <v>9559</v>
      </c>
      <c r="C4282" s="110" t="s">
        <v>5755</v>
      </c>
      <c r="D4282" s="111">
        <v>229.91</v>
      </c>
    </row>
    <row r="4283" spans="1:4" ht="25.5" x14ac:dyDescent="0.25">
      <c r="A4283" s="106">
        <v>11690</v>
      </c>
      <c r="B4283" s="108" t="s">
        <v>9560</v>
      </c>
      <c r="C4283" s="110" t="s">
        <v>5755</v>
      </c>
      <c r="D4283" s="111">
        <v>122.13</v>
      </c>
    </row>
    <row r="4284" spans="1:4" ht="25.5" x14ac:dyDescent="0.25">
      <c r="A4284" s="106">
        <v>20234</v>
      </c>
      <c r="B4284" s="108" t="s">
        <v>9561</v>
      </c>
      <c r="C4284" s="110" t="s">
        <v>5755</v>
      </c>
      <c r="D4284" s="111">
        <v>154.56</v>
      </c>
    </row>
    <row r="4285" spans="1:4" x14ac:dyDescent="0.25">
      <c r="A4285" s="106">
        <v>4763</v>
      </c>
      <c r="B4285" s="108" t="s">
        <v>9562</v>
      </c>
      <c r="C4285" s="110" t="s">
        <v>5759</v>
      </c>
      <c r="D4285" s="111">
        <v>15.68</v>
      </c>
    </row>
    <row r="4286" spans="1:4" x14ac:dyDescent="0.25">
      <c r="A4286" s="106">
        <v>41070</v>
      </c>
      <c r="B4286" s="108" t="s">
        <v>9563</v>
      </c>
      <c r="C4286" s="110" t="s">
        <v>5906</v>
      </c>
      <c r="D4286" s="111">
        <v>2781.23</v>
      </c>
    </row>
    <row r="4287" spans="1:4" x14ac:dyDescent="0.25">
      <c r="A4287" s="106">
        <v>14583</v>
      </c>
      <c r="B4287" s="108" t="s">
        <v>9564</v>
      </c>
      <c r="C4287" s="110" t="s">
        <v>5902</v>
      </c>
      <c r="D4287" s="111">
        <v>15.7</v>
      </c>
    </row>
    <row r="4288" spans="1:4" x14ac:dyDescent="0.25">
      <c r="A4288" s="106">
        <v>11457</v>
      </c>
      <c r="B4288" s="108" t="s">
        <v>9565</v>
      </c>
      <c r="C4288" s="110" t="s">
        <v>5755</v>
      </c>
      <c r="D4288" s="111">
        <v>26.67</v>
      </c>
    </row>
    <row r="4289" spans="1:4" x14ac:dyDescent="0.25">
      <c r="A4289" s="106">
        <v>21121</v>
      </c>
      <c r="B4289" s="108" t="s">
        <v>9566</v>
      </c>
      <c r="C4289" s="110" t="s">
        <v>5755</v>
      </c>
      <c r="D4289" s="111">
        <v>3.96</v>
      </c>
    </row>
    <row r="4290" spans="1:4" x14ac:dyDescent="0.25">
      <c r="A4290" s="106">
        <v>38010</v>
      </c>
      <c r="B4290" s="108" t="s">
        <v>9567</v>
      </c>
      <c r="C4290" s="110" t="s">
        <v>5755</v>
      </c>
      <c r="D4290" s="111">
        <v>6.47</v>
      </c>
    </row>
    <row r="4291" spans="1:4" x14ac:dyDescent="0.25">
      <c r="A4291" s="106">
        <v>38011</v>
      </c>
      <c r="B4291" s="108" t="s">
        <v>9568</v>
      </c>
      <c r="C4291" s="110" t="s">
        <v>5755</v>
      </c>
      <c r="D4291" s="111">
        <v>11.94</v>
      </c>
    </row>
    <row r="4292" spans="1:4" x14ac:dyDescent="0.25">
      <c r="A4292" s="106">
        <v>38012</v>
      </c>
      <c r="B4292" s="108" t="s">
        <v>9569</v>
      </c>
      <c r="C4292" s="110" t="s">
        <v>5755</v>
      </c>
      <c r="D4292" s="111">
        <v>40.81</v>
      </c>
    </row>
    <row r="4293" spans="1:4" x14ac:dyDescent="0.25">
      <c r="A4293" s="106">
        <v>38013</v>
      </c>
      <c r="B4293" s="108" t="s">
        <v>9570</v>
      </c>
      <c r="C4293" s="110" t="s">
        <v>5755</v>
      </c>
      <c r="D4293" s="111">
        <v>52.97</v>
      </c>
    </row>
    <row r="4294" spans="1:4" x14ac:dyDescent="0.25">
      <c r="A4294" s="106">
        <v>38014</v>
      </c>
      <c r="B4294" s="108" t="s">
        <v>9571</v>
      </c>
      <c r="C4294" s="110" t="s">
        <v>5755</v>
      </c>
      <c r="D4294" s="111">
        <v>86.21</v>
      </c>
    </row>
    <row r="4295" spans="1:4" x14ac:dyDescent="0.25">
      <c r="A4295" s="106">
        <v>38015</v>
      </c>
      <c r="B4295" s="108" t="s">
        <v>9572</v>
      </c>
      <c r="C4295" s="110" t="s">
        <v>5755</v>
      </c>
      <c r="D4295" s="111">
        <v>208.17</v>
      </c>
    </row>
    <row r="4296" spans="1:4" x14ac:dyDescent="0.25">
      <c r="A4296" s="106">
        <v>38016</v>
      </c>
      <c r="B4296" s="108" t="s">
        <v>9573</v>
      </c>
      <c r="C4296" s="110" t="s">
        <v>5755</v>
      </c>
      <c r="D4296" s="111">
        <v>253.29</v>
      </c>
    </row>
    <row r="4297" spans="1:4" ht="25.5" x14ac:dyDescent="0.25">
      <c r="A4297" s="106">
        <v>12741</v>
      </c>
      <c r="B4297" s="108" t="s">
        <v>9574</v>
      </c>
      <c r="C4297" s="110" t="s">
        <v>5755</v>
      </c>
      <c r="D4297" s="111">
        <v>911.6</v>
      </c>
    </row>
    <row r="4298" spans="1:4" ht="25.5" x14ac:dyDescent="0.25">
      <c r="A4298" s="106">
        <v>12733</v>
      </c>
      <c r="B4298" s="108" t="s">
        <v>9575</v>
      </c>
      <c r="C4298" s="110" t="s">
        <v>5755</v>
      </c>
      <c r="D4298" s="111">
        <v>4.58</v>
      </c>
    </row>
    <row r="4299" spans="1:4" ht="25.5" x14ac:dyDescent="0.25">
      <c r="A4299" s="106">
        <v>12734</v>
      </c>
      <c r="B4299" s="108" t="s">
        <v>9576</v>
      </c>
      <c r="C4299" s="110" t="s">
        <v>5755</v>
      </c>
      <c r="D4299" s="111">
        <v>9.77</v>
      </c>
    </row>
    <row r="4300" spans="1:4" ht="25.5" x14ac:dyDescent="0.25">
      <c r="A4300" s="106">
        <v>12735</v>
      </c>
      <c r="B4300" s="108" t="s">
        <v>9577</v>
      </c>
      <c r="C4300" s="110" t="s">
        <v>5755</v>
      </c>
      <c r="D4300" s="111">
        <v>16.079999999999998</v>
      </c>
    </row>
    <row r="4301" spans="1:4" ht="25.5" x14ac:dyDescent="0.25">
      <c r="A4301" s="106">
        <v>12736</v>
      </c>
      <c r="B4301" s="108" t="s">
        <v>9578</v>
      </c>
      <c r="C4301" s="110" t="s">
        <v>5755</v>
      </c>
      <c r="D4301" s="111">
        <v>36.76</v>
      </c>
    </row>
    <row r="4302" spans="1:4" ht="25.5" x14ac:dyDescent="0.25">
      <c r="A4302" s="106">
        <v>12737</v>
      </c>
      <c r="B4302" s="108" t="s">
        <v>9579</v>
      </c>
      <c r="C4302" s="110" t="s">
        <v>5755</v>
      </c>
      <c r="D4302" s="111">
        <v>47.36</v>
      </c>
    </row>
    <row r="4303" spans="1:4" ht="25.5" x14ac:dyDescent="0.25">
      <c r="A4303" s="106">
        <v>12738</v>
      </c>
      <c r="B4303" s="108" t="s">
        <v>9580</v>
      </c>
      <c r="C4303" s="110" t="s">
        <v>5755</v>
      </c>
      <c r="D4303" s="111">
        <v>93.61</v>
      </c>
    </row>
    <row r="4304" spans="1:4" ht="25.5" x14ac:dyDescent="0.25">
      <c r="A4304" s="106">
        <v>12739</v>
      </c>
      <c r="B4304" s="108" t="s">
        <v>9581</v>
      </c>
      <c r="C4304" s="110" t="s">
        <v>5755</v>
      </c>
      <c r="D4304" s="111">
        <v>266.48</v>
      </c>
    </row>
    <row r="4305" spans="1:4" ht="25.5" x14ac:dyDescent="0.25">
      <c r="A4305" s="106">
        <v>12740</v>
      </c>
      <c r="B4305" s="108" t="s">
        <v>9582</v>
      </c>
      <c r="C4305" s="110" t="s">
        <v>5755</v>
      </c>
      <c r="D4305" s="111">
        <v>416.93</v>
      </c>
    </row>
    <row r="4306" spans="1:4" x14ac:dyDescent="0.25">
      <c r="A4306" s="106">
        <v>6297</v>
      </c>
      <c r="B4306" s="108" t="s">
        <v>9583</v>
      </c>
      <c r="C4306" s="110" t="s">
        <v>5755</v>
      </c>
      <c r="D4306" s="111">
        <v>21.93</v>
      </c>
    </row>
    <row r="4307" spans="1:4" x14ac:dyDescent="0.25">
      <c r="A4307" s="106">
        <v>6296</v>
      </c>
      <c r="B4307" s="108" t="s">
        <v>9584</v>
      </c>
      <c r="C4307" s="110" t="s">
        <v>5755</v>
      </c>
      <c r="D4307" s="111">
        <v>17.309999999999999</v>
      </c>
    </row>
    <row r="4308" spans="1:4" x14ac:dyDescent="0.25">
      <c r="A4308" s="106">
        <v>6294</v>
      </c>
      <c r="B4308" s="108" t="s">
        <v>9585</v>
      </c>
      <c r="C4308" s="110" t="s">
        <v>5755</v>
      </c>
      <c r="D4308" s="111">
        <v>4.93</v>
      </c>
    </row>
    <row r="4309" spans="1:4" x14ac:dyDescent="0.25">
      <c r="A4309" s="106">
        <v>6323</v>
      </c>
      <c r="B4309" s="108" t="s">
        <v>9586</v>
      </c>
      <c r="C4309" s="110" t="s">
        <v>5755</v>
      </c>
      <c r="D4309" s="111">
        <v>11.31</v>
      </c>
    </row>
    <row r="4310" spans="1:4" x14ac:dyDescent="0.25">
      <c r="A4310" s="106">
        <v>6299</v>
      </c>
      <c r="B4310" s="108" t="s">
        <v>9587</v>
      </c>
      <c r="C4310" s="110" t="s">
        <v>5755</v>
      </c>
      <c r="D4310" s="111">
        <v>65.959999999999994</v>
      </c>
    </row>
    <row r="4311" spans="1:4" x14ac:dyDescent="0.25">
      <c r="A4311" s="106">
        <v>6298</v>
      </c>
      <c r="B4311" s="108" t="s">
        <v>9588</v>
      </c>
      <c r="C4311" s="110" t="s">
        <v>5755</v>
      </c>
      <c r="D4311" s="111">
        <v>34.74</v>
      </c>
    </row>
    <row r="4312" spans="1:4" x14ac:dyDescent="0.25">
      <c r="A4312" s="106">
        <v>6295</v>
      </c>
      <c r="B4312" s="108" t="s">
        <v>9589</v>
      </c>
      <c r="C4312" s="110" t="s">
        <v>5755</v>
      </c>
      <c r="D4312" s="111">
        <v>7.02</v>
      </c>
    </row>
    <row r="4313" spans="1:4" x14ac:dyDescent="0.25">
      <c r="A4313" s="106">
        <v>6322</v>
      </c>
      <c r="B4313" s="108" t="s">
        <v>9590</v>
      </c>
      <c r="C4313" s="110" t="s">
        <v>5755</v>
      </c>
      <c r="D4313" s="111">
        <v>88.35</v>
      </c>
    </row>
    <row r="4314" spans="1:4" x14ac:dyDescent="0.25">
      <c r="A4314" s="106">
        <v>6300</v>
      </c>
      <c r="B4314" s="108" t="s">
        <v>9591</v>
      </c>
      <c r="C4314" s="110" t="s">
        <v>5755</v>
      </c>
      <c r="D4314" s="111">
        <v>162.88999999999999</v>
      </c>
    </row>
    <row r="4315" spans="1:4" x14ac:dyDescent="0.25">
      <c r="A4315" s="106">
        <v>6321</v>
      </c>
      <c r="B4315" s="108" t="s">
        <v>9592</v>
      </c>
      <c r="C4315" s="110" t="s">
        <v>5755</v>
      </c>
      <c r="D4315" s="111">
        <v>232.67</v>
      </c>
    </row>
    <row r="4316" spans="1:4" x14ac:dyDescent="0.25">
      <c r="A4316" s="106">
        <v>6301</v>
      </c>
      <c r="B4316" s="108" t="s">
        <v>9593</v>
      </c>
      <c r="C4316" s="110" t="s">
        <v>5755</v>
      </c>
      <c r="D4316" s="111">
        <v>545.37</v>
      </c>
    </row>
    <row r="4317" spans="1:4" ht="25.5" x14ac:dyDescent="0.25">
      <c r="A4317" s="106">
        <v>7105</v>
      </c>
      <c r="B4317" s="108" t="s">
        <v>9594</v>
      </c>
      <c r="C4317" s="110" t="s">
        <v>5755</v>
      </c>
      <c r="D4317" s="111">
        <v>28</v>
      </c>
    </row>
    <row r="4318" spans="1:4" x14ac:dyDescent="0.25">
      <c r="A4318" s="106">
        <v>20183</v>
      </c>
      <c r="B4318" s="108" t="s">
        <v>9595</v>
      </c>
      <c r="C4318" s="110" t="s">
        <v>5755</v>
      </c>
      <c r="D4318" s="111">
        <v>36.86</v>
      </c>
    </row>
    <row r="4319" spans="1:4" x14ac:dyDescent="0.25">
      <c r="A4319" s="106">
        <v>38448</v>
      </c>
      <c r="B4319" s="108" t="s">
        <v>9596</v>
      </c>
      <c r="C4319" s="110" t="s">
        <v>5755</v>
      </c>
      <c r="D4319" s="111">
        <v>173.2</v>
      </c>
    </row>
    <row r="4320" spans="1:4" x14ac:dyDescent="0.25">
      <c r="A4320" s="106">
        <v>20182</v>
      </c>
      <c r="B4320" s="108" t="s">
        <v>9597</v>
      </c>
      <c r="C4320" s="110" t="s">
        <v>5755</v>
      </c>
      <c r="D4320" s="111">
        <v>21.04</v>
      </c>
    </row>
    <row r="4321" spans="1:4" ht="25.5" x14ac:dyDescent="0.25">
      <c r="A4321" s="106">
        <v>7119</v>
      </c>
      <c r="B4321" s="108" t="s">
        <v>9598</v>
      </c>
      <c r="C4321" s="110" t="s">
        <v>5755</v>
      </c>
      <c r="D4321" s="111">
        <v>7.3</v>
      </c>
    </row>
    <row r="4322" spans="1:4" ht="25.5" x14ac:dyDescent="0.25">
      <c r="A4322" s="106">
        <v>7120</v>
      </c>
      <c r="B4322" s="108" t="s">
        <v>9599</v>
      </c>
      <c r="C4322" s="110" t="s">
        <v>5755</v>
      </c>
      <c r="D4322" s="111">
        <v>5.01</v>
      </c>
    </row>
    <row r="4323" spans="1:4" ht="25.5" x14ac:dyDescent="0.25">
      <c r="A4323" s="106">
        <v>6319</v>
      </c>
      <c r="B4323" s="108" t="s">
        <v>9600</v>
      </c>
      <c r="C4323" s="110" t="s">
        <v>5755</v>
      </c>
      <c r="D4323" s="111">
        <v>25.76</v>
      </c>
    </row>
    <row r="4324" spans="1:4" ht="25.5" x14ac:dyDescent="0.25">
      <c r="A4324" s="106">
        <v>6304</v>
      </c>
      <c r="B4324" s="108" t="s">
        <v>9601</v>
      </c>
      <c r="C4324" s="110" t="s">
        <v>5755</v>
      </c>
      <c r="D4324" s="111">
        <v>25.76</v>
      </c>
    </row>
    <row r="4325" spans="1:4" ht="25.5" x14ac:dyDescent="0.25">
      <c r="A4325" s="106">
        <v>21116</v>
      </c>
      <c r="B4325" s="108" t="s">
        <v>9602</v>
      </c>
      <c r="C4325" s="110" t="s">
        <v>5755</v>
      </c>
      <c r="D4325" s="111">
        <v>19.510000000000002</v>
      </c>
    </row>
    <row r="4326" spans="1:4" x14ac:dyDescent="0.25">
      <c r="A4326" s="106">
        <v>6320</v>
      </c>
      <c r="B4326" s="108" t="s">
        <v>9603</v>
      </c>
      <c r="C4326" s="110" t="s">
        <v>5755</v>
      </c>
      <c r="D4326" s="111">
        <v>13.27</v>
      </c>
    </row>
    <row r="4327" spans="1:4" x14ac:dyDescent="0.25">
      <c r="A4327" s="106">
        <v>6303</v>
      </c>
      <c r="B4327" s="108" t="s">
        <v>9604</v>
      </c>
      <c r="C4327" s="110" t="s">
        <v>5755</v>
      </c>
      <c r="D4327" s="111">
        <v>13.27</v>
      </c>
    </row>
    <row r="4328" spans="1:4" ht="25.5" x14ac:dyDescent="0.25">
      <c r="A4328" s="106">
        <v>6308</v>
      </c>
      <c r="B4328" s="108" t="s">
        <v>9605</v>
      </c>
      <c r="C4328" s="110" t="s">
        <v>5755</v>
      </c>
      <c r="D4328" s="111">
        <v>71.3</v>
      </c>
    </row>
    <row r="4329" spans="1:4" ht="25.5" x14ac:dyDescent="0.25">
      <c r="A4329" s="106">
        <v>6317</v>
      </c>
      <c r="B4329" s="108" t="s">
        <v>9606</v>
      </c>
      <c r="C4329" s="110" t="s">
        <v>5755</v>
      </c>
      <c r="D4329" s="111">
        <v>71.3</v>
      </c>
    </row>
    <row r="4330" spans="1:4" ht="25.5" x14ac:dyDescent="0.25">
      <c r="A4330" s="106">
        <v>6307</v>
      </c>
      <c r="B4330" s="108" t="s">
        <v>9607</v>
      </c>
      <c r="C4330" s="110" t="s">
        <v>5755</v>
      </c>
      <c r="D4330" s="111">
        <v>71.3</v>
      </c>
    </row>
    <row r="4331" spans="1:4" ht="25.5" x14ac:dyDescent="0.25">
      <c r="A4331" s="106">
        <v>6309</v>
      </c>
      <c r="B4331" s="108" t="s">
        <v>9608</v>
      </c>
      <c r="C4331" s="110" t="s">
        <v>5755</v>
      </c>
      <c r="D4331" s="111">
        <v>73.37</v>
      </c>
    </row>
    <row r="4332" spans="1:4" ht="25.5" x14ac:dyDescent="0.25">
      <c r="A4332" s="106">
        <v>6318</v>
      </c>
      <c r="B4332" s="108" t="s">
        <v>9609</v>
      </c>
      <c r="C4332" s="110" t="s">
        <v>5755</v>
      </c>
      <c r="D4332" s="111">
        <v>38.46</v>
      </c>
    </row>
    <row r="4333" spans="1:4" ht="25.5" x14ac:dyDescent="0.25">
      <c r="A4333" s="106">
        <v>6306</v>
      </c>
      <c r="B4333" s="108" t="s">
        <v>9610</v>
      </c>
      <c r="C4333" s="110" t="s">
        <v>5755</v>
      </c>
      <c r="D4333" s="111">
        <v>38.46</v>
      </c>
    </row>
    <row r="4334" spans="1:4" x14ac:dyDescent="0.25">
      <c r="A4334" s="106">
        <v>6305</v>
      </c>
      <c r="B4334" s="108" t="s">
        <v>9611</v>
      </c>
      <c r="C4334" s="110" t="s">
        <v>5755</v>
      </c>
      <c r="D4334" s="111">
        <v>38.46</v>
      </c>
    </row>
    <row r="4335" spans="1:4" ht="25.5" x14ac:dyDescent="0.25">
      <c r="A4335" s="106">
        <v>6302</v>
      </c>
      <c r="B4335" s="108" t="s">
        <v>9612</v>
      </c>
      <c r="C4335" s="110" t="s">
        <v>5755</v>
      </c>
      <c r="D4335" s="111">
        <v>8.15</v>
      </c>
    </row>
    <row r="4336" spans="1:4" ht="25.5" x14ac:dyDescent="0.25">
      <c r="A4336" s="106">
        <v>6312</v>
      </c>
      <c r="B4336" s="108" t="s">
        <v>9613</v>
      </c>
      <c r="C4336" s="110" t="s">
        <v>5755</v>
      </c>
      <c r="D4336" s="111">
        <v>102.56</v>
      </c>
    </row>
    <row r="4337" spans="1:4" ht="25.5" x14ac:dyDescent="0.25">
      <c r="A4337" s="106">
        <v>6311</v>
      </c>
      <c r="B4337" s="108" t="s">
        <v>9614</v>
      </c>
      <c r="C4337" s="110" t="s">
        <v>5755</v>
      </c>
      <c r="D4337" s="111">
        <v>102.56</v>
      </c>
    </row>
    <row r="4338" spans="1:4" x14ac:dyDescent="0.25">
      <c r="A4338" s="106">
        <v>6310</v>
      </c>
      <c r="B4338" s="108" t="s">
        <v>9615</v>
      </c>
      <c r="C4338" s="110" t="s">
        <v>5755</v>
      </c>
      <c r="D4338" s="111">
        <v>102.56</v>
      </c>
    </row>
    <row r="4339" spans="1:4" ht="25.5" x14ac:dyDescent="0.25">
      <c r="A4339" s="106">
        <v>6314</v>
      </c>
      <c r="B4339" s="108" t="s">
        <v>9616</v>
      </c>
      <c r="C4339" s="110" t="s">
        <v>5755</v>
      </c>
      <c r="D4339" s="111">
        <v>102.56</v>
      </c>
    </row>
    <row r="4340" spans="1:4" x14ac:dyDescent="0.25">
      <c r="A4340" s="106">
        <v>6313</v>
      </c>
      <c r="B4340" s="108" t="s">
        <v>9617</v>
      </c>
      <c r="C4340" s="110" t="s">
        <v>5755</v>
      </c>
      <c r="D4340" s="111">
        <v>102.56</v>
      </c>
    </row>
    <row r="4341" spans="1:4" x14ac:dyDescent="0.25">
      <c r="A4341" s="106">
        <v>6315</v>
      </c>
      <c r="B4341" s="108" t="s">
        <v>9618</v>
      </c>
      <c r="C4341" s="110" t="s">
        <v>5755</v>
      </c>
      <c r="D4341" s="111">
        <v>194.18</v>
      </c>
    </row>
    <row r="4342" spans="1:4" x14ac:dyDescent="0.25">
      <c r="A4342" s="106">
        <v>6316</v>
      </c>
      <c r="B4342" s="108" t="s">
        <v>9619</v>
      </c>
      <c r="C4342" s="110" t="s">
        <v>5755</v>
      </c>
      <c r="D4342" s="111">
        <v>194.18</v>
      </c>
    </row>
    <row r="4343" spans="1:4" ht="25.5" x14ac:dyDescent="0.25">
      <c r="A4343" s="106">
        <v>38878</v>
      </c>
      <c r="B4343" s="108" t="s">
        <v>9620</v>
      </c>
      <c r="C4343" s="110" t="s">
        <v>5755</v>
      </c>
      <c r="D4343" s="111">
        <v>14.42</v>
      </c>
    </row>
    <row r="4344" spans="1:4" ht="25.5" x14ac:dyDescent="0.25">
      <c r="A4344" s="106">
        <v>38879</v>
      </c>
      <c r="B4344" s="108" t="s">
        <v>9621</v>
      </c>
      <c r="C4344" s="110" t="s">
        <v>5755</v>
      </c>
      <c r="D4344" s="111">
        <v>27.04</v>
      </c>
    </row>
    <row r="4345" spans="1:4" ht="25.5" x14ac:dyDescent="0.25">
      <c r="A4345" s="106">
        <v>38881</v>
      </c>
      <c r="B4345" s="108" t="s">
        <v>9622</v>
      </c>
      <c r="C4345" s="110" t="s">
        <v>5755</v>
      </c>
      <c r="D4345" s="111">
        <v>14.15</v>
      </c>
    </row>
    <row r="4346" spans="1:4" ht="25.5" x14ac:dyDescent="0.25">
      <c r="A4346" s="106">
        <v>38880</v>
      </c>
      <c r="B4346" s="108" t="s">
        <v>9623</v>
      </c>
      <c r="C4346" s="110" t="s">
        <v>5755</v>
      </c>
      <c r="D4346" s="111">
        <v>14.83</v>
      </c>
    </row>
    <row r="4347" spans="1:4" ht="25.5" x14ac:dyDescent="0.25">
      <c r="A4347" s="106">
        <v>38882</v>
      </c>
      <c r="B4347" s="108" t="s">
        <v>9624</v>
      </c>
      <c r="C4347" s="110" t="s">
        <v>5755</v>
      </c>
      <c r="D4347" s="111">
        <v>15.35</v>
      </c>
    </row>
    <row r="4348" spans="1:4" ht="25.5" x14ac:dyDescent="0.25">
      <c r="A4348" s="106">
        <v>38883</v>
      </c>
      <c r="B4348" s="108" t="s">
        <v>9625</v>
      </c>
      <c r="C4348" s="110" t="s">
        <v>5755</v>
      </c>
      <c r="D4348" s="111">
        <v>22.71</v>
      </c>
    </row>
    <row r="4349" spans="1:4" ht="25.5" x14ac:dyDescent="0.25">
      <c r="A4349" s="106">
        <v>38884</v>
      </c>
      <c r="B4349" s="108" t="s">
        <v>9626</v>
      </c>
      <c r="C4349" s="110" t="s">
        <v>5755</v>
      </c>
      <c r="D4349" s="111">
        <v>24.65</v>
      </c>
    </row>
    <row r="4350" spans="1:4" ht="25.5" x14ac:dyDescent="0.25">
      <c r="A4350" s="106">
        <v>38885</v>
      </c>
      <c r="B4350" s="108" t="s">
        <v>9627</v>
      </c>
      <c r="C4350" s="110" t="s">
        <v>5755</v>
      </c>
      <c r="D4350" s="111">
        <v>23.85</v>
      </c>
    </row>
    <row r="4351" spans="1:4" ht="25.5" x14ac:dyDescent="0.25">
      <c r="A4351" s="106">
        <v>38886</v>
      </c>
      <c r="B4351" s="108" t="s">
        <v>9628</v>
      </c>
      <c r="C4351" s="110" t="s">
        <v>5755</v>
      </c>
      <c r="D4351" s="111">
        <v>25.74</v>
      </c>
    </row>
    <row r="4352" spans="1:4" ht="25.5" x14ac:dyDescent="0.25">
      <c r="A4352" s="106">
        <v>38887</v>
      </c>
      <c r="B4352" s="108" t="s">
        <v>9629</v>
      </c>
      <c r="C4352" s="110" t="s">
        <v>5755</v>
      </c>
      <c r="D4352" s="111">
        <v>23.12</v>
      </c>
    </row>
    <row r="4353" spans="1:4" ht="25.5" x14ac:dyDescent="0.25">
      <c r="A4353" s="106">
        <v>38888</v>
      </c>
      <c r="B4353" s="108" t="s">
        <v>9630</v>
      </c>
      <c r="C4353" s="110" t="s">
        <v>5755</v>
      </c>
      <c r="D4353" s="111">
        <v>27.48</v>
      </c>
    </row>
    <row r="4354" spans="1:4" ht="25.5" x14ac:dyDescent="0.25">
      <c r="A4354" s="106">
        <v>38890</v>
      </c>
      <c r="B4354" s="108" t="s">
        <v>9631</v>
      </c>
      <c r="C4354" s="110" t="s">
        <v>5755</v>
      </c>
      <c r="D4354" s="111">
        <v>40.85</v>
      </c>
    </row>
    <row r="4355" spans="1:4" ht="25.5" x14ac:dyDescent="0.25">
      <c r="A4355" s="106">
        <v>38893</v>
      </c>
      <c r="B4355" s="108" t="s">
        <v>9632</v>
      </c>
      <c r="C4355" s="110" t="s">
        <v>5755</v>
      </c>
      <c r="D4355" s="111">
        <v>32.85</v>
      </c>
    </row>
    <row r="4356" spans="1:4" ht="25.5" x14ac:dyDescent="0.25">
      <c r="A4356" s="106">
        <v>38894</v>
      </c>
      <c r="B4356" s="108" t="s">
        <v>9633</v>
      </c>
      <c r="C4356" s="110" t="s">
        <v>5755</v>
      </c>
      <c r="D4356" s="111">
        <v>41.72</v>
      </c>
    </row>
    <row r="4357" spans="1:4" ht="25.5" x14ac:dyDescent="0.25">
      <c r="A4357" s="106">
        <v>38896</v>
      </c>
      <c r="B4357" s="108" t="s">
        <v>9634</v>
      </c>
      <c r="C4357" s="110" t="s">
        <v>5755</v>
      </c>
      <c r="D4357" s="111">
        <v>42.55</v>
      </c>
    </row>
    <row r="4358" spans="1:4" x14ac:dyDescent="0.25">
      <c r="A4358" s="106">
        <v>39324</v>
      </c>
      <c r="B4358" s="108" t="s">
        <v>9635</v>
      </c>
      <c r="C4358" s="110" t="s">
        <v>5755</v>
      </c>
      <c r="D4358" s="111">
        <v>8.77</v>
      </c>
    </row>
    <row r="4359" spans="1:4" x14ac:dyDescent="0.25">
      <c r="A4359" s="106">
        <v>39325</v>
      </c>
      <c r="B4359" s="108" t="s">
        <v>9636</v>
      </c>
      <c r="C4359" s="110" t="s">
        <v>5755</v>
      </c>
      <c r="D4359" s="111">
        <v>13.28</v>
      </c>
    </row>
    <row r="4360" spans="1:4" x14ac:dyDescent="0.25">
      <c r="A4360" s="106">
        <v>39326</v>
      </c>
      <c r="B4360" s="108" t="s">
        <v>9637</v>
      </c>
      <c r="C4360" s="110" t="s">
        <v>5755</v>
      </c>
      <c r="D4360" s="111">
        <v>34.19</v>
      </c>
    </row>
    <row r="4361" spans="1:4" x14ac:dyDescent="0.25">
      <c r="A4361" s="106">
        <v>39327</v>
      </c>
      <c r="B4361" s="108" t="s">
        <v>9638</v>
      </c>
      <c r="C4361" s="110" t="s">
        <v>5755</v>
      </c>
      <c r="D4361" s="111">
        <v>51.8</v>
      </c>
    </row>
    <row r="4362" spans="1:4" ht="25.5" x14ac:dyDescent="0.25">
      <c r="A4362" s="106">
        <v>20176</v>
      </c>
      <c r="B4362" s="108" t="s">
        <v>9639</v>
      </c>
      <c r="C4362" s="110" t="s">
        <v>5755</v>
      </c>
      <c r="D4362" s="111">
        <v>31.76</v>
      </c>
    </row>
    <row r="4363" spans="1:4" ht="25.5" x14ac:dyDescent="0.25">
      <c r="A4363" s="106">
        <v>11378</v>
      </c>
      <c r="B4363" s="108" t="s">
        <v>9640</v>
      </c>
      <c r="C4363" s="110" t="s">
        <v>5755</v>
      </c>
      <c r="D4363" s="111">
        <v>69.2</v>
      </c>
    </row>
    <row r="4364" spans="1:4" ht="25.5" x14ac:dyDescent="0.25">
      <c r="A4364" s="106">
        <v>11379</v>
      </c>
      <c r="B4364" s="108" t="s">
        <v>566</v>
      </c>
      <c r="C4364" s="110" t="s">
        <v>5755</v>
      </c>
      <c r="D4364" s="111">
        <v>58.47</v>
      </c>
    </row>
    <row r="4365" spans="1:4" ht="25.5" x14ac:dyDescent="0.25">
      <c r="A4365" s="106">
        <v>11493</v>
      </c>
      <c r="B4365" s="108" t="s">
        <v>9641</v>
      </c>
      <c r="C4365" s="110" t="s">
        <v>5755</v>
      </c>
      <c r="D4365" s="111">
        <v>33.72</v>
      </c>
    </row>
    <row r="4366" spans="1:4" ht="25.5" x14ac:dyDescent="0.25">
      <c r="A4366" s="106">
        <v>42717</v>
      </c>
      <c r="B4366" s="108" t="s">
        <v>9642</v>
      </c>
      <c r="C4366" s="110" t="s">
        <v>5755</v>
      </c>
      <c r="D4366" s="111">
        <v>305.87</v>
      </c>
    </row>
    <row r="4367" spans="1:4" ht="25.5" x14ac:dyDescent="0.25">
      <c r="A4367" s="106">
        <v>42718</v>
      </c>
      <c r="B4367" s="108" t="s">
        <v>9643</v>
      </c>
      <c r="C4367" s="110" t="s">
        <v>5755</v>
      </c>
      <c r="D4367" s="111">
        <v>339.58</v>
      </c>
    </row>
    <row r="4368" spans="1:4" ht="25.5" x14ac:dyDescent="0.25">
      <c r="A4368" s="106">
        <v>7106</v>
      </c>
      <c r="B4368" s="108" t="s">
        <v>9644</v>
      </c>
      <c r="C4368" s="110" t="s">
        <v>5755</v>
      </c>
      <c r="D4368" s="111">
        <v>118.8</v>
      </c>
    </row>
    <row r="4369" spans="1:4" ht="25.5" x14ac:dyDescent="0.25">
      <c r="A4369" s="106">
        <v>7104</v>
      </c>
      <c r="B4369" s="108" t="s">
        <v>9645</v>
      </c>
      <c r="C4369" s="110" t="s">
        <v>5755</v>
      </c>
      <c r="D4369" s="111">
        <v>2.4700000000000002</v>
      </c>
    </row>
    <row r="4370" spans="1:4" ht="25.5" x14ac:dyDescent="0.25">
      <c r="A4370" s="106">
        <v>7136</v>
      </c>
      <c r="B4370" s="108" t="s">
        <v>597</v>
      </c>
      <c r="C4370" s="110" t="s">
        <v>5755</v>
      </c>
      <c r="D4370" s="111">
        <v>4.6500000000000004</v>
      </c>
    </row>
    <row r="4371" spans="1:4" ht="25.5" x14ac:dyDescent="0.25">
      <c r="A4371" s="106">
        <v>7128</v>
      </c>
      <c r="B4371" s="108" t="s">
        <v>598</v>
      </c>
      <c r="C4371" s="110" t="s">
        <v>5755</v>
      </c>
      <c r="D4371" s="111">
        <v>7.63</v>
      </c>
    </row>
    <row r="4372" spans="1:4" ht="25.5" x14ac:dyDescent="0.25">
      <c r="A4372" s="106">
        <v>7108</v>
      </c>
      <c r="B4372" s="108" t="s">
        <v>9646</v>
      </c>
      <c r="C4372" s="110" t="s">
        <v>5755</v>
      </c>
      <c r="D4372" s="111">
        <v>8.16</v>
      </c>
    </row>
    <row r="4373" spans="1:4" ht="25.5" x14ac:dyDescent="0.25">
      <c r="A4373" s="106">
        <v>7129</v>
      </c>
      <c r="B4373" s="108" t="s">
        <v>547</v>
      </c>
      <c r="C4373" s="110" t="s">
        <v>5755</v>
      </c>
      <c r="D4373" s="111">
        <v>6.78</v>
      </c>
    </row>
    <row r="4374" spans="1:4" ht="25.5" x14ac:dyDescent="0.25">
      <c r="A4374" s="106">
        <v>7130</v>
      </c>
      <c r="B4374" s="108" t="s">
        <v>568</v>
      </c>
      <c r="C4374" s="110" t="s">
        <v>5755</v>
      </c>
      <c r="D4374" s="111">
        <v>11.07</v>
      </c>
    </row>
    <row r="4375" spans="1:4" ht="25.5" x14ac:dyDescent="0.25">
      <c r="A4375" s="106">
        <v>7131</v>
      </c>
      <c r="B4375" s="108" t="s">
        <v>9647</v>
      </c>
      <c r="C4375" s="110" t="s">
        <v>5755</v>
      </c>
      <c r="D4375" s="111">
        <v>13.58</v>
      </c>
    </row>
    <row r="4376" spans="1:4" ht="25.5" x14ac:dyDescent="0.25">
      <c r="A4376" s="106">
        <v>7132</v>
      </c>
      <c r="B4376" s="108" t="s">
        <v>9648</v>
      </c>
      <c r="C4376" s="110" t="s">
        <v>5755</v>
      </c>
      <c r="D4376" s="111">
        <v>37.700000000000003</v>
      </c>
    </row>
    <row r="4377" spans="1:4" ht="25.5" x14ac:dyDescent="0.25">
      <c r="A4377" s="106">
        <v>7133</v>
      </c>
      <c r="B4377" s="108" t="s">
        <v>9649</v>
      </c>
      <c r="C4377" s="110" t="s">
        <v>5755</v>
      </c>
      <c r="D4377" s="111">
        <v>58.55</v>
      </c>
    </row>
    <row r="4378" spans="1:4" ht="25.5" x14ac:dyDescent="0.25">
      <c r="A4378" s="106">
        <v>37420</v>
      </c>
      <c r="B4378" s="108" t="s">
        <v>9650</v>
      </c>
      <c r="C4378" s="110" t="s">
        <v>5755</v>
      </c>
      <c r="D4378" s="111">
        <v>36.49</v>
      </c>
    </row>
    <row r="4379" spans="1:4" ht="25.5" x14ac:dyDescent="0.25">
      <c r="A4379" s="106">
        <v>37421</v>
      </c>
      <c r="B4379" s="108" t="s">
        <v>9651</v>
      </c>
      <c r="C4379" s="110" t="s">
        <v>5755</v>
      </c>
      <c r="D4379" s="111">
        <v>49.87</v>
      </c>
    </row>
    <row r="4380" spans="1:4" ht="25.5" x14ac:dyDescent="0.25">
      <c r="A4380" s="106">
        <v>37422</v>
      </c>
      <c r="B4380" s="108" t="s">
        <v>9652</v>
      </c>
      <c r="C4380" s="110" t="s">
        <v>5755</v>
      </c>
      <c r="D4380" s="111">
        <v>46.68</v>
      </c>
    </row>
    <row r="4381" spans="1:4" x14ac:dyDescent="0.25">
      <c r="A4381" s="106">
        <v>37443</v>
      </c>
      <c r="B4381" s="108" t="s">
        <v>9653</v>
      </c>
      <c r="C4381" s="110" t="s">
        <v>5755</v>
      </c>
      <c r="D4381" s="111">
        <v>135.46</v>
      </c>
    </row>
    <row r="4382" spans="1:4" x14ac:dyDescent="0.25">
      <c r="A4382" s="106">
        <v>37444</v>
      </c>
      <c r="B4382" s="108" t="s">
        <v>9654</v>
      </c>
      <c r="C4382" s="110" t="s">
        <v>5755</v>
      </c>
      <c r="D4382" s="111">
        <v>137.75</v>
      </c>
    </row>
    <row r="4383" spans="1:4" x14ac:dyDescent="0.25">
      <c r="A4383" s="106">
        <v>37445</v>
      </c>
      <c r="B4383" s="108" t="s">
        <v>9655</v>
      </c>
      <c r="C4383" s="110" t="s">
        <v>5755</v>
      </c>
      <c r="D4383" s="111">
        <v>208.8</v>
      </c>
    </row>
    <row r="4384" spans="1:4" x14ac:dyDescent="0.25">
      <c r="A4384" s="106">
        <v>37446</v>
      </c>
      <c r="B4384" s="108" t="s">
        <v>9656</v>
      </c>
      <c r="C4384" s="110" t="s">
        <v>5755</v>
      </c>
      <c r="D4384" s="111">
        <v>227.62</v>
      </c>
    </row>
    <row r="4385" spans="1:4" x14ac:dyDescent="0.25">
      <c r="A4385" s="106">
        <v>37447</v>
      </c>
      <c r="B4385" s="108" t="s">
        <v>9657</v>
      </c>
      <c r="C4385" s="110" t="s">
        <v>5755</v>
      </c>
      <c r="D4385" s="111">
        <v>231.19</v>
      </c>
    </row>
    <row r="4386" spans="1:4" x14ac:dyDescent="0.25">
      <c r="A4386" s="106">
        <v>37448</v>
      </c>
      <c r="B4386" s="108" t="s">
        <v>9658</v>
      </c>
      <c r="C4386" s="110" t="s">
        <v>5755</v>
      </c>
      <c r="D4386" s="111">
        <v>317.11</v>
      </c>
    </row>
    <row r="4387" spans="1:4" x14ac:dyDescent="0.25">
      <c r="A4387" s="106">
        <v>37440</v>
      </c>
      <c r="B4387" s="108" t="s">
        <v>9659</v>
      </c>
      <c r="C4387" s="110" t="s">
        <v>5755</v>
      </c>
      <c r="D4387" s="111">
        <v>107.51</v>
      </c>
    </row>
    <row r="4388" spans="1:4" x14ac:dyDescent="0.25">
      <c r="A4388" s="106">
        <v>37441</v>
      </c>
      <c r="B4388" s="108" t="s">
        <v>9660</v>
      </c>
      <c r="C4388" s="110" t="s">
        <v>5755</v>
      </c>
      <c r="D4388" s="111">
        <v>107.51</v>
      </c>
    </row>
    <row r="4389" spans="1:4" x14ac:dyDescent="0.25">
      <c r="A4389" s="106">
        <v>37442</v>
      </c>
      <c r="B4389" s="108" t="s">
        <v>9661</v>
      </c>
      <c r="C4389" s="110" t="s">
        <v>5755</v>
      </c>
      <c r="D4389" s="111">
        <v>129.49</v>
      </c>
    </row>
    <row r="4390" spans="1:4" x14ac:dyDescent="0.25">
      <c r="A4390" s="106">
        <v>38017</v>
      </c>
      <c r="B4390" s="108" t="s">
        <v>9662</v>
      </c>
      <c r="C4390" s="110" t="s">
        <v>5755</v>
      </c>
      <c r="D4390" s="111">
        <v>12.48</v>
      </c>
    </row>
    <row r="4391" spans="1:4" x14ac:dyDescent="0.25">
      <c r="A4391" s="106">
        <v>38018</v>
      </c>
      <c r="B4391" s="108" t="s">
        <v>9663</v>
      </c>
      <c r="C4391" s="110" t="s">
        <v>5755</v>
      </c>
      <c r="D4391" s="111">
        <v>13.77</v>
      </c>
    </row>
    <row r="4392" spans="1:4" ht="25.5" x14ac:dyDescent="0.25">
      <c r="A4392" s="106">
        <v>39895</v>
      </c>
      <c r="B4392" s="108" t="s">
        <v>9664</v>
      </c>
      <c r="C4392" s="110" t="s">
        <v>5755</v>
      </c>
      <c r="D4392" s="111">
        <v>33.11</v>
      </c>
    </row>
    <row r="4393" spans="1:4" ht="25.5" x14ac:dyDescent="0.25">
      <c r="A4393" s="106">
        <v>39896</v>
      </c>
      <c r="B4393" s="108" t="s">
        <v>9665</v>
      </c>
      <c r="C4393" s="110" t="s">
        <v>5755</v>
      </c>
      <c r="D4393" s="111">
        <v>48.53</v>
      </c>
    </row>
    <row r="4394" spans="1:4" ht="25.5" x14ac:dyDescent="0.25">
      <c r="A4394" s="106">
        <v>38873</v>
      </c>
      <c r="B4394" s="108" t="s">
        <v>9666</v>
      </c>
      <c r="C4394" s="110" t="s">
        <v>5755</v>
      </c>
      <c r="D4394" s="111">
        <v>12.79</v>
      </c>
    </row>
    <row r="4395" spans="1:4" ht="25.5" x14ac:dyDescent="0.25">
      <c r="A4395" s="106">
        <v>38874</v>
      </c>
      <c r="B4395" s="108" t="s">
        <v>9667</v>
      </c>
      <c r="C4395" s="110" t="s">
        <v>5755</v>
      </c>
      <c r="D4395" s="111">
        <v>15.56</v>
      </c>
    </row>
    <row r="4396" spans="1:4" ht="25.5" x14ac:dyDescent="0.25">
      <c r="A4396" s="106">
        <v>38875</v>
      </c>
      <c r="B4396" s="108" t="s">
        <v>9668</v>
      </c>
      <c r="C4396" s="110" t="s">
        <v>5755</v>
      </c>
      <c r="D4396" s="111">
        <v>27.5</v>
      </c>
    </row>
    <row r="4397" spans="1:4" ht="25.5" x14ac:dyDescent="0.25">
      <c r="A4397" s="106">
        <v>38876</v>
      </c>
      <c r="B4397" s="108" t="s">
        <v>9669</v>
      </c>
      <c r="C4397" s="110" t="s">
        <v>5755</v>
      </c>
      <c r="D4397" s="111">
        <v>37</v>
      </c>
    </row>
    <row r="4398" spans="1:4" ht="25.5" x14ac:dyDescent="0.25">
      <c r="A4398" s="106">
        <v>39000</v>
      </c>
      <c r="B4398" s="108" t="s">
        <v>9670</v>
      </c>
      <c r="C4398" s="110" t="s">
        <v>5755</v>
      </c>
      <c r="D4398" s="111">
        <v>25.19</v>
      </c>
    </row>
    <row r="4399" spans="1:4" ht="25.5" x14ac:dyDescent="0.25">
      <c r="A4399" s="106">
        <v>38674</v>
      </c>
      <c r="B4399" s="108" t="s">
        <v>9671</v>
      </c>
      <c r="C4399" s="110" t="s">
        <v>5755</v>
      </c>
      <c r="D4399" s="111">
        <v>43.38</v>
      </c>
    </row>
    <row r="4400" spans="1:4" ht="25.5" x14ac:dyDescent="0.25">
      <c r="A4400" s="106">
        <v>38911</v>
      </c>
      <c r="B4400" s="108" t="s">
        <v>9672</v>
      </c>
      <c r="C4400" s="110" t="s">
        <v>5755</v>
      </c>
      <c r="D4400" s="111">
        <v>45.88</v>
      </c>
    </row>
    <row r="4401" spans="1:4" ht="25.5" x14ac:dyDescent="0.25">
      <c r="A4401" s="106">
        <v>38912</v>
      </c>
      <c r="B4401" s="108" t="s">
        <v>9673</v>
      </c>
      <c r="C4401" s="110" t="s">
        <v>5755</v>
      </c>
      <c r="D4401" s="111">
        <v>58.31</v>
      </c>
    </row>
    <row r="4402" spans="1:4" x14ac:dyDescent="0.25">
      <c r="A4402" s="106">
        <v>38019</v>
      </c>
      <c r="B4402" s="108" t="s">
        <v>9674</v>
      </c>
      <c r="C4402" s="110" t="s">
        <v>5755</v>
      </c>
      <c r="D4402" s="111">
        <v>10.87</v>
      </c>
    </row>
    <row r="4403" spans="1:4" x14ac:dyDescent="0.25">
      <c r="A4403" s="106">
        <v>38020</v>
      </c>
      <c r="B4403" s="108" t="s">
        <v>9675</v>
      </c>
      <c r="C4403" s="110" t="s">
        <v>5755</v>
      </c>
      <c r="D4403" s="111">
        <v>13.77</v>
      </c>
    </row>
    <row r="4404" spans="1:4" ht="25.5" x14ac:dyDescent="0.25">
      <c r="A4404" s="106">
        <v>38454</v>
      </c>
      <c r="B4404" s="108" t="s">
        <v>9676</v>
      </c>
      <c r="C4404" s="110" t="s">
        <v>5755</v>
      </c>
      <c r="D4404" s="111">
        <v>4.59</v>
      </c>
    </row>
    <row r="4405" spans="1:4" ht="25.5" x14ac:dyDescent="0.25">
      <c r="A4405" s="106">
        <v>38455</v>
      </c>
      <c r="B4405" s="108" t="s">
        <v>9677</v>
      </c>
      <c r="C4405" s="110" t="s">
        <v>5755</v>
      </c>
      <c r="D4405" s="111">
        <v>4.21</v>
      </c>
    </row>
    <row r="4406" spans="1:4" ht="25.5" x14ac:dyDescent="0.25">
      <c r="A4406" s="106">
        <v>38462</v>
      </c>
      <c r="B4406" s="108" t="s">
        <v>9678</v>
      </c>
      <c r="C4406" s="110" t="s">
        <v>5755</v>
      </c>
      <c r="D4406" s="111">
        <v>118.78</v>
      </c>
    </row>
    <row r="4407" spans="1:4" ht="25.5" x14ac:dyDescent="0.25">
      <c r="A4407" s="106">
        <v>36362</v>
      </c>
      <c r="B4407" s="108" t="s">
        <v>9679</v>
      </c>
      <c r="C4407" s="110" t="s">
        <v>5755</v>
      </c>
      <c r="D4407" s="111">
        <v>1.81</v>
      </c>
    </row>
    <row r="4408" spans="1:4" ht="25.5" x14ac:dyDescent="0.25">
      <c r="A4408" s="106">
        <v>36298</v>
      </c>
      <c r="B4408" s="108" t="s">
        <v>9680</v>
      </c>
      <c r="C4408" s="110" t="s">
        <v>5755</v>
      </c>
      <c r="D4408" s="111">
        <v>2.68</v>
      </c>
    </row>
    <row r="4409" spans="1:4" ht="25.5" x14ac:dyDescent="0.25">
      <c r="A4409" s="106">
        <v>38456</v>
      </c>
      <c r="B4409" s="108" t="s">
        <v>9681</v>
      </c>
      <c r="C4409" s="110" t="s">
        <v>5755</v>
      </c>
      <c r="D4409" s="111">
        <v>4.37</v>
      </c>
    </row>
    <row r="4410" spans="1:4" ht="25.5" x14ac:dyDescent="0.25">
      <c r="A4410" s="106">
        <v>38457</v>
      </c>
      <c r="B4410" s="108" t="s">
        <v>9682</v>
      </c>
      <c r="C4410" s="110" t="s">
        <v>5755</v>
      </c>
      <c r="D4410" s="111">
        <v>9.85</v>
      </c>
    </row>
    <row r="4411" spans="1:4" ht="25.5" x14ac:dyDescent="0.25">
      <c r="A4411" s="106">
        <v>38458</v>
      </c>
      <c r="B4411" s="108" t="s">
        <v>9683</v>
      </c>
      <c r="C4411" s="110" t="s">
        <v>5755</v>
      </c>
      <c r="D4411" s="111">
        <v>13.2</v>
      </c>
    </row>
    <row r="4412" spans="1:4" ht="25.5" x14ac:dyDescent="0.25">
      <c r="A4412" s="106">
        <v>38459</v>
      </c>
      <c r="B4412" s="108" t="s">
        <v>9684</v>
      </c>
      <c r="C4412" s="110" t="s">
        <v>5755</v>
      </c>
      <c r="D4412" s="111">
        <v>23.29</v>
      </c>
    </row>
    <row r="4413" spans="1:4" ht="25.5" x14ac:dyDescent="0.25">
      <c r="A4413" s="106">
        <v>38460</v>
      </c>
      <c r="B4413" s="108" t="s">
        <v>9685</v>
      </c>
      <c r="C4413" s="110" t="s">
        <v>5755</v>
      </c>
      <c r="D4413" s="111">
        <v>48.66</v>
      </c>
    </row>
    <row r="4414" spans="1:4" ht="25.5" x14ac:dyDescent="0.25">
      <c r="A4414" s="106">
        <v>38461</v>
      </c>
      <c r="B4414" s="108" t="s">
        <v>9686</v>
      </c>
      <c r="C4414" s="110" t="s">
        <v>5755</v>
      </c>
      <c r="D4414" s="111">
        <v>74.22</v>
      </c>
    </row>
    <row r="4415" spans="1:4" x14ac:dyDescent="0.25">
      <c r="A4415" s="106">
        <v>7094</v>
      </c>
      <c r="B4415" s="108" t="s">
        <v>9687</v>
      </c>
      <c r="C4415" s="110" t="s">
        <v>5755</v>
      </c>
      <c r="D4415" s="111">
        <v>8.56</v>
      </c>
    </row>
    <row r="4416" spans="1:4" ht="25.5" x14ac:dyDescent="0.25">
      <c r="A4416" s="106">
        <v>7116</v>
      </c>
      <c r="B4416" s="108" t="s">
        <v>9688</v>
      </c>
      <c r="C4416" s="110" t="s">
        <v>5755</v>
      </c>
      <c r="D4416" s="111">
        <v>2.37</v>
      </c>
    </row>
    <row r="4417" spans="1:4" x14ac:dyDescent="0.25">
      <c r="A4417" s="106">
        <v>7118</v>
      </c>
      <c r="B4417" s="108" t="s">
        <v>9689</v>
      </c>
      <c r="C4417" s="110" t="s">
        <v>5755</v>
      </c>
      <c r="D4417" s="111">
        <v>18.89</v>
      </c>
    </row>
    <row r="4418" spans="1:4" x14ac:dyDescent="0.25">
      <c r="A4418" s="106">
        <v>7117</v>
      </c>
      <c r="B4418" s="108" t="s">
        <v>9690</v>
      </c>
      <c r="C4418" s="110" t="s">
        <v>5755</v>
      </c>
      <c r="D4418" s="111">
        <v>16.79</v>
      </c>
    </row>
    <row r="4419" spans="1:4" x14ac:dyDescent="0.25">
      <c r="A4419" s="106">
        <v>7098</v>
      </c>
      <c r="B4419" s="108" t="s">
        <v>9691</v>
      </c>
      <c r="C4419" s="110" t="s">
        <v>5755</v>
      </c>
      <c r="D4419" s="111">
        <v>2.34</v>
      </c>
    </row>
    <row r="4420" spans="1:4" x14ac:dyDescent="0.25">
      <c r="A4420" s="106">
        <v>7110</v>
      </c>
      <c r="B4420" s="108" t="s">
        <v>9692</v>
      </c>
      <c r="C4420" s="110" t="s">
        <v>5755</v>
      </c>
      <c r="D4420" s="111">
        <v>41.08</v>
      </c>
    </row>
    <row r="4421" spans="1:4" x14ac:dyDescent="0.25">
      <c r="A4421" s="106">
        <v>7123</v>
      </c>
      <c r="B4421" s="108" t="s">
        <v>9693</v>
      </c>
      <c r="C4421" s="110" t="s">
        <v>5755</v>
      </c>
      <c r="D4421" s="111">
        <v>3.01</v>
      </c>
    </row>
    <row r="4422" spans="1:4" ht="25.5" x14ac:dyDescent="0.25">
      <c r="A4422" s="106">
        <v>7121</v>
      </c>
      <c r="B4422" s="108" t="s">
        <v>9694</v>
      </c>
      <c r="C4422" s="110" t="s">
        <v>5755</v>
      </c>
      <c r="D4422" s="111">
        <v>7.42</v>
      </c>
    </row>
    <row r="4423" spans="1:4" ht="25.5" x14ac:dyDescent="0.25">
      <c r="A4423" s="106">
        <v>7137</v>
      </c>
      <c r="B4423" s="108" t="s">
        <v>9695</v>
      </c>
      <c r="C4423" s="110" t="s">
        <v>5755</v>
      </c>
      <c r="D4423" s="111">
        <v>6.68</v>
      </c>
    </row>
    <row r="4424" spans="1:4" ht="25.5" x14ac:dyDescent="0.25">
      <c r="A4424" s="106">
        <v>7122</v>
      </c>
      <c r="B4424" s="108" t="s">
        <v>9696</v>
      </c>
      <c r="C4424" s="110" t="s">
        <v>5755</v>
      </c>
      <c r="D4424" s="111">
        <v>8.35</v>
      </c>
    </row>
    <row r="4425" spans="1:4" ht="25.5" x14ac:dyDescent="0.25">
      <c r="A4425" s="106">
        <v>7114</v>
      </c>
      <c r="B4425" s="108" t="s">
        <v>9697</v>
      </c>
      <c r="C4425" s="110" t="s">
        <v>5755</v>
      </c>
      <c r="D4425" s="111">
        <v>12.87</v>
      </c>
    </row>
    <row r="4426" spans="1:4" ht="25.5" x14ac:dyDescent="0.25">
      <c r="A4426" s="106">
        <v>7109</v>
      </c>
      <c r="B4426" s="108" t="s">
        <v>9698</v>
      </c>
      <c r="C4426" s="110" t="s">
        <v>5755</v>
      </c>
      <c r="D4426" s="111">
        <v>2.25</v>
      </c>
    </row>
    <row r="4427" spans="1:4" ht="25.5" x14ac:dyDescent="0.25">
      <c r="A4427" s="106">
        <v>7135</v>
      </c>
      <c r="B4427" s="108" t="s">
        <v>9699</v>
      </c>
      <c r="C4427" s="110" t="s">
        <v>5755</v>
      </c>
      <c r="D4427" s="111">
        <v>3.52</v>
      </c>
    </row>
    <row r="4428" spans="1:4" ht="25.5" x14ac:dyDescent="0.25">
      <c r="A4428" s="106">
        <v>37947</v>
      </c>
      <c r="B4428" s="108" t="s">
        <v>9700</v>
      </c>
      <c r="C4428" s="110" t="s">
        <v>5755</v>
      </c>
      <c r="D4428" s="111">
        <v>3.56</v>
      </c>
    </row>
    <row r="4429" spans="1:4" ht="25.5" x14ac:dyDescent="0.25">
      <c r="A4429" s="106">
        <v>7103</v>
      </c>
      <c r="B4429" s="108" t="s">
        <v>9701</v>
      </c>
      <c r="C4429" s="110" t="s">
        <v>5755</v>
      </c>
      <c r="D4429" s="111">
        <v>8.16</v>
      </c>
    </row>
    <row r="4430" spans="1:4" x14ac:dyDescent="0.25">
      <c r="A4430" s="106">
        <v>40419</v>
      </c>
      <c r="B4430" s="108" t="s">
        <v>9702</v>
      </c>
      <c r="C4430" s="110" t="s">
        <v>5755</v>
      </c>
      <c r="D4430" s="111">
        <v>31.64</v>
      </c>
    </row>
    <row r="4431" spans="1:4" x14ac:dyDescent="0.25">
      <c r="A4431" s="106">
        <v>40420</v>
      </c>
      <c r="B4431" s="108" t="s">
        <v>9703</v>
      </c>
      <c r="C4431" s="110" t="s">
        <v>5755</v>
      </c>
      <c r="D4431" s="111">
        <v>46.16</v>
      </c>
    </row>
    <row r="4432" spans="1:4" x14ac:dyDescent="0.25">
      <c r="A4432" s="106">
        <v>40421</v>
      </c>
      <c r="B4432" s="108" t="s">
        <v>9704</v>
      </c>
      <c r="C4432" s="110" t="s">
        <v>5755</v>
      </c>
      <c r="D4432" s="111">
        <v>49.14</v>
      </c>
    </row>
    <row r="4433" spans="1:4" ht="25.5" x14ac:dyDescent="0.25">
      <c r="A4433" s="106">
        <v>7126</v>
      </c>
      <c r="B4433" s="108" t="s">
        <v>9705</v>
      </c>
      <c r="C4433" s="110" t="s">
        <v>5755</v>
      </c>
      <c r="D4433" s="111">
        <v>17.13</v>
      </c>
    </row>
    <row r="4434" spans="1:4" ht="25.5" x14ac:dyDescent="0.25">
      <c r="A4434" s="106">
        <v>38905</v>
      </c>
      <c r="B4434" s="108" t="s">
        <v>9706</v>
      </c>
      <c r="C4434" s="110" t="s">
        <v>5755</v>
      </c>
      <c r="D4434" s="111">
        <v>14.38</v>
      </c>
    </row>
    <row r="4435" spans="1:4" ht="25.5" x14ac:dyDescent="0.25">
      <c r="A4435" s="106">
        <v>38907</v>
      </c>
      <c r="B4435" s="108" t="s">
        <v>9707</v>
      </c>
      <c r="C4435" s="110" t="s">
        <v>5755</v>
      </c>
      <c r="D4435" s="111">
        <v>15.29</v>
      </c>
    </row>
    <row r="4436" spans="1:4" ht="25.5" x14ac:dyDescent="0.25">
      <c r="A4436" s="106">
        <v>38908</v>
      </c>
      <c r="B4436" s="108" t="s">
        <v>9708</v>
      </c>
      <c r="C4436" s="110" t="s">
        <v>5755</v>
      </c>
      <c r="D4436" s="111">
        <v>17.21</v>
      </c>
    </row>
    <row r="4437" spans="1:4" ht="25.5" x14ac:dyDescent="0.25">
      <c r="A4437" s="106">
        <v>38909</v>
      </c>
      <c r="B4437" s="108" t="s">
        <v>9709</v>
      </c>
      <c r="C4437" s="110" t="s">
        <v>5755</v>
      </c>
      <c r="D4437" s="111">
        <v>24.75</v>
      </c>
    </row>
    <row r="4438" spans="1:4" ht="25.5" x14ac:dyDescent="0.25">
      <c r="A4438" s="106">
        <v>38910</v>
      </c>
      <c r="B4438" s="108" t="s">
        <v>9710</v>
      </c>
      <c r="C4438" s="110" t="s">
        <v>5755</v>
      </c>
      <c r="D4438" s="111">
        <v>26.73</v>
      </c>
    </row>
    <row r="4439" spans="1:4" ht="25.5" x14ac:dyDescent="0.25">
      <c r="A4439" s="106">
        <v>38897</v>
      </c>
      <c r="B4439" s="108" t="s">
        <v>9711</v>
      </c>
      <c r="C4439" s="110" t="s">
        <v>5755</v>
      </c>
      <c r="D4439" s="111">
        <v>14.44</v>
      </c>
    </row>
    <row r="4440" spans="1:4" ht="25.5" x14ac:dyDescent="0.25">
      <c r="A4440" s="106">
        <v>38899</v>
      </c>
      <c r="B4440" s="108" t="s">
        <v>9712</v>
      </c>
      <c r="C4440" s="110" t="s">
        <v>5755</v>
      </c>
      <c r="D4440" s="111">
        <v>16.239999999999998</v>
      </c>
    </row>
    <row r="4441" spans="1:4" ht="25.5" x14ac:dyDescent="0.25">
      <c r="A4441" s="106">
        <v>38900</v>
      </c>
      <c r="B4441" s="108" t="s">
        <v>9713</v>
      </c>
      <c r="C4441" s="110" t="s">
        <v>5755</v>
      </c>
      <c r="D4441" s="111">
        <v>16.93</v>
      </c>
    </row>
    <row r="4442" spans="1:4" ht="25.5" x14ac:dyDescent="0.25">
      <c r="A4442" s="106">
        <v>38901</v>
      </c>
      <c r="B4442" s="108" t="s">
        <v>9714</v>
      </c>
      <c r="C4442" s="110" t="s">
        <v>5755</v>
      </c>
      <c r="D4442" s="111">
        <v>27.7</v>
      </c>
    </row>
    <row r="4443" spans="1:4" ht="25.5" x14ac:dyDescent="0.25">
      <c r="A4443" s="106">
        <v>38904</v>
      </c>
      <c r="B4443" s="108" t="s">
        <v>9715</v>
      </c>
      <c r="C4443" s="110" t="s">
        <v>5755</v>
      </c>
      <c r="D4443" s="111">
        <v>45</v>
      </c>
    </row>
    <row r="4444" spans="1:4" ht="25.5" x14ac:dyDescent="0.25">
      <c r="A4444" s="106">
        <v>38903</v>
      </c>
      <c r="B4444" s="108" t="s">
        <v>9716</v>
      </c>
      <c r="C4444" s="110" t="s">
        <v>5755</v>
      </c>
      <c r="D4444" s="111">
        <v>44.71</v>
      </c>
    </row>
    <row r="4445" spans="1:4" ht="25.5" x14ac:dyDescent="0.25">
      <c r="A4445" s="106">
        <v>7091</v>
      </c>
      <c r="B4445" s="108" t="s">
        <v>9717</v>
      </c>
      <c r="C4445" s="110" t="s">
        <v>5755</v>
      </c>
      <c r="D4445" s="111">
        <v>11.18</v>
      </c>
    </row>
    <row r="4446" spans="1:4" ht="25.5" x14ac:dyDescent="0.25">
      <c r="A4446" s="106">
        <v>11655</v>
      </c>
      <c r="B4446" s="108" t="s">
        <v>583</v>
      </c>
      <c r="C4446" s="110" t="s">
        <v>5755</v>
      </c>
      <c r="D4446" s="111">
        <v>10.68</v>
      </c>
    </row>
    <row r="4447" spans="1:4" ht="25.5" x14ac:dyDescent="0.25">
      <c r="A4447" s="106">
        <v>11656</v>
      </c>
      <c r="B4447" s="108" t="s">
        <v>9718</v>
      </c>
      <c r="C4447" s="110" t="s">
        <v>5755</v>
      </c>
      <c r="D4447" s="111">
        <v>11.17</v>
      </c>
    </row>
    <row r="4448" spans="1:4" ht="25.5" x14ac:dyDescent="0.25">
      <c r="A4448" s="106">
        <v>37948</v>
      </c>
      <c r="B4448" s="108" t="s">
        <v>9719</v>
      </c>
      <c r="C4448" s="110" t="s">
        <v>5755</v>
      </c>
      <c r="D4448" s="111">
        <v>2.2599999999999998</v>
      </c>
    </row>
    <row r="4449" spans="1:4" ht="25.5" x14ac:dyDescent="0.25">
      <c r="A4449" s="106">
        <v>7097</v>
      </c>
      <c r="B4449" s="108" t="s">
        <v>584</v>
      </c>
      <c r="C4449" s="110" t="s">
        <v>5755</v>
      </c>
      <c r="D4449" s="111">
        <v>4.96</v>
      </c>
    </row>
    <row r="4450" spans="1:4" ht="25.5" x14ac:dyDescent="0.25">
      <c r="A4450" s="106">
        <v>11657</v>
      </c>
      <c r="B4450" s="108" t="s">
        <v>585</v>
      </c>
      <c r="C4450" s="110" t="s">
        <v>5755</v>
      </c>
      <c r="D4450" s="111">
        <v>9.73</v>
      </c>
    </row>
    <row r="4451" spans="1:4" ht="25.5" x14ac:dyDescent="0.25">
      <c r="A4451" s="106">
        <v>11658</v>
      </c>
      <c r="B4451" s="108" t="s">
        <v>9720</v>
      </c>
      <c r="C4451" s="110" t="s">
        <v>5755</v>
      </c>
      <c r="D4451" s="111">
        <v>9.92</v>
      </c>
    </row>
    <row r="4452" spans="1:4" ht="25.5" x14ac:dyDescent="0.25">
      <c r="A4452" s="106">
        <v>7146</v>
      </c>
      <c r="B4452" s="108" t="s">
        <v>9721</v>
      </c>
      <c r="C4452" s="110" t="s">
        <v>5755</v>
      </c>
      <c r="D4452" s="111">
        <v>127.21</v>
      </c>
    </row>
    <row r="4453" spans="1:4" ht="25.5" x14ac:dyDescent="0.25">
      <c r="A4453" s="106">
        <v>7138</v>
      </c>
      <c r="B4453" s="108" t="s">
        <v>9722</v>
      </c>
      <c r="C4453" s="110" t="s">
        <v>5755</v>
      </c>
      <c r="D4453" s="111">
        <v>0.72</v>
      </c>
    </row>
    <row r="4454" spans="1:4" ht="25.5" x14ac:dyDescent="0.25">
      <c r="A4454" s="106">
        <v>7139</v>
      </c>
      <c r="B4454" s="108" t="s">
        <v>9723</v>
      </c>
      <c r="C4454" s="110" t="s">
        <v>5755</v>
      </c>
      <c r="D4454" s="111">
        <v>0.94</v>
      </c>
    </row>
    <row r="4455" spans="1:4" ht="25.5" x14ac:dyDescent="0.25">
      <c r="A4455" s="106">
        <v>7140</v>
      </c>
      <c r="B4455" s="108" t="s">
        <v>595</v>
      </c>
      <c r="C4455" s="110" t="s">
        <v>5755</v>
      </c>
      <c r="D4455" s="111">
        <v>3.14</v>
      </c>
    </row>
    <row r="4456" spans="1:4" ht="25.5" x14ac:dyDescent="0.25">
      <c r="A4456" s="106">
        <v>7141</v>
      </c>
      <c r="B4456" s="108" t="s">
        <v>596</v>
      </c>
      <c r="C4456" s="110" t="s">
        <v>5755</v>
      </c>
      <c r="D4456" s="111">
        <v>6.86</v>
      </c>
    </row>
    <row r="4457" spans="1:4" ht="25.5" x14ac:dyDescent="0.25">
      <c r="A4457" s="106">
        <v>7143</v>
      </c>
      <c r="B4457" s="108" t="s">
        <v>9724</v>
      </c>
      <c r="C4457" s="110" t="s">
        <v>5755</v>
      </c>
      <c r="D4457" s="111">
        <v>22.86</v>
      </c>
    </row>
    <row r="4458" spans="1:4" ht="25.5" x14ac:dyDescent="0.25">
      <c r="A4458" s="106">
        <v>7144</v>
      </c>
      <c r="B4458" s="108" t="s">
        <v>9725</v>
      </c>
      <c r="C4458" s="110" t="s">
        <v>5755</v>
      </c>
      <c r="D4458" s="111">
        <v>45.74</v>
      </c>
    </row>
    <row r="4459" spans="1:4" ht="25.5" x14ac:dyDescent="0.25">
      <c r="A4459" s="106">
        <v>7145</v>
      </c>
      <c r="B4459" s="108" t="s">
        <v>9726</v>
      </c>
      <c r="C4459" s="110" t="s">
        <v>5755</v>
      </c>
      <c r="D4459" s="111">
        <v>75.010000000000005</v>
      </c>
    </row>
    <row r="4460" spans="1:4" ht="25.5" x14ac:dyDescent="0.25">
      <c r="A4460" s="106">
        <v>7142</v>
      </c>
      <c r="B4460" s="108" t="s">
        <v>9727</v>
      </c>
      <c r="C4460" s="110" t="s">
        <v>5755</v>
      </c>
      <c r="D4460" s="111">
        <v>7.67</v>
      </c>
    </row>
    <row r="4461" spans="1:4" x14ac:dyDescent="0.25">
      <c r="A4461" s="106">
        <v>3593</v>
      </c>
      <c r="B4461" s="108" t="s">
        <v>9728</v>
      </c>
      <c r="C4461" s="110" t="s">
        <v>5755</v>
      </c>
      <c r="D4461" s="111">
        <v>47.6</v>
      </c>
    </row>
    <row r="4462" spans="1:4" x14ac:dyDescent="0.25">
      <c r="A4462" s="106">
        <v>3588</v>
      </c>
      <c r="B4462" s="108" t="s">
        <v>9729</v>
      </c>
      <c r="C4462" s="110" t="s">
        <v>5755</v>
      </c>
      <c r="D4462" s="111">
        <v>36.69</v>
      </c>
    </row>
    <row r="4463" spans="1:4" x14ac:dyDescent="0.25">
      <c r="A4463" s="106">
        <v>3585</v>
      </c>
      <c r="B4463" s="108" t="s">
        <v>9730</v>
      </c>
      <c r="C4463" s="110" t="s">
        <v>5755</v>
      </c>
      <c r="D4463" s="111">
        <v>11.33</v>
      </c>
    </row>
    <row r="4464" spans="1:4" x14ac:dyDescent="0.25">
      <c r="A4464" s="106">
        <v>3587</v>
      </c>
      <c r="B4464" s="108" t="s">
        <v>9731</v>
      </c>
      <c r="C4464" s="110" t="s">
        <v>5755</v>
      </c>
      <c r="D4464" s="111">
        <v>22.76</v>
      </c>
    </row>
    <row r="4465" spans="1:4" x14ac:dyDescent="0.25">
      <c r="A4465" s="106">
        <v>3590</v>
      </c>
      <c r="B4465" s="108" t="s">
        <v>9732</v>
      </c>
      <c r="C4465" s="110" t="s">
        <v>5755</v>
      </c>
      <c r="D4465" s="111">
        <v>135.15</v>
      </c>
    </row>
    <row r="4466" spans="1:4" x14ac:dyDescent="0.25">
      <c r="A4466" s="106">
        <v>3589</v>
      </c>
      <c r="B4466" s="108" t="s">
        <v>9733</v>
      </c>
      <c r="C4466" s="110" t="s">
        <v>5755</v>
      </c>
      <c r="D4466" s="111">
        <v>72.540000000000006</v>
      </c>
    </row>
    <row r="4467" spans="1:4" x14ac:dyDescent="0.25">
      <c r="A4467" s="106">
        <v>3586</v>
      </c>
      <c r="B4467" s="108" t="s">
        <v>9734</v>
      </c>
      <c r="C4467" s="110" t="s">
        <v>5755</v>
      </c>
      <c r="D4467" s="111">
        <v>14.84</v>
      </c>
    </row>
    <row r="4468" spans="1:4" x14ac:dyDescent="0.25">
      <c r="A4468" s="106">
        <v>3592</v>
      </c>
      <c r="B4468" s="108" t="s">
        <v>9735</v>
      </c>
      <c r="C4468" s="110" t="s">
        <v>5755</v>
      </c>
      <c r="D4468" s="111">
        <v>213.64</v>
      </c>
    </row>
    <row r="4469" spans="1:4" x14ac:dyDescent="0.25">
      <c r="A4469" s="106">
        <v>3591</v>
      </c>
      <c r="B4469" s="108" t="s">
        <v>9736</v>
      </c>
      <c r="C4469" s="110" t="s">
        <v>5755</v>
      </c>
      <c r="D4469" s="111">
        <v>342.47</v>
      </c>
    </row>
    <row r="4470" spans="1:4" ht="25.5" x14ac:dyDescent="0.25">
      <c r="A4470" s="106">
        <v>40396</v>
      </c>
      <c r="B4470" s="108" t="s">
        <v>9737</v>
      </c>
      <c r="C4470" s="110" t="s">
        <v>5755</v>
      </c>
      <c r="D4470" s="111">
        <v>77.709999999999994</v>
      </c>
    </row>
    <row r="4471" spans="1:4" ht="25.5" x14ac:dyDescent="0.25">
      <c r="A4471" s="106">
        <v>40395</v>
      </c>
      <c r="B4471" s="108" t="s">
        <v>9738</v>
      </c>
      <c r="C4471" s="110" t="s">
        <v>5755</v>
      </c>
      <c r="D4471" s="111">
        <v>59.64</v>
      </c>
    </row>
    <row r="4472" spans="1:4" x14ac:dyDescent="0.25">
      <c r="A4472" s="106">
        <v>40392</v>
      </c>
      <c r="B4472" s="108" t="s">
        <v>9739</v>
      </c>
      <c r="C4472" s="110" t="s">
        <v>5755</v>
      </c>
      <c r="D4472" s="111">
        <v>19.190000000000001</v>
      </c>
    </row>
    <row r="4473" spans="1:4" x14ac:dyDescent="0.25">
      <c r="A4473" s="106">
        <v>40394</v>
      </c>
      <c r="B4473" s="108" t="s">
        <v>9740</v>
      </c>
      <c r="C4473" s="110" t="s">
        <v>5755</v>
      </c>
      <c r="D4473" s="111">
        <v>38.83</v>
      </c>
    </row>
    <row r="4474" spans="1:4" ht="25.5" x14ac:dyDescent="0.25">
      <c r="A4474" s="106">
        <v>40398</v>
      </c>
      <c r="B4474" s="108" t="s">
        <v>9741</v>
      </c>
      <c r="C4474" s="110" t="s">
        <v>5755</v>
      </c>
      <c r="D4474" s="111">
        <v>249.32</v>
      </c>
    </row>
    <row r="4475" spans="1:4" x14ac:dyDescent="0.25">
      <c r="A4475" s="106">
        <v>40397</v>
      </c>
      <c r="B4475" s="108" t="s">
        <v>9742</v>
      </c>
      <c r="C4475" s="110" t="s">
        <v>5755</v>
      </c>
      <c r="D4475" s="111">
        <v>127.68</v>
      </c>
    </row>
    <row r="4476" spans="1:4" x14ac:dyDescent="0.25">
      <c r="A4476" s="106">
        <v>40393</v>
      </c>
      <c r="B4476" s="108" t="s">
        <v>9743</v>
      </c>
      <c r="C4476" s="110" t="s">
        <v>5755</v>
      </c>
      <c r="D4476" s="111">
        <v>24.72</v>
      </c>
    </row>
    <row r="4477" spans="1:4" x14ac:dyDescent="0.25">
      <c r="A4477" s="106">
        <v>40399</v>
      </c>
      <c r="B4477" s="108" t="s">
        <v>9744</v>
      </c>
      <c r="C4477" s="110" t="s">
        <v>5755</v>
      </c>
      <c r="D4477" s="111">
        <v>407.89</v>
      </c>
    </row>
    <row r="4478" spans="1:4" ht="25.5" x14ac:dyDescent="0.25">
      <c r="A4478" s="106">
        <v>39322</v>
      </c>
      <c r="B4478" s="108" t="s">
        <v>9745</v>
      </c>
      <c r="C4478" s="110" t="s">
        <v>5755</v>
      </c>
      <c r="D4478" s="111">
        <v>17.440000000000001</v>
      </c>
    </row>
    <row r="4479" spans="1:4" ht="25.5" x14ac:dyDescent="0.25">
      <c r="A4479" s="106">
        <v>39289</v>
      </c>
      <c r="B4479" s="108" t="s">
        <v>9746</v>
      </c>
      <c r="C4479" s="110" t="s">
        <v>5755</v>
      </c>
      <c r="D4479" s="111">
        <v>20.89</v>
      </c>
    </row>
    <row r="4480" spans="1:4" ht="25.5" x14ac:dyDescent="0.25">
      <c r="A4480" s="106">
        <v>39290</v>
      </c>
      <c r="B4480" s="108" t="s">
        <v>9747</v>
      </c>
      <c r="C4480" s="110" t="s">
        <v>5755</v>
      </c>
      <c r="D4480" s="111">
        <v>35.46</v>
      </c>
    </row>
    <row r="4481" spans="1:4" ht="25.5" x14ac:dyDescent="0.25">
      <c r="A4481" s="106">
        <v>39291</v>
      </c>
      <c r="B4481" s="108" t="s">
        <v>9748</v>
      </c>
      <c r="C4481" s="110" t="s">
        <v>5755</v>
      </c>
      <c r="D4481" s="111">
        <v>53.09</v>
      </c>
    </row>
    <row r="4482" spans="1:4" x14ac:dyDescent="0.25">
      <c r="A4482" s="106">
        <v>20174</v>
      </c>
      <c r="B4482" s="108" t="s">
        <v>9749</v>
      </c>
      <c r="C4482" s="110" t="s">
        <v>5755</v>
      </c>
      <c r="D4482" s="111">
        <v>27.24</v>
      </c>
    </row>
    <row r="4483" spans="1:4" ht="25.5" x14ac:dyDescent="0.25">
      <c r="A4483" s="106">
        <v>41892</v>
      </c>
      <c r="B4483" s="108" t="s">
        <v>9750</v>
      </c>
      <c r="C4483" s="110" t="s">
        <v>5755</v>
      </c>
      <c r="D4483" s="111">
        <v>87.08</v>
      </c>
    </row>
    <row r="4484" spans="1:4" ht="25.5" x14ac:dyDescent="0.25">
      <c r="A4484" s="106">
        <v>7048</v>
      </c>
      <c r="B4484" s="108" t="s">
        <v>9751</v>
      </c>
      <c r="C4484" s="110" t="s">
        <v>5755</v>
      </c>
      <c r="D4484" s="111">
        <v>18.79</v>
      </c>
    </row>
    <row r="4485" spans="1:4" ht="25.5" x14ac:dyDescent="0.25">
      <c r="A4485" s="106">
        <v>7088</v>
      </c>
      <c r="B4485" s="108" t="s">
        <v>9752</v>
      </c>
      <c r="C4485" s="110" t="s">
        <v>5755</v>
      </c>
      <c r="D4485" s="111">
        <v>41.1</v>
      </c>
    </row>
    <row r="4486" spans="1:4" x14ac:dyDescent="0.25">
      <c r="A4486" s="106">
        <v>20179</v>
      </c>
      <c r="B4486" s="108" t="s">
        <v>9753</v>
      </c>
      <c r="C4486" s="110" t="s">
        <v>5755</v>
      </c>
      <c r="D4486" s="111">
        <v>36.68</v>
      </c>
    </row>
    <row r="4487" spans="1:4" x14ac:dyDescent="0.25">
      <c r="A4487" s="106">
        <v>20178</v>
      </c>
      <c r="B4487" s="108" t="s">
        <v>9754</v>
      </c>
      <c r="C4487" s="110" t="s">
        <v>5755</v>
      </c>
      <c r="D4487" s="111">
        <v>32.409999999999997</v>
      </c>
    </row>
    <row r="4488" spans="1:4" x14ac:dyDescent="0.25">
      <c r="A4488" s="106">
        <v>20180</v>
      </c>
      <c r="B4488" s="108" t="s">
        <v>9755</v>
      </c>
      <c r="C4488" s="110" t="s">
        <v>5755</v>
      </c>
      <c r="D4488" s="111">
        <v>59.56</v>
      </c>
    </row>
    <row r="4489" spans="1:4" x14ac:dyDescent="0.25">
      <c r="A4489" s="106">
        <v>20181</v>
      </c>
      <c r="B4489" s="108" t="s">
        <v>9756</v>
      </c>
      <c r="C4489" s="110" t="s">
        <v>5755</v>
      </c>
      <c r="D4489" s="111">
        <v>88.36</v>
      </c>
    </row>
    <row r="4490" spans="1:4" x14ac:dyDescent="0.25">
      <c r="A4490" s="106">
        <v>20177</v>
      </c>
      <c r="B4490" s="108" t="s">
        <v>9757</v>
      </c>
      <c r="C4490" s="110" t="s">
        <v>5755</v>
      </c>
      <c r="D4490" s="111">
        <v>21.24</v>
      </c>
    </row>
    <row r="4491" spans="1:4" ht="25.5" x14ac:dyDescent="0.25">
      <c r="A4491" s="106">
        <v>7082</v>
      </c>
      <c r="B4491" s="108" t="s">
        <v>9758</v>
      </c>
      <c r="C4491" s="110" t="s">
        <v>5755</v>
      </c>
      <c r="D4491" s="111">
        <v>32.950000000000003</v>
      </c>
    </row>
    <row r="4492" spans="1:4" ht="25.5" x14ac:dyDescent="0.25">
      <c r="A4492" s="106">
        <v>42707</v>
      </c>
      <c r="B4492" s="108" t="s">
        <v>9759</v>
      </c>
      <c r="C4492" s="110" t="s">
        <v>5755</v>
      </c>
      <c r="D4492" s="111">
        <v>89.48</v>
      </c>
    </row>
    <row r="4493" spans="1:4" ht="25.5" x14ac:dyDescent="0.25">
      <c r="A4493" s="106">
        <v>7069</v>
      </c>
      <c r="B4493" s="108" t="s">
        <v>582</v>
      </c>
      <c r="C4493" s="110" t="s">
        <v>5755</v>
      </c>
      <c r="D4493" s="111">
        <v>73.12</v>
      </c>
    </row>
    <row r="4494" spans="1:4" ht="25.5" x14ac:dyDescent="0.25">
      <c r="A4494" s="106">
        <v>42708</v>
      </c>
      <c r="B4494" s="108" t="s">
        <v>9760</v>
      </c>
      <c r="C4494" s="110" t="s">
        <v>5755</v>
      </c>
      <c r="D4494" s="111">
        <v>234.86</v>
      </c>
    </row>
    <row r="4495" spans="1:4" ht="25.5" x14ac:dyDescent="0.25">
      <c r="A4495" s="106">
        <v>7070</v>
      </c>
      <c r="B4495" s="108" t="s">
        <v>9761</v>
      </c>
      <c r="C4495" s="110" t="s">
        <v>5755</v>
      </c>
      <c r="D4495" s="111">
        <v>104.71</v>
      </c>
    </row>
    <row r="4496" spans="1:4" ht="25.5" x14ac:dyDescent="0.25">
      <c r="A4496" s="106">
        <v>42709</v>
      </c>
      <c r="B4496" s="108" t="s">
        <v>9762</v>
      </c>
      <c r="C4496" s="110" t="s">
        <v>5755</v>
      </c>
      <c r="D4496" s="111">
        <v>351.25</v>
      </c>
    </row>
    <row r="4497" spans="1:4" ht="25.5" x14ac:dyDescent="0.25">
      <c r="A4497" s="106">
        <v>42710</v>
      </c>
      <c r="B4497" s="108" t="s">
        <v>9763</v>
      </c>
      <c r="C4497" s="110" t="s">
        <v>5755</v>
      </c>
      <c r="D4497" s="111">
        <v>1009.67</v>
      </c>
    </row>
    <row r="4498" spans="1:4" ht="25.5" x14ac:dyDescent="0.25">
      <c r="A4498" s="106">
        <v>42716</v>
      </c>
      <c r="B4498" s="108" t="s">
        <v>9764</v>
      </c>
      <c r="C4498" s="110" t="s">
        <v>5755</v>
      </c>
      <c r="D4498" s="111">
        <v>1256.71</v>
      </c>
    </row>
    <row r="4499" spans="1:4" ht="25.5" x14ac:dyDescent="0.25">
      <c r="A4499" s="106">
        <v>20172</v>
      </c>
      <c r="B4499" s="108" t="s">
        <v>9765</v>
      </c>
      <c r="C4499" s="110" t="s">
        <v>5755</v>
      </c>
      <c r="D4499" s="111">
        <v>24.16</v>
      </c>
    </row>
    <row r="4500" spans="1:4" x14ac:dyDescent="0.25">
      <c r="A4500" s="106">
        <v>40945</v>
      </c>
      <c r="B4500" s="108" t="s">
        <v>9766</v>
      </c>
      <c r="C4500" s="110" t="s">
        <v>5759</v>
      </c>
      <c r="D4500" s="111">
        <v>11.79</v>
      </c>
    </row>
    <row r="4501" spans="1:4" x14ac:dyDescent="0.25">
      <c r="A4501" s="106">
        <v>40946</v>
      </c>
      <c r="B4501" s="108" t="s">
        <v>9767</v>
      </c>
      <c r="C4501" s="110" t="s">
        <v>5906</v>
      </c>
      <c r="D4501" s="111">
        <v>2090.42</v>
      </c>
    </row>
    <row r="4502" spans="1:4" x14ac:dyDescent="0.25">
      <c r="A4502" s="106">
        <v>7153</v>
      </c>
      <c r="B4502" s="108" t="s">
        <v>9768</v>
      </c>
      <c r="C4502" s="110" t="s">
        <v>5759</v>
      </c>
      <c r="D4502" s="111">
        <v>18.399999999999999</v>
      </c>
    </row>
    <row r="4503" spans="1:4" ht="25.5" x14ac:dyDescent="0.25">
      <c r="A4503" s="106">
        <v>41089</v>
      </c>
      <c r="B4503" s="108" t="s">
        <v>9769</v>
      </c>
      <c r="C4503" s="110" t="s">
        <v>5906</v>
      </c>
      <c r="D4503" s="111">
        <v>3263.03</v>
      </c>
    </row>
    <row r="4504" spans="1:4" x14ac:dyDescent="0.25">
      <c r="A4504" s="106">
        <v>40943</v>
      </c>
      <c r="B4504" s="108" t="s">
        <v>9770</v>
      </c>
      <c r="C4504" s="110" t="s">
        <v>5759</v>
      </c>
      <c r="D4504" s="111">
        <v>19.38</v>
      </c>
    </row>
    <row r="4505" spans="1:4" x14ac:dyDescent="0.25">
      <c r="A4505" s="106">
        <v>40944</v>
      </c>
      <c r="B4505" s="108" t="s">
        <v>9771</v>
      </c>
      <c r="C4505" s="110" t="s">
        <v>5906</v>
      </c>
      <c r="D4505" s="111">
        <v>3436.4</v>
      </c>
    </row>
    <row r="4506" spans="1:4" x14ac:dyDescent="0.25">
      <c r="A4506" s="106">
        <v>6175</v>
      </c>
      <c r="B4506" s="108" t="s">
        <v>9772</v>
      </c>
      <c r="C4506" s="110" t="s">
        <v>5759</v>
      </c>
      <c r="D4506" s="111">
        <v>16.39</v>
      </c>
    </row>
    <row r="4507" spans="1:4" x14ac:dyDescent="0.25">
      <c r="A4507" s="106">
        <v>41092</v>
      </c>
      <c r="B4507" s="108" t="s">
        <v>9773</v>
      </c>
      <c r="C4507" s="110" t="s">
        <v>5906</v>
      </c>
      <c r="D4507" s="111">
        <v>2906.43</v>
      </c>
    </row>
    <row r="4508" spans="1:4" ht="38.25" x14ac:dyDescent="0.25">
      <c r="A4508" s="106">
        <v>37712</v>
      </c>
      <c r="B4508" s="108" t="s">
        <v>9774</v>
      </c>
      <c r="C4508" s="110" t="s">
        <v>5757</v>
      </c>
      <c r="D4508" s="111">
        <v>61.49</v>
      </c>
    </row>
    <row r="4509" spans="1:4" ht="25.5" x14ac:dyDescent="0.25">
      <c r="A4509" s="106">
        <v>34547</v>
      </c>
      <c r="B4509" s="108" t="s">
        <v>9775</v>
      </c>
      <c r="C4509" s="110" t="s">
        <v>5767</v>
      </c>
      <c r="D4509" s="111">
        <v>2.78</v>
      </c>
    </row>
    <row r="4510" spans="1:4" ht="25.5" x14ac:dyDescent="0.25">
      <c r="A4510" s="106">
        <v>34548</v>
      </c>
      <c r="B4510" s="108" t="s">
        <v>9776</v>
      </c>
      <c r="C4510" s="110" t="s">
        <v>5767</v>
      </c>
      <c r="D4510" s="111">
        <v>4.5599999999999996</v>
      </c>
    </row>
    <row r="4511" spans="1:4" ht="25.5" x14ac:dyDescent="0.25">
      <c r="A4511" s="106">
        <v>34558</v>
      </c>
      <c r="B4511" s="108" t="s">
        <v>9777</v>
      </c>
      <c r="C4511" s="110" t="s">
        <v>5767</v>
      </c>
      <c r="D4511" s="111">
        <v>2.2599999999999998</v>
      </c>
    </row>
    <row r="4512" spans="1:4" ht="25.5" x14ac:dyDescent="0.25">
      <c r="A4512" s="106">
        <v>34550</v>
      </c>
      <c r="B4512" s="108" t="s">
        <v>9778</v>
      </c>
      <c r="C4512" s="110" t="s">
        <v>5767</v>
      </c>
      <c r="D4512" s="111">
        <v>1.2</v>
      </c>
    </row>
    <row r="4513" spans="1:4" ht="25.5" x14ac:dyDescent="0.25">
      <c r="A4513" s="106">
        <v>34557</v>
      </c>
      <c r="B4513" s="108" t="s">
        <v>9779</v>
      </c>
      <c r="C4513" s="110" t="s">
        <v>5767</v>
      </c>
      <c r="D4513" s="111">
        <v>1.76</v>
      </c>
    </row>
    <row r="4514" spans="1:4" ht="25.5" x14ac:dyDescent="0.25">
      <c r="A4514" s="106">
        <v>37411</v>
      </c>
      <c r="B4514" s="108" t="s">
        <v>10742</v>
      </c>
      <c r="C4514" s="110" t="s">
        <v>5757</v>
      </c>
      <c r="D4514" s="111">
        <v>12.87</v>
      </c>
    </row>
    <row r="4515" spans="1:4" ht="38.25" x14ac:dyDescent="0.25">
      <c r="A4515" s="106">
        <v>39508</v>
      </c>
      <c r="B4515" s="108" t="s">
        <v>10743</v>
      </c>
      <c r="C4515" s="110" t="s">
        <v>5757</v>
      </c>
      <c r="D4515" s="111">
        <v>7.23</v>
      </c>
    </row>
    <row r="4516" spans="1:4" ht="38.25" x14ac:dyDescent="0.25">
      <c r="A4516" s="106">
        <v>39507</v>
      </c>
      <c r="B4516" s="108" t="s">
        <v>10744</v>
      </c>
      <c r="C4516" s="110" t="s">
        <v>5757</v>
      </c>
      <c r="D4516" s="111">
        <v>10.78</v>
      </c>
    </row>
    <row r="4517" spans="1:4" ht="38.25" x14ac:dyDescent="0.25">
      <c r="A4517" s="106">
        <v>7155</v>
      </c>
      <c r="B4517" s="108" t="s">
        <v>10745</v>
      </c>
      <c r="C4517" s="110" t="s">
        <v>5757</v>
      </c>
      <c r="D4517" s="111">
        <v>13.84</v>
      </c>
    </row>
    <row r="4518" spans="1:4" ht="38.25" x14ac:dyDescent="0.25">
      <c r="A4518" s="106">
        <v>42406</v>
      </c>
      <c r="B4518" s="108" t="s">
        <v>10746</v>
      </c>
      <c r="C4518" s="110" t="s">
        <v>5757</v>
      </c>
      <c r="D4518" s="111">
        <v>15.87</v>
      </c>
    </row>
    <row r="4519" spans="1:4" ht="38.25" x14ac:dyDescent="0.25">
      <c r="A4519" s="106">
        <v>7156</v>
      </c>
      <c r="B4519" s="108" t="s">
        <v>10747</v>
      </c>
      <c r="C4519" s="110" t="s">
        <v>5757</v>
      </c>
      <c r="D4519" s="111">
        <v>19.86</v>
      </c>
    </row>
    <row r="4520" spans="1:4" ht="38.25" x14ac:dyDescent="0.25">
      <c r="A4520" s="106">
        <v>43127</v>
      </c>
      <c r="B4520" s="108" t="s">
        <v>10748</v>
      </c>
      <c r="C4520" s="110" t="s">
        <v>5757</v>
      </c>
      <c r="D4520" s="111">
        <v>28.42</v>
      </c>
    </row>
    <row r="4521" spans="1:4" ht="38.25" x14ac:dyDescent="0.25">
      <c r="A4521" s="106">
        <v>10917</v>
      </c>
      <c r="B4521" s="108" t="s">
        <v>10749</v>
      </c>
      <c r="C4521" s="110" t="s">
        <v>5757</v>
      </c>
      <c r="D4521" s="111">
        <v>6</v>
      </c>
    </row>
    <row r="4522" spans="1:4" ht="38.25" x14ac:dyDescent="0.25">
      <c r="A4522" s="106">
        <v>21141</v>
      </c>
      <c r="B4522" s="108" t="s">
        <v>10750</v>
      </c>
      <c r="C4522" s="110" t="s">
        <v>5757</v>
      </c>
      <c r="D4522" s="111">
        <v>9.2799999999999994</v>
      </c>
    </row>
    <row r="4523" spans="1:4" ht="38.25" x14ac:dyDescent="0.25">
      <c r="A4523" s="106">
        <v>39509</v>
      </c>
      <c r="B4523" s="108" t="s">
        <v>10751</v>
      </c>
      <c r="C4523" s="110" t="s">
        <v>5757</v>
      </c>
      <c r="D4523" s="111">
        <v>8.93</v>
      </c>
    </row>
    <row r="4524" spans="1:4" x14ac:dyDescent="0.25">
      <c r="A4524" s="106">
        <v>25988</v>
      </c>
      <c r="B4524" s="108" t="s">
        <v>9780</v>
      </c>
      <c r="C4524" s="110" t="s">
        <v>5757</v>
      </c>
      <c r="D4524" s="111">
        <v>9.43</v>
      </c>
    </row>
    <row r="4525" spans="1:4" ht="25.5" x14ac:dyDescent="0.25">
      <c r="A4525" s="106">
        <v>7167</v>
      </c>
      <c r="B4525" s="108" t="s">
        <v>10752</v>
      </c>
      <c r="C4525" s="110" t="s">
        <v>5757</v>
      </c>
      <c r="D4525" s="111">
        <v>18.98</v>
      </c>
    </row>
    <row r="4526" spans="1:4" ht="25.5" x14ac:dyDescent="0.25">
      <c r="A4526" s="106">
        <v>10928</v>
      </c>
      <c r="B4526" s="108" t="s">
        <v>10753</v>
      </c>
      <c r="C4526" s="110" t="s">
        <v>5757</v>
      </c>
      <c r="D4526" s="111">
        <v>10.9</v>
      </c>
    </row>
    <row r="4527" spans="1:4" ht="25.5" x14ac:dyDescent="0.25">
      <c r="A4527" s="106">
        <v>10933</v>
      </c>
      <c r="B4527" s="108" t="s">
        <v>10754</v>
      </c>
      <c r="C4527" s="110" t="s">
        <v>5757</v>
      </c>
      <c r="D4527" s="111">
        <v>16.45</v>
      </c>
    </row>
    <row r="4528" spans="1:4" ht="25.5" x14ac:dyDescent="0.25">
      <c r="A4528" s="106">
        <v>7158</v>
      </c>
      <c r="B4528" s="108" t="s">
        <v>10755</v>
      </c>
      <c r="C4528" s="110" t="s">
        <v>5757</v>
      </c>
      <c r="D4528" s="111">
        <v>27.9</v>
      </c>
    </row>
    <row r="4529" spans="1:4" ht="25.5" x14ac:dyDescent="0.25">
      <c r="A4529" s="106">
        <v>10927</v>
      </c>
      <c r="B4529" s="108" t="s">
        <v>10756</v>
      </c>
      <c r="C4529" s="110" t="s">
        <v>5757</v>
      </c>
      <c r="D4529" s="111">
        <v>17.84</v>
      </c>
    </row>
    <row r="4530" spans="1:4" ht="25.5" x14ac:dyDescent="0.25">
      <c r="A4530" s="106">
        <v>7162</v>
      </c>
      <c r="B4530" s="108" t="s">
        <v>10757</v>
      </c>
      <c r="C4530" s="110" t="s">
        <v>5757</v>
      </c>
      <c r="D4530" s="111">
        <v>43.66</v>
      </c>
    </row>
    <row r="4531" spans="1:4" ht="25.5" x14ac:dyDescent="0.25">
      <c r="A4531" s="106">
        <v>10932</v>
      </c>
      <c r="B4531" s="108" t="s">
        <v>10758</v>
      </c>
      <c r="C4531" s="110" t="s">
        <v>5757</v>
      </c>
      <c r="D4531" s="111">
        <v>75.94</v>
      </c>
    </row>
    <row r="4532" spans="1:4" ht="38.25" x14ac:dyDescent="0.25">
      <c r="A4532" s="106">
        <v>10937</v>
      </c>
      <c r="B4532" s="108" t="s">
        <v>10759</v>
      </c>
      <c r="C4532" s="110" t="s">
        <v>5757</v>
      </c>
      <c r="D4532" s="111">
        <v>19.52</v>
      </c>
    </row>
    <row r="4533" spans="1:4" ht="38.25" x14ac:dyDescent="0.25">
      <c r="A4533" s="106">
        <v>10935</v>
      </c>
      <c r="B4533" s="108" t="s">
        <v>10760</v>
      </c>
      <c r="C4533" s="110" t="s">
        <v>5757</v>
      </c>
      <c r="D4533" s="111">
        <v>33.85</v>
      </c>
    </row>
    <row r="4534" spans="1:4" ht="25.5" x14ac:dyDescent="0.25">
      <c r="A4534" s="106">
        <v>10931</v>
      </c>
      <c r="B4534" s="108" t="s">
        <v>10761</v>
      </c>
      <c r="C4534" s="110" t="s">
        <v>5757</v>
      </c>
      <c r="D4534" s="111">
        <v>9.52</v>
      </c>
    </row>
    <row r="4535" spans="1:4" ht="25.5" x14ac:dyDescent="0.25">
      <c r="A4535" s="106">
        <v>7164</v>
      </c>
      <c r="B4535" s="108" t="s">
        <v>9781</v>
      </c>
      <c r="C4535" s="110" t="s">
        <v>5757</v>
      </c>
      <c r="D4535" s="111">
        <v>31.51</v>
      </c>
    </row>
    <row r="4536" spans="1:4" ht="25.5" x14ac:dyDescent="0.25">
      <c r="A4536" s="106">
        <v>36887</v>
      </c>
      <c r="B4536" s="108" t="s">
        <v>9782</v>
      </c>
      <c r="C4536" s="110" t="s">
        <v>5757</v>
      </c>
      <c r="D4536" s="111">
        <v>14.07</v>
      </c>
    </row>
    <row r="4537" spans="1:4" ht="51" x14ac:dyDescent="0.25">
      <c r="A4537" s="106">
        <v>34630</v>
      </c>
      <c r="B4537" s="108" t="s">
        <v>9783</v>
      </c>
      <c r="C4537" s="110" t="s">
        <v>5755</v>
      </c>
      <c r="D4537" s="111">
        <v>999.44</v>
      </c>
    </row>
    <row r="4538" spans="1:4" x14ac:dyDescent="0.25">
      <c r="A4538" s="106">
        <v>7161</v>
      </c>
      <c r="B4538" s="108" t="s">
        <v>9784</v>
      </c>
      <c r="C4538" s="110" t="s">
        <v>5757</v>
      </c>
      <c r="D4538" s="111">
        <v>3.92</v>
      </c>
    </row>
    <row r="4539" spans="1:4" ht="25.5" x14ac:dyDescent="0.25">
      <c r="A4539" s="106">
        <v>7170</v>
      </c>
      <c r="B4539" s="108" t="s">
        <v>9785</v>
      </c>
      <c r="C4539" s="110" t="s">
        <v>5757</v>
      </c>
      <c r="D4539" s="111">
        <v>2</v>
      </c>
    </row>
    <row r="4540" spans="1:4" ht="25.5" x14ac:dyDescent="0.25">
      <c r="A4540" s="106">
        <v>37524</v>
      </c>
      <c r="B4540" s="108" t="s">
        <v>9786</v>
      </c>
      <c r="C4540" s="110" t="s">
        <v>5767</v>
      </c>
      <c r="D4540" s="111">
        <v>1.91</v>
      </c>
    </row>
    <row r="4541" spans="1:4" ht="25.5" x14ac:dyDescent="0.25">
      <c r="A4541" s="106">
        <v>37525</v>
      </c>
      <c r="B4541" s="108" t="s">
        <v>9787</v>
      </c>
      <c r="C4541" s="110" t="s">
        <v>5767</v>
      </c>
      <c r="D4541" s="111">
        <v>2.2799999999999998</v>
      </c>
    </row>
    <row r="4542" spans="1:4" ht="25.5" x14ac:dyDescent="0.25">
      <c r="A4542" s="106">
        <v>36789</v>
      </c>
      <c r="B4542" s="108" t="s">
        <v>9788</v>
      </c>
      <c r="C4542" s="110" t="s">
        <v>5755</v>
      </c>
      <c r="D4542" s="111">
        <v>2.4700000000000002</v>
      </c>
    </row>
    <row r="4543" spans="1:4" ht="38.25" x14ac:dyDescent="0.25">
      <c r="A4543" s="106">
        <v>7173</v>
      </c>
      <c r="B4543" s="108" t="s">
        <v>9789</v>
      </c>
      <c r="C4543" s="110" t="s">
        <v>6179</v>
      </c>
      <c r="D4543" s="111">
        <v>1600</v>
      </c>
    </row>
    <row r="4544" spans="1:4" ht="38.25" x14ac:dyDescent="0.25">
      <c r="A4544" s="106">
        <v>7175</v>
      </c>
      <c r="B4544" s="108" t="s">
        <v>9790</v>
      </c>
      <c r="C4544" s="110" t="s">
        <v>5755</v>
      </c>
      <c r="D4544" s="111">
        <v>1.81</v>
      </c>
    </row>
    <row r="4545" spans="1:4" ht="25.5" x14ac:dyDescent="0.25">
      <c r="A4545" s="106">
        <v>40741</v>
      </c>
      <c r="B4545" s="108" t="s">
        <v>13089</v>
      </c>
      <c r="C4545" s="110" t="s">
        <v>5755</v>
      </c>
      <c r="D4545" s="111">
        <v>2.0499999999999998</v>
      </c>
    </row>
    <row r="4546" spans="1:4" ht="25.5" x14ac:dyDescent="0.25">
      <c r="A4546" s="106">
        <v>7184</v>
      </c>
      <c r="B4546" s="108" t="s">
        <v>9791</v>
      </c>
      <c r="C4546" s="110" t="s">
        <v>5757</v>
      </c>
      <c r="D4546" s="111">
        <v>32.79</v>
      </c>
    </row>
    <row r="4547" spans="1:4" x14ac:dyDescent="0.25">
      <c r="A4547" s="106">
        <v>34458</v>
      </c>
      <c r="B4547" s="108" t="s">
        <v>9792</v>
      </c>
      <c r="C4547" s="110" t="s">
        <v>5755</v>
      </c>
      <c r="D4547" s="111">
        <v>106.26</v>
      </c>
    </row>
    <row r="4548" spans="1:4" x14ac:dyDescent="0.25">
      <c r="A4548" s="106">
        <v>34464</v>
      </c>
      <c r="B4548" s="108" t="s">
        <v>9793</v>
      </c>
      <c r="C4548" s="110" t="s">
        <v>5755</v>
      </c>
      <c r="D4548" s="111">
        <v>142.56</v>
      </c>
    </row>
    <row r="4549" spans="1:4" x14ac:dyDescent="0.25">
      <c r="A4549" s="106">
        <v>34468</v>
      </c>
      <c r="B4549" s="108" t="s">
        <v>9794</v>
      </c>
      <c r="C4549" s="110" t="s">
        <v>5755</v>
      </c>
      <c r="D4549" s="111">
        <v>164.53</v>
      </c>
    </row>
    <row r="4550" spans="1:4" x14ac:dyDescent="0.25">
      <c r="A4550" s="106">
        <v>34473</v>
      </c>
      <c r="B4550" s="108" t="s">
        <v>9795</v>
      </c>
      <c r="C4550" s="110" t="s">
        <v>5755</v>
      </c>
      <c r="D4550" s="111">
        <v>134.56</v>
      </c>
    </row>
    <row r="4551" spans="1:4" x14ac:dyDescent="0.25">
      <c r="A4551" s="106">
        <v>34480</v>
      </c>
      <c r="B4551" s="108" t="s">
        <v>9796</v>
      </c>
      <c r="C4551" s="110" t="s">
        <v>5755</v>
      </c>
      <c r="D4551" s="111">
        <v>183.5</v>
      </c>
    </row>
    <row r="4552" spans="1:4" x14ac:dyDescent="0.25">
      <c r="A4552" s="106">
        <v>34486</v>
      </c>
      <c r="B4552" s="108" t="s">
        <v>9797</v>
      </c>
      <c r="C4552" s="110" t="s">
        <v>5755</v>
      </c>
      <c r="D4552" s="111">
        <v>205.52</v>
      </c>
    </row>
    <row r="4553" spans="1:4" x14ac:dyDescent="0.25">
      <c r="A4553" s="106">
        <v>7202</v>
      </c>
      <c r="B4553" s="108" t="s">
        <v>9798</v>
      </c>
      <c r="C4553" s="110" t="s">
        <v>5757</v>
      </c>
      <c r="D4553" s="111">
        <v>42.11</v>
      </c>
    </row>
    <row r="4554" spans="1:4" ht="25.5" x14ac:dyDescent="0.25">
      <c r="A4554" s="106">
        <v>7190</v>
      </c>
      <c r="B4554" s="108" t="s">
        <v>9799</v>
      </c>
      <c r="C4554" s="110" t="s">
        <v>5755</v>
      </c>
      <c r="D4554" s="111">
        <v>7.22</v>
      </c>
    </row>
    <row r="4555" spans="1:4" ht="25.5" x14ac:dyDescent="0.25">
      <c r="A4555" s="106">
        <v>34417</v>
      </c>
      <c r="B4555" s="108" t="s">
        <v>9800</v>
      </c>
      <c r="C4555" s="110" t="s">
        <v>5755</v>
      </c>
      <c r="D4555" s="111">
        <v>12.56</v>
      </c>
    </row>
    <row r="4556" spans="1:4" ht="25.5" x14ac:dyDescent="0.25">
      <c r="A4556" s="106">
        <v>7191</v>
      </c>
      <c r="B4556" s="108" t="s">
        <v>9801</v>
      </c>
      <c r="C4556" s="110" t="s">
        <v>5755</v>
      </c>
      <c r="D4556" s="111">
        <v>14.55</v>
      </c>
    </row>
    <row r="4557" spans="1:4" ht="25.5" x14ac:dyDescent="0.25">
      <c r="A4557" s="106">
        <v>7213</v>
      </c>
      <c r="B4557" s="108" t="s">
        <v>9801</v>
      </c>
      <c r="C4557" s="110" t="s">
        <v>5757</v>
      </c>
      <c r="D4557" s="111">
        <v>11.93</v>
      </c>
    </row>
    <row r="4558" spans="1:4" ht="25.5" x14ac:dyDescent="0.25">
      <c r="A4558" s="106">
        <v>7195</v>
      </c>
      <c r="B4558" s="108" t="s">
        <v>9802</v>
      </c>
      <c r="C4558" s="110" t="s">
        <v>5755</v>
      </c>
      <c r="D4558" s="111">
        <v>34.68</v>
      </c>
    </row>
    <row r="4559" spans="1:4" ht="25.5" x14ac:dyDescent="0.25">
      <c r="A4559" s="106">
        <v>7186</v>
      </c>
      <c r="B4559" s="108" t="s">
        <v>9803</v>
      </c>
      <c r="C4559" s="110" t="s">
        <v>5755</v>
      </c>
      <c r="D4559" s="111">
        <v>41.49</v>
      </c>
    </row>
    <row r="4560" spans="1:4" ht="25.5" x14ac:dyDescent="0.25">
      <c r="A4560" s="106">
        <v>7194</v>
      </c>
      <c r="B4560" s="108" t="s">
        <v>9804</v>
      </c>
      <c r="C4560" s="110" t="s">
        <v>5757</v>
      </c>
      <c r="D4560" s="111">
        <v>20.57</v>
      </c>
    </row>
    <row r="4561" spans="1:4" ht="25.5" x14ac:dyDescent="0.25">
      <c r="A4561" s="106">
        <v>7207</v>
      </c>
      <c r="B4561" s="108" t="s">
        <v>9804</v>
      </c>
      <c r="C4561" s="110" t="s">
        <v>5755</v>
      </c>
      <c r="D4561" s="111">
        <v>55.22</v>
      </c>
    </row>
    <row r="4562" spans="1:4" ht="25.5" x14ac:dyDescent="0.25">
      <c r="A4562" s="106">
        <v>7197</v>
      </c>
      <c r="B4562" s="108" t="s">
        <v>9805</v>
      </c>
      <c r="C4562" s="110" t="s">
        <v>5755</v>
      </c>
      <c r="D4562" s="111">
        <v>82.96</v>
      </c>
    </row>
    <row r="4563" spans="1:4" ht="25.5" x14ac:dyDescent="0.25">
      <c r="A4563" s="106">
        <v>7192</v>
      </c>
      <c r="B4563" s="108" t="s">
        <v>9806</v>
      </c>
      <c r="C4563" s="110" t="s">
        <v>5755</v>
      </c>
      <c r="D4563" s="111">
        <v>45.63</v>
      </c>
    </row>
    <row r="4564" spans="1:4" ht="25.5" x14ac:dyDescent="0.25">
      <c r="A4564" s="106">
        <v>7193</v>
      </c>
      <c r="B4564" s="108" t="s">
        <v>9807</v>
      </c>
      <c r="C4564" s="110" t="s">
        <v>5755</v>
      </c>
      <c r="D4564" s="111">
        <v>54.47</v>
      </c>
    </row>
    <row r="4565" spans="1:4" ht="25.5" x14ac:dyDescent="0.25">
      <c r="A4565" s="106">
        <v>7189</v>
      </c>
      <c r="B4565" s="108" t="s">
        <v>9808</v>
      </c>
      <c r="C4565" s="110" t="s">
        <v>5755</v>
      </c>
      <c r="D4565" s="111">
        <v>76.5</v>
      </c>
    </row>
    <row r="4566" spans="1:4" ht="25.5" x14ac:dyDescent="0.25">
      <c r="A4566" s="106">
        <v>7198</v>
      </c>
      <c r="B4566" s="108" t="s">
        <v>9809</v>
      </c>
      <c r="C4566" s="110" t="s">
        <v>5757</v>
      </c>
      <c r="D4566" s="111">
        <v>28.48</v>
      </c>
    </row>
    <row r="4567" spans="1:4" ht="25.5" x14ac:dyDescent="0.25">
      <c r="A4567" s="106">
        <v>34402</v>
      </c>
      <c r="B4567" s="108" t="s">
        <v>9809</v>
      </c>
      <c r="C4567" s="110" t="s">
        <v>5755</v>
      </c>
      <c r="D4567" s="111">
        <v>114.67</v>
      </c>
    </row>
    <row r="4568" spans="1:4" x14ac:dyDescent="0.25">
      <c r="A4568" s="106">
        <v>7245</v>
      </c>
      <c r="B4568" s="108" t="s">
        <v>9810</v>
      </c>
      <c r="C4568" s="110" t="s">
        <v>5755</v>
      </c>
      <c r="D4568" s="111">
        <v>38.549999999999997</v>
      </c>
    </row>
    <row r="4569" spans="1:4" ht="25.5" x14ac:dyDescent="0.25">
      <c r="A4569" s="106">
        <v>34425</v>
      </c>
      <c r="B4569" s="108" t="s">
        <v>9811</v>
      </c>
      <c r="C4569" s="110" t="s">
        <v>5755</v>
      </c>
      <c r="D4569" s="111">
        <v>70.91</v>
      </c>
    </row>
    <row r="4570" spans="1:4" ht="25.5" x14ac:dyDescent="0.25">
      <c r="A4570" s="106">
        <v>7223</v>
      </c>
      <c r="B4570" s="108" t="s">
        <v>9812</v>
      </c>
      <c r="C4570" s="110" t="s">
        <v>5755</v>
      </c>
      <c r="D4570" s="111">
        <v>82.64</v>
      </c>
    </row>
    <row r="4571" spans="1:4" ht="25.5" x14ac:dyDescent="0.25">
      <c r="A4571" s="106">
        <v>7234</v>
      </c>
      <c r="B4571" s="108" t="s">
        <v>9813</v>
      </c>
      <c r="C4571" s="110" t="s">
        <v>5755</v>
      </c>
      <c r="D4571" s="111">
        <v>119.2</v>
      </c>
    </row>
    <row r="4572" spans="1:4" ht="25.5" x14ac:dyDescent="0.25">
      <c r="A4572" s="106">
        <v>7224</v>
      </c>
      <c r="B4572" s="108" t="s">
        <v>9814</v>
      </c>
      <c r="C4572" s="110" t="s">
        <v>5755</v>
      </c>
      <c r="D4572" s="111">
        <v>131.66</v>
      </c>
    </row>
    <row r="4573" spans="1:4" ht="25.5" x14ac:dyDescent="0.25">
      <c r="A4573" s="106">
        <v>7221</v>
      </c>
      <c r="B4573" s="108" t="s">
        <v>9815</v>
      </c>
      <c r="C4573" s="110" t="s">
        <v>5757</v>
      </c>
      <c r="D4573" s="111">
        <v>64.02</v>
      </c>
    </row>
    <row r="4574" spans="1:4" ht="25.5" x14ac:dyDescent="0.25">
      <c r="A4574" s="106">
        <v>7210</v>
      </c>
      <c r="B4574" s="108" t="s">
        <v>9815</v>
      </c>
      <c r="C4574" s="110" t="s">
        <v>5755</v>
      </c>
      <c r="D4574" s="111">
        <v>149.81</v>
      </c>
    </row>
    <row r="4575" spans="1:4" ht="25.5" x14ac:dyDescent="0.25">
      <c r="A4575" s="106">
        <v>7225</v>
      </c>
      <c r="B4575" s="108" t="s">
        <v>9816</v>
      </c>
      <c r="C4575" s="110" t="s">
        <v>5755</v>
      </c>
      <c r="D4575" s="111">
        <v>166.46</v>
      </c>
    </row>
    <row r="4576" spans="1:4" ht="25.5" x14ac:dyDescent="0.25">
      <c r="A4576" s="106">
        <v>7226</v>
      </c>
      <c r="B4576" s="108" t="s">
        <v>9817</v>
      </c>
      <c r="C4576" s="110" t="s">
        <v>5755</v>
      </c>
      <c r="D4576" s="111">
        <v>183.18</v>
      </c>
    </row>
    <row r="4577" spans="1:4" ht="25.5" x14ac:dyDescent="0.25">
      <c r="A4577" s="106">
        <v>7236</v>
      </c>
      <c r="B4577" s="108" t="s">
        <v>9818</v>
      </c>
      <c r="C4577" s="110" t="s">
        <v>5755</v>
      </c>
      <c r="D4577" s="111">
        <v>199.78</v>
      </c>
    </row>
    <row r="4578" spans="1:4" ht="25.5" x14ac:dyDescent="0.25">
      <c r="A4578" s="106">
        <v>7227</v>
      </c>
      <c r="B4578" s="108" t="s">
        <v>9819</v>
      </c>
      <c r="C4578" s="110" t="s">
        <v>5755</v>
      </c>
      <c r="D4578" s="111">
        <v>216.43</v>
      </c>
    </row>
    <row r="4579" spans="1:4" ht="25.5" x14ac:dyDescent="0.25">
      <c r="A4579" s="106">
        <v>7212</v>
      </c>
      <c r="B4579" s="108" t="s">
        <v>9820</v>
      </c>
      <c r="C4579" s="110" t="s">
        <v>5755</v>
      </c>
      <c r="D4579" s="111">
        <v>239.64</v>
      </c>
    </row>
    <row r="4580" spans="1:4" ht="25.5" x14ac:dyDescent="0.25">
      <c r="A4580" s="106">
        <v>7229</v>
      </c>
      <c r="B4580" s="108" t="s">
        <v>9821</v>
      </c>
      <c r="C4580" s="110" t="s">
        <v>5755</v>
      </c>
      <c r="D4580" s="111">
        <v>158.47999999999999</v>
      </c>
    </row>
    <row r="4581" spans="1:4" ht="25.5" x14ac:dyDescent="0.25">
      <c r="A4581" s="106">
        <v>7230</v>
      </c>
      <c r="B4581" s="108" t="s">
        <v>9822</v>
      </c>
      <c r="C4581" s="110" t="s">
        <v>5755</v>
      </c>
      <c r="D4581" s="111">
        <v>252.54</v>
      </c>
    </row>
    <row r="4582" spans="1:4" ht="25.5" x14ac:dyDescent="0.25">
      <c r="A4582" s="106">
        <v>7231</v>
      </c>
      <c r="B4582" s="108" t="s">
        <v>9823</v>
      </c>
      <c r="C4582" s="110" t="s">
        <v>5755</v>
      </c>
      <c r="D4582" s="111">
        <v>331.66</v>
      </c>
    </row>
    <row r="4583" spans="1:4" ht="25.5" x14ac:dyDescent="0.25">
      <c r="A4583" s="106">
        <v>7220</v>
      </c>
      <c r="B4583" s="108" t="s">
        <v>9824</v>
      </c>
      <c r="C4583" s="110" t="s">
        <v>5755</v>
      </c>
      <c r="D4583" s="111">
        <v>407.75</v>
      </c>
    </row>
    <row r="4584" spans="1:4" ht="25.5" x14ac:dyDescent="0.25">
      <c r="A4584" s="106">
        <v>34447</v>
      </c>
      <c r="B4584" s="108" t="s">
        <v>9825</v>
      </c>
      <c r="C4584" s="110" t="s">
        <v>5755</v>
      </c>
      <c r="D4584" s="111">
        <v>453.84</v>
      </c>
    </row>
    <row r="4585" spans="1:4" ht="25.5" x14ac:dyDescent="0.25">
      <c r="A4585" s="106">
        <v>7233</v>
      </c>
      <c r="B4585" s="108" t="s">
        <v>9826</v>
      </c>
      <c r="C4585" s="110" t="s">
        <v>5755</v>
      </c>
      <c r="D4585" s="111">
        <v>508.09</v>
      </c>
    </row>
    <row r="4586" spans="1:4" ht="51" x14ac:dyDescent="0.25">
      <c r="A4586" s="106">
        <v>40740</v>
      </c>
      <c r="B4586" s="108" t="s">
        <v>10762</v>
      </c>
      <c r="C4586" s="110" t="s">
        <v>5757</v>
      </c>
      <c r="D4586" s="111">
        <v>103.09</v>
      </c>
    </row>
    <row r="4587" spans="1:4" ht="25.5" x14ac:dyDescent="0.25">
      <c r="A4587" s="106">
        <v>25007</v>
      </c>
      <c r="B4587" s="108" t="s">
        <v>10763</v>
      </c>
      <c r="C4587" s="110" t="s">
        <v>5757</v>
      </c>
      <c r="D4587" s="111">
        <v>29.5</v>
      </c>
    </row>
    <row r="4588" spans="1:4" ht="63.75" x14ac:dyDescent="0.25">
      <c r="A4588" s="106">
        <v>43071</v>
      </c>
      <c r="B4588" s="108" t="s">
        <v>10764</v>
      </c>
      <c r="C4588" s="110" t="s">
        <v>5757</v>
      </c>
      <c r="D4588" s="111">
        <v>116.08</v>
      </c>
    </row>
    <row r="4589" spans="1:4" ht="63.75" x14ac:dyDescent="0.25">
      <c r="A4589" s="106">
        <v>39520</v>
      </c>
      <c r="B4589" s="108" t="s">
        <v>10765</v>
      </c>
      <c r="C4589" s="110" t="s">
        <v>5757</v>
      </c>
      <c r="D4589" s="111">
        <v>94.7</v>
      </c>
    </row>
    <row r="4590" spans="1:4" ht="63.75" x14ac:dyDescent="0.25">
      <c r="A4590" s="106">
        <v>39521</v>
      </c>
      <c r="B4590" s="108" t="s">
        <v>10766</v>
      </c>
      <c r="C4590" s="110" t="s">
        <v>5757</v>
      </c>
      <c r="D4590" s="111">
        <v>97.8</v>
      </c>
    </row>
    <row r="4591" spans="1:4" ht="51" x14ac:dyDescent="0.25">
      <c r="A4591" s="106">
        <v>39522</v>
      </c>
      <c r="B4591" s="108" t="s">
        <v>10767</v>
      </c>
      <c r="C4591" s="110" t="s">
        <v>5757</v>
      </c>
      <c r="D4591" s="111">
        <v>100.99</v>
      </c>
    </row>
    <row r="4592" spans="1:4" ht="38.25" x14ac:dyDescent="0.25">
      <c r="A4592" s="106">
        <v>7243</v>
      </c>
      <c r="B4592" s="108" t="s">
        <v>10768</v>
      </c>
      <c r="C4592" s="110" t="s">
        <v>5757</v>
      </c>
      <c r="D4592" s="111">
        <v>30.82</v>
      </c>
    </row>
    <row r="4593" spans="1:4" ht="25.5" x14ac:dyDescent="0.25">
      <c r="A4593" s="106">
        <v>11067</v>
      </c>
      <c r="B4593" s="108" t="s">
        <v>10769</v>
      </c>
      <c r="C4593" s="110" t="s">
        <v>5755</v>
      </c>
      <c r="D4593" s="111">
        <v>259.95</v>
      </c>
    </row>
    <row r="4594" spans="1:4" ht="25.5" x14ac:dyDescent="0.25">
      <c r="A4594" s="106">
        <v>11068</v>
      </c>
      <c r="B4594" s="108" t="s">
        <v>10770</v>
      </c>
      <c r="C4594" s="110" t="s">
        <v>5755</v>
      </c>
      <c r="D4594" s="111">
        <v>328.4</v>
      </c>
    </row>
    <row r="4595" spans="1:4" x14ac:dyDescent="0.25">
      <c r="A4595" s="106">
        <v>7246</v>
      </c>
      <c r="B4595" s="108" t="s">
        <v>9827</v>
      </c>
      <c r="C4595" s="110" t="s">
        <v>5755</v>
      </c>
      <c r="D4595" s="111">
        <v>35.869999999999997</v>
      </c>
    </row>
    <row r="4596" spans="1:4" x14ac:dyDescent="0.25">
      <c r="A4596" s="106">
        <v>12869</v>
      </c>
      <c r="B4596" s="108" t="s">
        <v>9828</v>
      </c>
      <c r="C4596" s="110" t="s">
        <v>5759</v>
      </c>
      <c r="D4596" s="111">
        <v>13.95</v>
      </c>
    </row>
    <row r="4597" spans="1:4" x14ac:dyDescent="0.25">
      <c r="A4597" s="106">
        <v>41097</v>
      </c>
      <c r="B4597" s="108" t="s">
        <v>10771</v>
      </c>
      <c r="C4597" s="110" t="s">
        <v>5906</v>
      </c>
      <c r="D4597" s="111">
        <v>2474.75</v>
      </c>
    </row>
    <row r="4598" spans="1:4" ht="25.5" x14ac:dyDescent="0.25">
      <c r="A4598" s="106">
        <v>1574</v>
      </c>
      <c r="B4598" s="108" t="s">
        <v>9829</v>
      </c>
      <c r="C4598" s="110" t="s">
        <v>5755</v>
      </c>
      <c r="D4598" s="111">
        <v>1.17</v>
      </c>
    </row>
    <row r="4599" spans="1:4" ht="25.5" x14ac:dyDescent="0.25">
      <c r="A4599" s="106">
        <v>1581</v>
      </c>
      <c r="B4599" s="108" t="s">
        <v>9830</v>
      </c>
      <c r="C4599" s="110" t="s">
        <v>5755</v>
      </c>
      <c r="D4599" s="111">
        <v>8.11</v>
      </c>
    </row>
    <row r="4600" spans="1:4" ht="25.5" x14ac:dyDescent="0.25">
      <c r="A4600" s="106">
        <v>1575</v>
      </c>
      <c r="B4600" s="108" t="s">
        <v>520</v>
      </c>
      <c r="C4600" s="110" t="s">
        <v>5755</v>
      </c>
      <c r="D4600" s="111">
        <v>1.38</v>
      </c>
    </row>
    <row r="4601" spans="1:4" ht="25.5" x14ac:dyDescent="0.25">
      <c r="A4601" s="106">
        <v>1570</v>
      </c>
      <c r="B4601" s="108" t="s">
        <v>509</v>
      </c>
      <c r="C4601" s="110" t="s">
        <v>5755</v>
      </c>
      <c r="D4601" s="111">
        <v>0.69</v>
      </c>
    </row>
    <row r="4602" spans="1:4" ht="25.5" x14ac:dyDescent="0.25">
      <c r="A4602" s="106">
        <v>1576</v>
      </c>
      <c r="B4602" s="108" t="s">
        <v>9831</v>
      </c>
      <c r="C4602" s="110" t="s">
        <v>5755</v>
      </c>
      <c r="D4602" s="111">
        <v>1.92</v>
      </c>
    </row>
    <row r="4603" spans="1:4" ht="25.5" x14ac:dyDescent="0.25">
      <c r="A4603" s="106">
        <v>1577</v>
      </c>
      <c r="B4603" s="108" t="s">
        <v>530</v>
      </c>
      <c r="C4603" s="110" t="s">
        <v>5755</v>
      </c>
      <c r="D4603" s="111">
        <v>2.16</v>
      </c>
    </row>
    <row r="4604" spans="1:4" ht="25.5" x14ac:dyDescent="0.25">
      <c r="A4604" s="106">
        <v>1571</v>
      </c>
      <c r="B4604" s="108" t="s">
        <v>9832</v>
      </c>
      <c r="C4604" s="110" t="s">
        <v>5755</v>
      </c>
      <c r="D4604" s="111">
        <v>0.9</v>
      </c>
    </row>
    <row r="4605" spans="1:4" ht="25.5" x14ac:dyDescent="0.25">
      <c r="A4605" s="106">
        <v>1578</v>
      </c>
      <c r="B4605" s="108" t="s">
        <v>531</v>
      </c>
      <c r="C4605" s="110" t="s">
        <v>5755</v>
      </c>
      <c r="D4605" s="111">
        <v>3.75</v>
      </c>
    </row>
    <row r="4606" spans="1:4" ht="25.5" x14ac:dyDescent="0.25">
      <c r="A4606" s="106">
        <v>1573</v>
      </c>
      <c r="B4606" s="108" t="s">
        <v>9833</v>
      </c>
      <c r="C4606" s="110" t="s">
        <v>5755</v>
      </c>
      <c r="D4606" s="111">
        <v>1.08</v>
      </c>
    </row>
    <row r="4607" spans="1:4" ht="25.5" x14ac:dyDescent="0.25">
      <c r="A4607" s="106">
        <v>1579</v>
      </c>
      <c r="B4607" s="108" t="s">
        <v>9834</v>
      </c>
      <c r="C4607" s="110" t="s">
        <v>5755</v>
      </c>
      <c r="D4607" s="111">
        <v>4.68</v>
      </c>
    </row>
    <row r="4608" spans="1:4" ht="25.5" x14ac:dyDescent="0.25">
      <c r="A4608" s="106">
        <v>1580</v>
      </c>
      <c r="B4608" s="108" t="s">
        <v>9835</v>
      </c>
      <c r="C4608" s="110" t="s">
        <v>5755</v>
      </c>
      <c r="D4608" s="111">
        <v>5.76</v>
      </c>
    </row>
    <row r="4609" spans="1:4" ht="25.5" x14ac:dyDescent="0.25">
      <c r="A4609" s="106">
        <v>7571</v>
      </c>
      <c r="B4609" s="108" t="s">
        <v>9836</v>
      </c>
      <c r="C4609" s="110" t="s">
        <v>5755</v>
      </c>
      <c r="D4609" s="111">
        <v>10.46</v>
      </c>
    </row>
    <row r="4610" spans="1:4" x14ac:dyDescent="0.25">
      <c r="A4610" s="106">
        <v>39321</v>
      </c>
      <c r="B4610" s="108" t="s">
        <v>608</v>
      </c>
      <c r="C4610" s="110" t="s">
        <v>5755</v>
      </c>
      <c r="D4610" s="111">
        <v>12.31</v>
      </c>
    </row>
    <row r="4611" spans="1:4" x14ac:dyDescent="0.25">
      <c r="A4611" s="106">
        <v>39319</v>
      </c>
      <c r="B4611" s="108" t="s">
        <v>544</v>
      </c>
      <c r="C4611" s="110" t="s">
        <v>5755</v>
      </c>
      <c r="D4611" s="111">
        <v>4.8</v>
      </c>
    </row>
    <row r="4612" spans="1:4" x14ac:dyDescent="0.25">
      <c r="A4612" s="106">
        <v>39320</v>
      </c>
      <c r="B4612" s="108" t="s">
        <v>607</v>
      </c>
      <c r="C4612" s="110" t="s">
        <v>5755</v>
      </c>
      <c r="D4612" s="111">
        <v>7.99</v>
      </c>
    </row>
    <row r="4613" spans="1:4" ht="25.5" x14ac:dyDescent="0.25">
      <c r="A4613" s="106">
        <v>1591</v>
      </c>
      <c r="B4613" s="108" t="s">
        <v>9837</v>
      </c>
      <c r="C4613" s="110" t="s">
        <v>5755</v>
      </c>
      <c r="D4613" s="111">
        <v>17.88</v>
      </c>
    </row>
    <row r="4614" spans="1:4" ht="25.5" x14ac:dyDescent="0.25">
      <c r="A4614" s="106">
        <v>1547</v>
      </c>
      <c r="B4614" s="108" t="s">
        <v>9838</v>
      </c>
      <c r="C4614" s="110" t="s">
        <v>5755</v>
      </c>
      <c r="D4614" s="111">
        <v>93.69</v>
      </c>
    </row>
    <row r="4615" spans="1:4" ht="25.5" x14ac:dyDescent="0.25">
      <c r="A4615" s="106">
        <v>38196</v>
      </c>
      <c r="B4615" s="108" t="s">
        <v>9839</v>
      </c>
      <c r="C4615" s="110" t="s">
        <v>5755</v>
      </c>
      <c r="D4615" s="111">
        <v>18.25</v>
      </c>
    </row>
    <row r="4616" spans="1:4" ht="25.5" x14ac:dyDescent="0.25">
      <c r="A4616" s="106">
        <v>1543</v>
      </c>
      <c r="B4616" s="108" t="s">
        <v>9840</v>
      </c>
      <c r="C4616" s="110" t="s">
        <v>5755</v>
      </c>
      <c r="D4616" s="111">
        <v>19.39</v>
      </c>
    </row>
    <row r="4617" spans="1:4" ht="25.5" x14ac:dyDescent="0.25">
      <c r="A4617" s="106">
        <v>1585</v>
      </c>
      <c r="B4617" s="108" t="s">
        <v>9841</v>
      </c>
      <c r="C4617" s="110" t="s">
        <v>5755</v>
      </c>
      <c r="D4617" s="111">
        <v>3.75</v>
      </c>
    </row>
    <row r="4618" spans="1:4" ht="25.5" x14ac:dyDescent="0.25">
      <c r="A4618" s="106">
        <v>1593</v>
      </c>
      <c r="B4618" s="108" t="s">
        <v>9842</v>
      </c>
      <c r="C4618" s="110" t="s">
        <v>5755</v>
      </c>
      <c r="D4618" s="111">
        <v>19.940000000000001</v>
      </c>
    </row>
    <row r="4619" spans="1:4" ht="25.5" x14ac:dyDescent="0.25">
      <c r="A4619" s="106">
        <v>11838</v>
      </c>
      <c r="B4619" s="108" t="s">
        <v>9843</v>
      </c>
      <c r="C4619" s="110" t="s">
        <v>5755</v>
      </c>
      <c r="D4619" s="111">
        <v>26.31</v>
      </c>
    </row>
    <row r="4620" spans="1:4" ht="25.5" x14ac:dyDescent="0.25">
      <c r="A4620" s="106">
        <v>1594</v>
      </c>
      <c r="B4620" s="108" t="s">
        <v>9844</v>
      </c>
      <c r="C4620" s="110" t="s">
        <v>5755</v>
      </c>
      <c r="D4620" s="111">
        <v>26.6</v>
      </c>
    </row>
    <row r="4621" spans="1:4" ht="25.5" x14ac:dyDescent="0.25">
      <c r="A4621" s="106">
        <v>1586</v>
      </c>
      <c r="B4621" s="108" t="s">
        <v>9845</v>
      </c>
      <c r="C4621" s="110" t="s">
        <v>5755</v>
      </c>
      <c r="D4621" s="111">
        <v>4.75</v>
      </c>
    </row>
    <row r="4622" spans="1:4" ht="25.5" x14ac:dyDescent="0.25">
      <c r="A4622" s="106">
        <v>11839</v>
      </c>
      <c r="B4622" s="108" t="s">
        <v>9846</v>
      </c>
      <c r="C4622" s="110" t="s">
        <v>5755</v>
      </c>
      <c r="D4622" s="111">
        <v>38.29</v>
      </c>
    </row>
    <row r="4623" spans="1:4" ht="25.5" x14ac:dyDescent="0.25">
      <c r="A4623" s="106">
        <v>1587</v>
      </c>
      <c r="B4623" s="108" t="s">
        <v>9847</v>
      </c>
      <c r="C4623" s="110" t="s">
        <v>5755</v>
      </c>
      <c r="D4623" s="111">
        <v>4.84</v>
      </c>
    </row>
    <row r="4624" spans="1:4" ht="25.5" x14ac:dyDescent="0.25">
      <c r="A4624" s="106">
        <v>1545</v>
      </c>
      <c r="B4624" s="108" t="s">
        <v>9848</v>
      </c>
      <c r="C4624" s="110" t="s">
        <v>5755</v>
      </c>
      <c r="D4624" s="111">
        <v>45.94</v>
      </c>
    </row>
    <row r="4625" spans="1:4" ht="25.5" x14ac:dyDescent="0.25">
      <c r="A4625" s="106">
        <v>1588</v>
      </c>
      <c r="B4625" s="108" t="s">
        <v>9849</v>
      </c>
      <c r="C4625" s="110" t="s">
        <v>5755</v>
      </c>
      <c r="D4625" s="111">
        <v>6.64</v>
      </c>
    </row>
    <row r="4626" spans="1:4" ht="25.5" x14ac:dyDescent="0.25">
      <c r="A4626" s="106">
        <v>1535</v>
      </c>
      <c r="B4626" s="108" t="s">
        <v>9850</v>
      </c>
      <c r="C4626" s="110" t="s">
        <v>5755</v>
      </c>
      <c r="D4626" s="111">
        <v>3.82</v>
      </c>
    </row>
    <row r="4627" spans="1:4" ht="25.5" x14ac:dyDescent="0.25">
      <c r="A4627" s="106">
        <v>1589</v>
      </c>
      <c r="B4627" s="108" t="s">
        <v>9851</v>
      </c>
      <c r="C4627" s="110" t="s">
        <v>5755</v>
      </c>
      <c r="D4627" s="111">
        <v>6.85</v>
      </c>
    </row>
    <row r="4628" spans="1:4" ht="25.5" x14ac:dyDescent="0.25">
      <c r="A4628" s="106">
        <v>1546</v>
      </c>
      <c r="B4628" s="108" t="s">
        <v>9852</v>
      </c>
      <c r="C4628" s="110" t="s">
        <v>5755</v>
      </c>
      <c r="D4628" s="111">
        <v>77.53</v>
      </c>
    </row>
    <row r="4629" spans="1:4" ht="25.5" x14ac:dyDescent="0.25">
      <c r="A4629" s="106">
        <v>1590</v>
      </c>
      <c r="B4629" s="108" t="s">
        <v>9853</v>
      </c>
      <c r="C4629" s="110" t="s">
        <v>5755</v>
      </c>
      <c r="D4629" s="111">
        <v>12.06</v>
      </c>
    </row>
    <row r="4630" spans="1:4" ht="25.5" x14ac:dyDescent="0.25">
      <c r="A4630" s="106">
        <v>1542</v>
      </c>
      <c r="B4630" s="108" t="s">
        <v>9854</v>
      </c>
      <c r="C4630" s="110" t="s">
        <v>5755</v>
      </c>
      <c r="D4630" s="111">
        <v>15.97</v>
      </c>
    </row>
    <row r="4631" spans="1:4" ht="25.5" x14ac:dyDescent="0.25">
      <c r="A4631" s="106">
        <v>38415</v>
      </c>
      <c r="B4631" s="108" t="s">
        <v>9855</v>
      </c>
      <c r="C4631" s="110" t="s">
        <v>5755</v>
      </c>
      <c r="D4631" s="111">
        <v>925.46</v>
      </c>
    </row>
    <row r="4632" spans="1:4" ht="25.5" x14ac:dyDescent="0.25">
      <c r="A4632" s="106">
        <v>38414</v>
      </c>
      <c r="B4632" s="108" t="s">
        <v>9856</v>
      </c>
      <c r="C4632" s="110" t="s">
        <v>5755</v>
      </c>
      <c r="D4632" s="111">
        <v>1298.8900000000001</v>
      </c>
    </row>
    <row r="4633" spans="1:4" x14ac:dyDescent="0.25">
      <c r="A4633" s="106">
        <v>38128</v>
      </c>
      <c r="B4633" s="108" t="s">
        <v>9857</v>
      </c>
      <c r="C4633" s="110" t="s">
        <v>5816</v>
      </c>
      <c r="D4633" s="111">
        <v>0.51</v>
      </c>
    </row>
    <row r="4634" spans="1:4" x14ac:dyDescent="0.25">
      <c r="A4634" s="106">
        <v>7253</v>
      </c>
      <c r="B4634" s="108" t="s">
        <v>471</v>
      </c>
      <c r="C4634" s="110" t="s">
        <v>5902</v>
      </c>
      <c r="D4634" s="111">
        <v>109.28</v>
      </c>
    </row>
    <row r="4635" spans="1:4" x14ac:dyDescent="0.25">
      <c r="A4635" s="106">
        <v>4806</v>
      </c>
      <c r="B4635" s="108" t="s">
        <v>9858</v>
      </c>
      <c r="C4635" s="110" t="s">
        <v>5767</v>
      </c>
      <c r="D4635" s="111">
        <v>14.55</v>
      </c>
    </row>
    <row r="4636" spans="1:4" x14ac:dyDescent="0.25">
      <c r="A4636" s="106">
        <v>34401</v>
      </c>
      <c r="B4636" s="108" t="s">
        <v>9859</v>
      </c>
      <c r="C4636" s="110" t="s">
        <v>5755</v>
      </c>
      <c r="D4636" s="111">
        <v>1.1599999999999999</v>
      </c>
    </row>
    <row r="4637" spans="1:4" x14ac:dyDescent="0.25">
      <c r="A4637" s="106">
        <v>7258</v>
      </c>
      <c r="B4637" s="108" t="s">
        <v>9860</v>
      </c>
      <c r="C4637" s="110" t="s">
        <v>5755</v>
      </c>
      <c r="D4637" s="111">
        <v>0.37</v>
      </c>
    </row>
    <row r="4638" spans="1:4" x14ac:dyDescent="0.25">
      <c r="A4638" s="106">
        <v>7260</v>
      </c>
      <c r="B4638" s="108" t="s">
        <v>9861</v>
      </c>
      <c r="C4638" s="110" t="s">
        <v>5755</v>
      </c>
      <c r="D4638" s="111">
        <v>1.1299999999999999</v>
      </c>
    </row>
    <row r="4639" spans="1:4" x14ac:dyDescent="0.25">
      <c r="A4639" s="106">
        <v>7256</v>
      </c>
      <c r="B4639" s="108" t="s">
        <v>9862</v>
      </c>
      <c r="C4639" s="110" t="s">
        <v>5755</v>
      </c>
      <c r="D4639" s="111">
        <v>0.66</v>
      </c>
    </row>
    <row r="4640" spans="1:4" x14ac:dyDescent="0.25">
      <c r="A4640" s="106">
        <v>34400</v>
      </c>
      <c r="B4640" s="108" t="s">
        <v>9863</v>
      </c>
      <c r="C4640" s="110" t="s">
        <v>5755</v>
      </c>
      <c r="D4640" s="111">
        <v>2.84</v>
      </c>
    </row>
    <row r="4641" spans="1:4" x14ac:dyDescent="0.25">
      <c r="A4641" s="106">
        <v>10617</v>
      </c>
      <c r="B4641" s="108" t="s">
        <v>9864</v>
      </c>
      <c r="C4641" s="110" t="s">
        <v>5755</v>
      </c>
      <c r="D4641" s="111">
        <v>3.96</v>
      </c>
    </row>
    <row r="4642" spans="1:4" ht="25.5" x14ac:dyDescent="0.25">
      <c r="A4642" s="106">
        <v>7274</v>
      </c>
      <c r="B4642" s="108" t="s">
        <v>9865</v>
      </c>
      <c r="C4642" s="110" t="s">
        <v>5755</v>
      </c>
      <c r="D4642" s="111">
        <v>29.08</v>
      </c>
    </row>
    <row r="4643" spans="1:4" ht="25.5" x14ac:dyDescent="0.25">
      <c r="A4643" s="106">
        <v>11663</v>
      </c>
      <c r="B4643" s="108" t="s">
        <v>9866</v>
      </c>
      <c r="C4643" s="110" t="s">
        <v>5755</v>
      </c>
      <c r="D4643" s="111">
        <v>239.19</v>
      </c>
    </row>
    <row r="4644" spans="1:4" ht="25.5" x14ac:dyDescent="0.25">
      <c r="A4644" s="106">
        <v>154</v>
      </c>
      <c r="B4644" s="108" t="s">
        <v>10772</v>
      </c>
      <c r="C4644" s="110" t="s">
        <v>5818</v>
      </c>
      <c r="D4644" s="111">
        <v>51.1</v>
      </c>
    </row>
    <row r="4645" spans="1:4" ht="25.5" x14ac:dyDescent="0.25">
      <c r="A4645" s="106">
        <v>38121</v>
      </c>
      <c r="B4645" s="108" t="s">
        <v>9867</v>
      </c>
      <c r="C4645" s="110" t="s">
        <v>5818</v>
      </c>
      <c r="D4645" s="111">
        <v>7.03</v>
      </c>
    </row>
    <row r="4646" spans="1:4" ht="25.5" x14ac:dyDescent="0.25">
      <c r="A4646" s="106">
        <v>7343</v>
      </c>
      <c r="B4646" s="108" t="s">
        <v>9868</v>
      </c>
      <c r="C4646" s="110" t="s">
        <v>5818</v>
      </c>
      <c r="D4646" s="111">
        <v>7.11</v>
      </c>
    </row>
    <row r="4647" spans="1:4" x14ac:dyDescent="0.25">
      <c r="A4647" s="106">
        <v>7350</v>
      </c>
      <c r="B4647" s="108" t="s">
        <v>9869</v>
      </c>
      <c r="C4647" s="110" t="s">
        <v>5818</v>
      </c>
      <c r="D4647" s="111">
        <v>24.45</v>
      </c>
    </row>
    <row r="4648" spans="1:4" x14ac:dyDescent="0.25">
      <c r="A4648" s="106">
        <v>7348</v>
      </c>
      <c r="B4648" s="108" t="s">
        <v>9870</v>
      </c>
      <c r="C4648" s="110" t="s">
        <v>5818</v>
      </c>
      <c r="D4648" s="111">
        <v>13.72</v>
      </c>
    </row>
    <row r="4649" spans="1:4" x14ac:dyDescent="0.25">
      <c r="A4649" s="106">
        <v>7356</v>
      </c>
      <c r="B4649" s="108" t="s">
        <v>9871</v>
      </c>
      <c r="C4649" s="110" t="s">
        <v>5818</v>
      </c>
      <c r="D4649" s="111">
        <v>20.56</v>
      </c>
    </row>
    <row r="4650" spans="1:4" ht="25.5" x14ac:dyDescent="0.25">
      <c r="A4650" s="106">
        <v>7313</v>
      </c>
      <c r="B4650" s="108" t="s">
        <v>9872</v>
      </c>
      <c r="C4650" s="110" t="s">
        <v>5818</v>
      </c>
      <c r="D4650" s="111">
        <v>10.65</v>
      </c>
    </row>
    <row r="4651" spans="1:4" ht="25.5" x14ac:dyDescent="0.25">
      <c r="A4651" s="106">
        <v>7319</v>
      </c>
      <c r="B4651" s="108" t="s">
        <v>9873</v>
      </c>
      <c r="C4651" s="110" t="s">
        <v>5818</v>
      </c>
      <c r="D4651" s="111">
        <v>6.09</v>
      </c>
    </row>
    <row r="4652" spans="1:4" x14ac:dyDescent="0.25">
      <c r="A4652" s="106">
        <v>38119</v>
      </c>
      <c r="B4652" s="108" t="s">
        <v>9874</v>
      </c>
      <c r="C4652" s="110" t="s">
        <v>5818</v>
      </c>
      <c r="D4652" s="111">
        <v>95.61</v>
      </c>
    </row>
    <row r="4653" spans="1:4" x14ac:dyDescent="0.25">
      <c r="A4653" s="106">
        <v>7314</v>
      </c>
      <c r="B4653" s="108" t="s">
        <v>9875</v>
      </c>
      <c r="C4653" s="110" t="s">
        <v>5818</v>
      </c>
      <c r="D4653" s="111">
        <v>103.04</v>
      </c>
    </row>
    <row r="4654" spans="1:4" x14ac:dyDescent="0.25">
      <c r="A4654" s="106">
        <v>38131</v>
      </c>
      <c r="B4654" s="108" t="s">
        <v>9876</v>
      </c>
      <c r="C4654" s="110" t="s">
        <v>5818</v>
      </c>
      <c r="D4654" s="111">
        <v>96.47</v>
      </c>
    </row>
    <row r="4655" spans="1:4" x14ac:dyDescent="0.25">
      <c r="A4655" s="106">
        <v>7304</v>
      </c>
      <c r="B4655" s="108" t="s">
        <v>9877</v>
      </c>
      <c r="C4655" s="110" t="s">
        <v>5818</v>
      </c>
      <c r="D4655" s="111">
        <v>54.96</v>
      </c>
    </row>
    <row r="4656" spans="1:4" ht="25.5" x14ac:dyDescent="0.25">
      <c r="A4656" s="106">
        <v>7293</v>
      </c>
      <c r="B4656" s="108" t="s">
        <v>9878</v>
      </c>
      <c r="C4656" s="110" t="s">
        <v>5818</v>
      </c>
      <c r="D4656" s="111">
        <v>24.64</v>
      </c>
    </row>
    <row r="4657" spans="1:4" x14ac:dyDescent="0.25">
      <c r="A4657" s="106">
        <v>7311</v>
      </c>
      <c r="B4657" s="108" t="s">
        <v>9879</v>
      </c>
      <c r="C4657" s="110" t="s">
        <v>5818</v>
      </c>
      <c r="D4657" s="111">
        <v>23.83</v>
      </c>
    </row>
    <row r="4658" spans="1:4" x14ac:dyDescent="0.25">
      <c r="A4658" s="106">
        <v>7292</v>
      </c>
      <c r="B4658" s="108" t="s">
        <v>9880</v>
      </c>
      <c r="C4658" s="110" t="s">
        <v>5818</v>
      </c>
      <c r="D4658" s="111">
        <v>23.14</v>
      </c>
    </row>
    <row r="4659" spans="1:4" x14ac:dyDescent="0.25">
      <c r="A4659" s="106">
        <v>7288</v>
      </c>
      <c r="B4659" s="108" t="s">
        <v>9881</v>
      </c>
      <c r="C4659" s="110" t="s">
        <v>5818</v>
      </c>
      <c r="D4659" s="111">
        <v>26.22</v>
      </c>
    </row>
    <row r="4660" spans="1:4" x14ac:dyDescent="0.25">
      <c r="A4660" s="106">
        <v>35693</v>
      </c>
      <c r="B4660" s="108" t="s">
        <v>9882</v>
      </c>
      <c r="C4660" s="110" t="s">
        <v>5818</v>
      </c>
      <c r="D4660" s="111">
        <v>9.43</v>
      </c>
    </row>
    <row r="4661" spans="1:4" x14ac:dyDescent="0.25">
      <c r="A4661" s="106">
        <v>35692</v>
      </c>
      <c r="B4661" s="108" t="s">
        <v>9883</v>
      </c>
      <c r="C4661" s="110" t="s">
        <v>5818</v>
      </c>
      <c r="D4661" s="111">
        <v>50.56</v>
      </c>
    </row>
    <row r="4662" spans="1:4" x14ac:dyDescent="0.25">
      <c r="A4662" s="106">
        <v>7342</v>
      </c>
      <c r="B4662" s="108" t="s">
        <v>9884</v>
      </c>
      <c r="C4662" s="110" t="s">
        <v>5816</v>
      </c>
      <c r="D4662" s="111">
        <v>1.1599999999999999</v>
      </c>
    </row>
    <row r="4663" spans="1:4" x14ac:dyDescent="0.25">
      <c r="A4663" s="106">
        <v>7306</v>
      </c>
      <c r="B4663" s="108" t="s">
        <v>9885</v>
      </c>
      <c r="C4663" s="110" t="s">
        <v>5818</v>
      </c>
      <c r="D4663" s="111">
        <v>28.26</v>
      </c>
    </row>
    <row r="4664" spans="1:4" ht="25.5" x14ac:dyDescent="0.25">
      <c r="A4664" s="106">
        <v>39574</v>
      </c>
      <c r="B4664" s="108" t="s">
        <v>445</v>
      </c>
      <c r="C4664" s="110" t="s">
        <v>5755</v>
      </c>
      <c r="D4664" s="111">
        <v>3.33</v>
      </c>
    </row>
    <row r="4665" spans="1:4" ht="25.5" x14ac:dyDescent="0.25">
      <c r="A4665" s="106">
        <v>11060</v>
      </c>
      <c r="B4665" s="108" t="s">
        <v>9886</v>
      </c>
      <c r="C4665" s="110" t="s">
        <v>5755</v>
      </c>
      <c r="D4665" s="111">
        <v>24.51</v>
      </c>
    </row>
    <row r="4666" spans="1:4" ht="25.5" x14ac:dyDescent="0.25">
      <c r="A4666" s="106">
        <v>37401</v>
      </c>
      <c r="B4666" s="108" t="s">
        <v>641</v>
      </c>
      <c r="C4666" s="110" t="s">
        <v>5755</v>
      </c>
      <c r="D4666" s="111">
        <v>48.15</v>
      </c>
    </row>
    <row r="4667" spans="1:4" ht="25.5" x14ac:dyDescent="0.25">
      <c r="A4667" s="106">
        <v>7525</v>
      </c>
      <c r="B4667" s="108" t="s">
        <v>9887</v>
      </c>
      <c r="C4667" s="110" t="s">
        <v>5755</v>
      </c>
      <c r="D4667" s="111">
        <v>27.08</v>
      </c>
    </row>
    <row r="4668" spans="1:4" ht="25.5" x14ac:dyDescent="0.25">
      <c r="A4668" s="106">
        <v>7524</v>
      </c>
      <c r="B4668" s="108" t="s">
        <v>9888</v>
      </c>
      <c r="C4668" s="110" t="s">
        <v>5755</v>
      </c>
      <c r="D4668" s="111">
        <v>25.52</v>
      </c>
    </row>
    <row r="4669" spans="1:4" ht="25.5" x14ac:dyDescent="0.25">
      <c r="A4669" s="106">
        <v>38105</v>
      </c>
      <c r="B4669" s="108" t="s">
        <v>9889</v>
      </c>
      <c r="C4669" s="110" t="s">
        <v>5755</v>
      </c>
      <c r="D4669" s="111">
        <v>6.55</v>
      </c>
    </row>
    <row r="4670" spans="1:4" ht="25.5" x14ac:dyDescent="0.25">
      <c r="A4670" s="106">
        <v>38084</v>
      </c>
      <c r="B4670" s="108" t="s">
        <v>9890</v>
      </c>
      <c r="C4670" s="110" t="s">
        <v>5755</v>
      </c>
      <c r="D4670" s="111">
        <v>9.31</v>
      </c>
    </row>
    <row r="4671" spans="1:4" x14ac:dyDescent="0.25">
      <c r="A4671" s="106">
        <v>38103</v>
      </c>
      <c r="B4671" s="108" t="s">
        <v>9891</v>
      </c>
      <c r="C4671" s="110" t="s">
        <v>5755</v>
      </c>
      <c r="D4671" s="111">
        <v>9.84</v>
      </c>
    </row>
    <row r="4672" spans="1:4" ht="25.5" x14ac:dyDescent="0.25">
      <c r="A4672" s="106">
        <v>38082</v>
      </c>
      <c r="B4672" s="108" t="s">
        <v>9892</v>
      </c>
      <c r="C4672" s="110" t="s">
        <v>5755</v>
      </c>
      <c r="D4672" s="111">
        <v>12.12</v>
      </c>
    </row>
    <row r="4673" spans="1:4" x14ac:dyDescent="0.25">
      <c r="A4673" s="106">
        <v>38104</v>
      </c>
      <c r="B4673" s="108" t="s">
        <v>9893</v>
      </c>
      <c r="C4673" s="110" t="s">
        <v>5755</v>
      </c>
      <c r="D4673" s="111">
        <v>19.27</v>
      </c>
    </row>
    <row r="4674" spans="1:4" ht="25.5" x14ac:dyDescent="0.25">
      <c r="A4674" s="106">
        <v>38083</v>
      </c>
      <c r="B4674" s="108" t="s">
        <v>9894</v>
      </c>
      <c r="C4674" s="110" t="s">
        <v>5755</v>
      </c>
      <c r="D4674" s="111">
        <v>21.39</v>
      </c>
    </row>
    <row r="4675" spans="1:4" x14ac:dyDescent="0.25">
      <c r="A4675" s="106">
        <v>38101</v>
      </c>
      <c r="B4675" s="108" t="s">
        <v>9895</v>
      </c>
      <c r="C4675" s="110" t="s">
        <v>5755</v>
      </c>
      <c r="D4675" s="111">
        <v>4.68</v>
      </c>
    </row>
    <row r="4676" spans="1:4" ht="25.5" x14ac:dyDescent="0.25">
      <c r="A4676" s="106">
        <v>7528</v>
      </c>
      <c r="B4676" s="108" t="s">
        <v>9896</v>
      </c>
      <c r="C4676" s="110" t="s">
        <v>5755</v>
      </c>
      <c r="D4676" s="111">
        <v>5.5</v>
      </c>
    </row>
    <row r="4677" spans="1:4" ht="25.5" x14ac:dyDescent="0.25">
      <c r="A4677" s="106">
        <v>12147</v>
      </c>
      <c r="B4677" s="108" t="s">
        <v>9897</v>
      </c>
      <c r="C4677" s="110" t="s">
        <v>5755</v>
      </c>
      <c r="D4677" s="111">
        <v>8.3800000000000008</v>
      </c>
    </row>
    <row r="4678" spans="1:4" ht="25.5" x14ac:dyDescent="0.25">
      <c r="A4678" s="106">
        <v>38075</v>
      </c>
      <c r="B4678" s="108" t="s">
        <v>9898</v>
      </c>
      <c r="C4678" s="110" t="s">
        <v>5755</v>
      </c>
      <c r="D4678" s="111">
        <v>9.52</v>
      </c>
    </row>
    <row r="4679" spans="1:4" x14ac:dyDescent="0.25">
      <c r="A4679" s="106">
        <v>38102</v>
      </c>
      <c r="B4679" s="108" t="s">
        <v>9899</v>
      </c>
      <c r="C4679" s="110" t="s">
        <v>5755</v>
      </c>
      <c r="D4679" s="111">
        <v>5.98</v>
      </c>
    </row>
    <row r="4680" spans="1:4" ht="25.5" x14ac:dyDescent="0.25">
      <c r="A4680" s="106">
        <v>38076</v>
      </c>
      <c r="B4680" s="108" t="s">
        <v>9900</v>
      </c>
      <c r="C4680" s="110" t="s">
        <v>5755</v>
      </c>
      <c r="D4680" s="111">
        <v>10.68</v>
      </c>
    </row>
    <row r="4681" spans="1:4" x14ac:dyDescent="0.25">
      <c r="A4681" s="106">
        <v>7592</v>
      </c>
      <c r="B4681" s="108" t="s">
        <v>9901</v>
      </c>
      <c r="C4681" s="110" t="s">
        <v>5759</v>
      </c>
      <c r="D4681" s="111">
        <v>12.36</v>
      </c>
    </row>
    <row r="4682" spans="1:4" x14ac:dyDescent="0.25">
      <c r="A4682" s="106">
        <v>40820</v>
      </c>
      <c r="B4682" s="108" t="s">
        <v>9902</v>
      </c>
      <c r="C4682" s="110" t="s">
        <v>5906</v>
      </c>
      <c r="D4682" s="111">
        <v>2191.4299999999998</v>
      </c>
    </row>
    <row r="4683" spans="1:4" ht="25.5" x14ac:dyDescent="0.25">
      <c r="A4683" s="106">
        <v>11762</v>
      </c>
      <c r="B4683" s="108" t="s">
        <v>553</v>
      </c>
      <c r="C4683" s="110" t="s">
        <v>5755</v>
      </c>
      <c r="D4683" s="111">
        <v>56.42</v>
      </c>
    </row>
    <row r="4684" spans="1:4" ht="25.5" x14ac:dyDescent="0.25">
      <c r="A4684" s="106">
        <v>13418</v>
      </c>
      <c r="B4684" s="108" t="s">
        <v>9903</v>
      </c>
      <c r="C4684" s="110" t="s">
        <v>5755</v>
      </c>
      <c r="D4684" s="111">
        <v>15.76</v>
      </c>
    </row>
    <row r="4685" spans="1:4" ht="25.5" x14ac:dyDescent="0.25">
      <c r="A4685" s="106">
        <v>13984</v>
      </c>
      <c r="B4685" s="108" t="s">
        <v>9904</v>
      </c>
      <c r="C4685" s="110" t="s">
        <v>5755</v>
      </c>
      <c r="D4685" s="111">
        <v>39.43</v>
      </c>
    </row>
    <row r="4686" spans="1:4" ht="25.5" x14ac:dyDescent="0.25">
      <c r="A4686" s="106">
        <v>11772</v>
      </c>
      <c r="B4686" s="108" t="s">
        <v>9905</v>
      </c>
      <c r="C4686" s="110" t="s">
        <v>5755</v>
      </c>
      <c r="D4686" s="111">
        <v>95.75</v>
      </c>
    </row>
    <row r="4687" spans="1:4" ht="25.5" x14ac:dyDescent="0.25">
      <c r="A4687" s="106">
        <v>36795</v>
      </c>
      <c r="B4687" s="108" t="s">
        <v>9906</v>
      </c>
      <c r="C4687" s="110" t="s">
        <v>5755</v>
      </c>
      <c r="D4687" s="111">
        <v>615.87</v>
      </c>
    </row>
    <row r="4688" spans="1:4" ht="25.5" x14ac:dyDescent="0.25">
      <c r="A4688" s="106">
        <v>36796</v>
      </c>
      <c r="B4688" s="108" t="s">
        <v>9907</v>
      </c>
      <c r="C4688" s="110" t="s">
        <v>5755</v>
      </c>
      <c r="D4688" s="111">
        <v>158.57</v>
      </c>
    </row>
    <row r="4689" spans="1:4" x14ac:dyDescent="0.25">
      <c r="A4689" s="106">
        <v>36791</v>
      </c>
      <c r="B4689" s="108" t="s">
        <v>9908</v>
      </c>
      <c r="C4689" s="110" t="s">
        <v>5755</v>
      </c>
      <c r="D4689" s="111">
        <v>81.7</v>
      </c>
    </row>
    <row r="4690" spans="1:4" ht="25.5" x14ac:dyDescent="0.25">
      <c r="A4690" s="106">
        <v>13415</v>
      </c>
      <c r="B4690" s="108" t="s">
        <v>9909</v>
      </c>
      <c r="C4690" s="110" t="s">
        <v>5755</v>
      </c>
      <c r="D4690" s="111">
        <v>47.49</v>
      </c>
    </row>
    <row r="4691" spans="1:4" x14ac:dyDescent="0.25">
      <c r="A4691" s="106">
        <v>36792</v>
      </c>
      <c r="B4691" s="108" t="s">
        <v>9910</v>
      </c>
      <c r="C4691" s="110" t="s">
        <v>5755</v>
      </c>
      <c r="D4691" s="111">
        <v>156.16999999999999</v>
      </c>
    </row>
    <row r="4692" spans="1:4" ht="25.5" x14ac:dyDescent="0.25">
      <c r="A4692" s="106">
        <v>11773</v>
      </c>
      <c r="B4692" s="108" t="s">
        <v>9911</v>
      </c>
      <c r="C4692" s="110" t="s">
        <v>5755</v>
      </c>
      <c r="D4692" s="111">
        <v>91.41</v>
      </c>
    </row>
    <row r="4693" spans="1:4" ht="25.5" x14ac:dyDescent="0.25">
      <c r="A4693" s="106">
        <v>11775</v>
      </c>
      <c r="B4693" s="108" t="s">
        <v>9912</v>
      </c>
      <c r="C4693" s="110" t="s">
        <v>5755</v>
      </c>
      <c r="D4693" s="111">
        <v>95.46</v>
      </c>
    </row>
    <row r="4694" spans="1:4" ht="25.5" x14ac:dyDescent="0.25">
      <c r="A4694" s="106">
        <v>13983</v>
      </c>
      <c r="B4694" s="108" t="s">
        <v>468</v>
      </c>
      <c r="C4694" s="110" t="s">
        <v>5755</v>
      </c>
      <c r="D4694" s="111">
        <v>48.77</v>
      </c>
    </row>
    <row r="4695" spans="1:4" ht="25.5" x14ac:dyDescent="0.25">
      <c r="A4695" s="106">
        <v>13416</v>
      </c>
      <c r="B4695" s="108" t="s">
        <v>9913</v>
      </c>
      <c r="C4695" s="110" t="s">
        <v>5755</v>
      </c>
      <c r="D4695" s="111">
        <v>39.33</v>
      </c>
    </row>
    <row r="4696" spans="1:4" x14ac:dyDescent="0.25">
      <c r="A4696" s="106">
        <v>13417</v>
      </c>
      <c r="B4696" s="108" t="s">
        <v>9914</v>
      </c>
      <c r="C4696" s="110" t="s">
        <v>5755</v>
      </c>
      <c r="D4696" s="111">
        <v>34.69</v>
      </c>
    </row>
    <row r="4697" spans="1:4" ht="25.5" x14ac:dyDescent="0.25">
      <c r="A4697" s="106">
        <v>7604</v>
      </c>
      <c r="B4697" s="108" t="s">
        <v>9915</v>
      </c>
      <c r="C4697" s="110" t="s">
        <v>5755</v>
      </c>
      <c r="D4697" s="111">
        <v>15.02</v>
      </c>
    </row>
    <row r="4698" spans="1:4" ht="25.5" x14ac:dyDescent="0.25">
      <c r="A4698" s="106">
        <v>11763</v>
      </c>
      <c r="B4698" s="108" t="s">
        <v>9916</v>
      </c>
      <c r="C4698" s="110" t="s">
        <v>5755</v>
      </c>
      <c r="D4698" s="111">
        <v>69.400000000000006</v>
      </c>
    </row>
    <row r="4699" spans="1:4" ht="25.5" x14ac:dyDescent="0.25">
      <c r="A4699" s="106">
        <v>11764</v>
      </c>
      <c r="B4699" s="108" t="s">
        <v>9917</v>
      </c>
      <c r="C4699" s="110" t="s">
        <v>5755</v>
      </c>
      <c r="D4699" s="111">
        <v>74.13</v>
      </c>
    </row>
    <row r="4700" spans="1:4" ht="25.5" x14ac:dyDescent="0.25">
      <c r="A4700" s="106">
        <v>11829</v>
      </c>
      <c r="B4700" s="108" t="s">
        <v>9918</v>
      </c>
      <c r="C4700" s="110" t="s">
        <v>5755</v>
      </c>
      <c r="D4700" s="111">
        <v>17.760000000000002</v>
      </c>
    </row>
    <row r="4701" spans="1:4" ht="25.5" x14ac:dyDescent="0.25">
      <c r="A4701" s="106">
        <v>11825</v>
      </c>
      <c r="B4701" s="108" t="s">
        <v>9919</v>
      </c>
      <c r="C4701" s="110" t="s">
        <v>5755</v>
      </c>
      <c r="D4701" s="111">
        <v>30.46</v>
      </c>
    </row>
    <row r="4702" spans="1:4" ht="25.5" x14ac:dyDescent="0.25">
      <c r="A4702" s="106">
        <v>11767</v>
      </c>
      <c r="B4702" s="108" t="s">
        <v>9920</v>
      </c>
      <c r="C4702" s="110" t="s">
        <v>5755</v>
      </c>
      <c r="D4702" s="111">
        <v>123.05</v>
      </c>
    </row>
    <row r="4703" spans="1:4" ht="25.5" x14ac:dyDescent="0.25">
      <c r="A4703" s="106">
        <v>11830</v>
      </c>
      <c r="B4703" s="108" t="s">
        <v>9921</v>
      </c>
      <c r="C4703" s="110" t="s">
        <v>5755</v>
      </c>
      <c r="D4703" s="111">
        <v>19.2</v>
      </c>
    </row>
    <row r="4704" spans="1:4" ht="25.5" x14ac:dyDescent="0.25">
      <c r="A4704" s="106">
        <v>11766</v>
      </c>
      <c r="B4704" s="108" t="s">
        <v>9922</v>
      </c>
      <c r="C4704" s="110" t="s">
        <v>5755</v>
      </c>
      <c r="D4704" s="111">
        <v>34.130000000000003</v>
      </c>
    </row>
    <row r="4705" spans="1:4" ht="25.5" x14ac:dyDescent="0.25">
      <c r="A4705" s="106">
        <v>11765</v>
      </c>
      <c r="B4705" s="108" t="s">
        <v>9923</v>
      </c>
      <c r="C4705" s="110" t="s">
        <v>5755</v>
      </c>
      <c r="D4705" s="111">
        <v>46.47</v>
      </c>
    </row>
    <row r="4706" spans="1:4" ht="25.5" x14ac:dyDescent="0.25">
      <c r="A4706" s="106">
        <v>11824</v>
      </c>
      <c r="B4706" s="108" t="s">
        <v>9924</v>
      </c>
      <c r="C4706" s="110" t="s">
        <v>5755</v>
      </c>
      <c r="D4706" s="111">
        <v>35.200000000000003</v>
      </c>
    </row>
    <row r="4707" spans="1:4" ht="25.5" x14ac:dyDescent="0.25">
      <c r="A4707" s="106">
        <v>11777</v>
      </c>
      <c r="B4707" s="108" t="s">
        <v>9925</v>
      </c>
      <c r="C4707" s="110" t="s">
        <v>5755</v>
      </c>
      <c r="D4707" s="111">
        <v>138.22999999999999</v>
      </c>
    </row>
    <row r="4708" spans="1:4" ht="25.5" x14ac:dyDescent="0.25">
      <c r="A4708" s="106">
        <v>7602</v>
      </c>
      <c r="B4708" s="108" t="s">
        <v>619</v>
      </c>
      <c r="C4708" s="110" t="s">
        <v>5755</v>
      </c>
      <c r="D4708" s="111">
        <v>14.89</v>
      </c>
    </row>
    <row r="4709" spans="1:4" ht="25.5" x14ac:dyDescent="0.25">
      <c r="A4709" s="106">
        <v>7603</v>
      </c>
      <c r="B4709" s="108" t="s">
        <v>9926</v>
      </c>
      <c r="C4709" s="110" t="s">
        <v>5755</v>
      </c>
      <c r="D4709" s="111">
        <v>14.44</v>
      </c>
    </row>
    <row r="4710" spans="1:4" ht="25.5" x14ac:dyDescent="0.25">
      <c r="A4710" s="106">
        <v>11826</v>
      </c>
      <c r="B4710" s="108" t="s">
        <v>9927</v>
      </c>
      <c r="C4710" s="110" t="s">
        <v>5755</v>
      </c>
      <c r="D4710" s="111">
        <v>29.56</v>
      </c>
    </row>
    <row r="4711" spans="1:4" ht="25.5" x14ac:dyDescent="0.25">
      <c r="A4711" s="106">
        <v>7606</v>
      </c>
      <c r="B4711" s="108" t="s">
        <v>9928</v>
      </c>
      <c r="C4711" s="110" t="s">
        <v>5755</v>
      </c>
      <c r="D4711" s="111">
        <v>30.8</v>
      </c>
    </row>
    <row r="4712" spans="1:4" ht="38.25" x14ac:dyDescent="0.25">
      <c r="A4712" s="106">
        <v>40329</v>
      </c>
      <c r="B4712" s="108" t="s">
        <v>9929</v>
      </c>
      <c r="C4712" s="110" t="s">
        <v>5755</v>
      </c>
      <c r="D4712" s="111">
        <v>14.9</v>
      </c>
    </row>
    <row r="4713" spans="1:4" ht="25.5" x14ac:dyDescent="0.25">
      <c r="A4713" s="106">
        <v>11823</v>
      </c>
      <c r="B4713" s="108" t="s">
        <v>9930</v>
      </c>
      <c r="C4713" s="110" t="s">
        <v>5755</v>
      </c>
      <c r="D4713" s="111">
        <v>6.44</v>
      </c>
    </row>
    <row r="4714" spans="1:4" x14ac:dyDescent="0.25">
      <c r="A4714" s="106">
        <v>11822</v>
      </c>
      <c r="B4714" s="108" t="s">
        <v>9931</v>
      </c>
      <c r="C4714" s="110" t="s">
        <v>5755</v>
      </c>
      <c r="D4714" s="111">
        <v>35.08</v>
      </c>
    </row>
    <row r="4715" spans="1:4" ht="25.5" x14ac:dyDescent="0.25">
      <c r="A4715" s="106">
        <v>11831</v>
      </c>
      <c r="B4715" s="108" t="s">
        <v>9932</v>
      </c>
      <c r="C4715" s="110" t="s">
        <v>5755</v>
      </c>
      <c r="D4715" s="111">
        <v>26.64</v>
      </c>
    </row>
    <row r="4716" spans="1:4" ht="38.25" x14ac:dyDescent="0.25">
      <c r="A4716" s="106">
        <v>7613</v>
      </c>
      <c r="B4716" s="108" t="s">
        <v>9933</v>
      </c>
      <c r="C4716" s="110" t="s">
        <v>5755</v>
      </c>
      <c r="D4716" s="111">
        <v>55959.45</v>
      </c>
    </row>
    <row r="4717" spans="1:4" ht="38.25" x14ac:dyDescent="0.25">
      <c r="A4717" s="106">
        <v>7619</v>
      </c>
      <c r="B4717" s="108" t="s">
        <v>9934</v>
      </c>
      <c r="C4717" s="110" t="s">
        <v>5755</v>
      </c>
      <c r="D4717" s="111">
        <v>8650.1299999999992</v>
      </c>
    </row>
    <row r="4718" spans="1:4" ht="38.25" x14ac:dyDescent="0.25">
      <c r="A4718" s="106">
        <v>12076</v>
      </c>
      <c r="B4718" s="108" t="s">
        <v>9935</v>
      </c>
      <c r="C4718" s="110" t="s">
        <v>5755</v>
      </c>
      <c r="D4718" s="111">
        <v>3967.95</v>
      </c>
    </row>
    <row r="4719" spans="1:4" ht="38.25" x14ac:dyDescent="0.25">
      <c r="A4719" s="106">
        <v>7614</v>
      </c>
      <c r="B4719" s="108" t="s">
        <v>9936</v>
      </c>
      <c r="C4719" s="110" t="s">
        <v>5755</v>
      </c>
      <c r="D4719" s="111">
        <v>10909.88</v>
      </c>
    </row>
    <row r="4720" spans="1:4" ht="38.25" x14ac:dyDescent="0.25">
      <c r="A4720" s="106">
        <v>7618</v>
      </c>
      <c r="B4720" s="108" t="s">
        <v>9937</v>
      </c>
      <c r="C4720" s="110" t="s">
        <v>5755</v>
      </c>
      <c r="D4720" s="111">
        <v>70758.77</v>
      </c>
    </row>
    <row r="4721" spans="1:4" ht="38.25" x14ac:dyDescent="0.25">
      <c r="A4721" s="106">
        <v>7620</v>
      </c>
      <c r="B4721" s="108" t="s">
        <v>9938</v>
      </c>
      <c r="C4721" s="110" t="s">
        <v>5755</v>
      </c>
      <c r="D4721" s="111">
        <v>15304.95</v>
      </c>
    </row>
    <row r="4722" spans="1:4" ht="38.25" x14ac:dyDescent="0.25">
      <c r="A4722" s="106">
        <v>7610</v>
      </c>
      <c r="B4722" s="108" t="s">
        <v>9939</v>
      </c>
      <c r="C4722" s="110" t="s">
        <v>5755</v>
      </c>
      <c r="D4722" s="111">
        <v>4846.5600000000004</v>
      </c>
    </row>
    <row r="4723" spans="1:4" ht="38.25" x14ac:dyDescent="0.25">
      <c r="A4723" s="106">
        <v>7615</v>
      </c>
      <c r="B4723" s="108" t="s">
        <v>9940</v>
      </c>
      <c r="C4723" s="110" t="s">
        <v>5755</v>
      </c>
      <c r="D4723" s="111">
        <v>17855.78</v>
      </c>
    </row>
    <row r="4724" spans="1:4" ht="38.25" x14ac:dyDescent="0.25">
      <c r="A4724" s="106">
        <v>7617</v>
      </c>
      <c r="B4724" s="108" t="s">
        <v>9941</v>
      </c>
      <c r="C4724" s="110" t="s">
        <v>5755</v>
      </c>
      <c r="D4724" s="111">
        <v>5413.41</v>
      </c>
    </row>
    <row r="4725" spans="1:4" ht="38.25" x14ac:dyDescent="0.25">
      <c r="A4725" s="106">
        <v>7616</v>
      </c>
      <c r="B4725" s="108" t="s">
        <v>9942</v>
      </c>
      <c r="C4725" s="110" t="s">
        <v>5755</v>
      </c>
      <c r="D4725" s="111">
        <v>29137.8</v>
      </c>
    </row>
    <row r="4726" spans="1:4" ht="38.25" x14ac:dyDescent="0.25">
      <c r="A4726" s="106">
        <v>7611</v>
      </c>
      <c r="B4726" s="108" t="s">
        <v>9943</v>
      </c>
      <c r="C4726" s="110" t="s">
        <v>5755</v>
      </c>
      <c r="D4726" s="111">
        <v>7000.6</v>
      </c>
    </row>
    <row r="4727" spans="1:4" ht="38.25" x14ac:dyDescent="0.25">
      <c r="A4727" s="106">
        <v>7612</v>
      </c>
      <c r="B4727" s="108" t="s">
        <v>9944</v>
      </c>
      <c r="C4727" s="110" t="s">
        <v>5755</v>
      </c>
      <c r="D4727" s="111">
        <v>39967.47</v>
      </c>
    </row>
    <row r="4728" spans="1:4" x14ac:dyDescent="0.25">
      <c r="A4728" s="106">
        <v>37371</v>
      </c>
      <c r="B4728" s="108" t="s">
        <v>9945</v>
      </c>
      <c r="C4728" s="110" t="s">
        <v>5759</v>
      </c>
      <c r="D4728" s="111">
        <v>0.71</v>
      </c>
    </row>
    <row r="4729" spans="1:4" x14ac:dyDescent="0.25">
      <c r="A4729" s="106">
        <v>40861</v>
      </c>
      <c r="B4729" s="108" t="s">
        <v>9946</v>
      </c>
      <c r="C4729" s="110" t="s">
        <v>5906</v>
      </c>
      <c r="D4729" s="111">
        <v>133.68</v>
      </c>
    </row>
    <row r="4730" spans="1:4" ht="25.5" x14ac:dyDescent="0.25">
      <c r="A4730" s="106">
        <v>36510</v>
      </c>
      <c r="B4730" s="108" t="s">
        <v>9947</v>
      </c>
      <c r="C4730" s="110" t="s">
        <v>5755</v>
      </c>
      <c r="D4730" s="111">
        <v>548623.82999999996</v>
      </c>
    </row>
    <row r="4731" spans="1:4" ht="25.5" x14ac:dyDescent="0.25">
      <c r="A4731" s="106">
        <v>25020</v>
      </c>
      <c r="B4731" s="108" t="s">
        <v>9948</v>
      </c>
      <c r="C4731" s="110" t="s">
        <v>5755</v>
      </c>
      <c r="D4731" s="111">
        <v>2260137.15</v>
      </c>
    </row>
    <row r="4732" spans="1:4" ht="25.5" x14ac:dyDescent="0.25">
      <c r="A4732" s="106">
        <v>7622</v>
      </c>
      <c r="B4732" s="108" t="s">
        <v>9949</v>
      </c>
      <c r="C4732" s="110" t="s">
        <v>5755</v>
      </c>
      <c r="D4732" s="111">
        <v>532245.30000000005</v>
      </c>
    </row>
    <row r="4733" spans="1:4" ht="25.5" x14ac:dyDescent="0.25">
      <c r="A4733" s="106">
        <v>7624</v>
      </c>
      <c r="B4733" s="108" t="s">
        <v>9950</v>
      </c>
      <c r="C4733" s="110" t="s">
        <v>5755</v>
      </c>
      <c r="D4733" s="111">
        <v>690000</v>
      </c>
    </row>
    <row r="4734" spans="1:4" ht="25.5" x14ac:dyDescent="0.25">
      <c r="A4734" s="106">
        <v>7625</v>
      </c>
      <c r="B4734" s="108" t="s">
        <v>9951</v>
      </c>
      <c r="C4734" s="110" t="s">
        <v>5755</v>
      </c>
      <c r="D4734" s="111">
        <v>685779.75</v>
      </c>
    </row>
    <row r="4735" spans="1:4" ht="25.5" x14ac:dyDescent="0.25">
      <c r="A4735" s="106">
        <v>7623</v>
      </c>
      <c r="B4735" s="108" t="s">
        <v>9952</v>
      </c>
      <c r="C4735" s="110" t="s">
        <v>5755</v>
      </c>
      <c r="D4735" s="111">
        <v>2260137.15</v>
      </c>
    </row>
    <row r="4736" spans="1:4" ht="38.25" x14ac:dyDescent="0.25">
      <c r="A4736" s="106">
        <v>36508</v>
      </c>
      <c r="B4736" s="108" t="s">
        <v>9953</v>
      </c>
      <c r="C4736" s="110" t="s">
        <v>5755</v>
      </c>
      <c r="D4736" s="111">
        <v>1016473.36</v>
      </c>
    </row>
    <row r="4737" spans="1:4" ht="25.5" x14ac:dyDescent="0.25">
      <c r="A4737" s="106">
        <v>36509</v>
      </c>
      <c r="B4737" s="108" t="s">
        <v>9954</v>
      </c>
      <c r="C4737" s="110" t="s">
        <v>5755</v>
      </c>
      <c r="D4737" s="111">
        <v>557064.18000000005</v>
      </c>
    </row>
    <row r="4738" spans="1:4" ht="25.5" x14ac:dyDescent="0.25">
      <c r="A4738" s="106">
        <v>13238</v>
      </c>
      <c r="B4738" s="108" t="s">
        <v>9955</v>
      </c>
      <c r="C4738" s="110" t="s">
        <v>5755</v>
      </c>
      <c r="D4738" s="111">
        <v>158971.95000000001</v>
      </c>
    </row>
    <row r="4739" spans="1:4" ht="25.5" x14ac:dyDescent="0.25">
      <c r="A4739" s="106">
        <v>36511</v>
      </c>
      <c r="B4739" s="108" t="s">
        <v>9956</v>
      </c>
      <c r="C4739" s="110" t="s">
        <v>5755</v>
      </c>
      <c r="D4739" s="111">
        <v>184205.59</v>
      </c>
    </row>
    <row r="4740" spans="1:4" ht="25.5" x14ac:dyDescent="0.25">
      <c r="A4740" s="106">
        <v>36515</v>
      </c>
      <c r="B4740" s="108" t="s">
        <v>9957</v>
      </c>
      <c r="C4740" s="110" t="s">
        <v>5755</v>
      </c>
      <c r="D4740" s="111">
        <v>54252.32</v>
      </c>
    </row>
    <row r="4741" spans="1:4" ht="25.5" x14ac:dyDescent="0.25">
      <c r="A4741" s="106">
        <v>10598</v>
      </c>
      <c r="B4741" s="108" t="s">
        <v>9958</v>
      </c>
      <c r="C4741" s="110" t="s">
        <v>5755</v>
      </c>
      <c r="D4741" s="111">
        <v>87978.35</v>
      </c>
    </row>
    <row r="4742" spans="1:4" ht="25.5" x14ac:dyDescent="0.25">
      <c r="A4742" s="106">
        <v>7640</v>
      </c>
      <c r="B4742" s="108" t="s">
        <v>9959</v>
      </c>
      <c r="C4742" s="110" t="s">
        <v>5755</v>
      </c>
      <c r="D4742" s="111">
        <v>135000</v>
      </c>
    </row>
    <row r="4743" spans="1:4" ht="25.5" x14ac:dyDescent="0.25">
      <c r="A4743" s="106">
        <v>36513</v>
      </c>
      <c r="B4743" s="108" t="s">
        <v>9960</v>
      </c>
      <c r="C4743" s="110" t="s">
        <v>5755</v>
      </c>
      <c r="D4743" s="111">
        <v>130047.88</v>
      </c>
    </row>
    <row r="4744" spans="1:4" ht="25.5" x14ac:dyDescent="0.25">
      <c r="A4744" s="106">
        <v>36514</v>
      </c>
      <c r="B4744" s="108" t="s">
        <v>9961</v>
      </c>
      <c r="C4744" s="110" t="s">
        <v>5755</v>
      </c>
      <c r="D4744" s="111">
        <v>145093.45000000001</v>
      </c>
    </row>
    <row r="4745" spans="1:4" ht="25.5" x14ac:dyDescent="0.25">
      <c r="A4745" s="106">
        <v>36149</v>
      </c>
      <c r="B4745" s="108" t="s">
        <v>9962</v>
      </c>
      <c r="C4745" s="110" t="s">
        <v>5755</v>
      </c>
      <c r="D4745" s="111">
        <v>140.41</v>
      </c>
    </row>
    <row r="4746" spans="1:4" ht="38.25" x14ac:dyDescent="0.25">
      <c r="A4746" s="106">
        <v>42407</v>
      </c>
      <c r="B4746" s="108" t="s">
        <v>10773</v>
      </c>
      <c r="C4746" s="110" t="s">
        <v>5767</v>
      </c>
      <c r="D4746" s="111">
        <v>4.53</v>
      </c>
    </row>
    <row r="4747" spans="1:4" ht="25.5" x14ac:dyDescent="0.25">
      <c r="A4747" s="106">
        <v>11581</v>
      </c>
      <c r="B4747" s="108" t="s">
        <v>9963</v>
      </c>
      <c r="C4747" s="110" t="s">
        <v>5767</v>
      </c>
      <c r="D4747" s="111">
        <v>25.52</v>
      </c>
    </row>
    <row r="4748" spans="1:4" ht="25.5" x14ac:dyDescent="0.25">
      <c r="A4748" s="106">
        <v>11580</v>
      </c>
      <c r="B4748" s="108" t="s">
        <v>9964</v>
      </c>
      <c r="C4748" s="110" t="s">
        <v>5767</v>
      </c>
      <c r="D4748" s="111">
        <v>11.62</v>
      </c>
    </row>
    <row r="4749" spans="1:4" ht="25.5" x14ac:dyDescent="0.25">
      <c r="A4749" s="106">
        <v>38177</v>
      </c>
      <c r="B4749" s="108" t="s">
        <v>9965</v>
      </c>
      <c r="C4749" s="110" t="s">
        <v>5755</v>
      </c>
      <c r="D4749" s="111">
        <v>7.88</v>
      </c>
    </row>
    <row r="4750" spans="1:4" x14ac:dyDescent="0.25">
      <c r="A4750" s="106">
        <v>10743</v>
      </c>
      <c r="B4750" s="108" t="s">
        <v>9966</v>
      </c>
      <c r="C4750" s="110" t="s">
        <v>5755</v>
      </c>
      <c r="D4750" s="111">
        <v>547.79</v>
      </c>
    </row>
    <row r="4751" spans="1:4" ht="38.25" x14ac:dyDescent="0.25">
      <c r="A4751" s="106">
        <v>39848</v>
      </c>
      <c r="B4751" s="108" t="s">
        <v>9967</v>
      </c>
      <c r="C4751" s="110" t="s">
        <v>5767</v>
      </c>
      <c r="D4751" s="111">
        <v>1.28</v>
      </c>
    </row>
    <row r="4752" spans="1:4" ht="25.5" x14ac:dyDescent="0.25">
      <c r="A4752" s="106">
        <v>20999</v>
      </c>
      <c r="B4752" s="108" t="s">
        <v>9968</v>
      </c>
      <c r="C4752" s="110" t="s">
        <v>5767</v>
      </c>
      <c r="D4752" s="111">
        <v>7.56</v>
      </c>
    </row>
    <row r="4753" spans="1:4" ht="25.5" x14ac:dyDescent="0.25">
      <c r="A4753" s="106">
        <v>21001</v>
      </c>
      <c r="B4753" s="108" t="s">
        <v>9969</v>
      </c>
      <c r="C4753" s="110" t="s">
        <v>5767</v>
      </c>
      <c r="D4753" s="111">
        <v>14.11</v>
      </c>
    </row>
    <row r="4754" spans="1:4" ht="25.5" x14ac:dyDescent="0.25">
      <c r="A4754" s="106">
        <v>21003</v>
      </c>
      <c r="B4754" s="108" t="s">
        <v>9970</v>
      </c>
      <c r="C4754" s="110" t="s">
        <v>5767</v>
      </c>
      <c r="D4754" s="111">
        <v>23.18</v>
      </c>
    </row>
    <row r="4755" spans="1:4" ht="25.5" x14ac:dyDescent="0.25">
      <c r="A4755" s="106">
        <v>21006</v>
      </c>
      <c r="B4755" s="108" t="s">
        <v>9971</v>
      </c>
      <c r="C4755" s="110" t="s">
        <v>5767</v>
      </c>
      <c r="D4755" s="111">
        <v>49.2</v>
      </c>
    </row>
    <row r="4756" spans="1:4" ht="25.5" x14ac:dyDescent="0.25">
      <c r="A4756" s="106">
        <v>21019</v>
      </c>
      <c r="B4756" s="108" t="s">
        <v>9972</v>
      </c>
      <c r="C4756" s="110" t="s">
        <v>5767</v>
      </c>
      <c r="D4756" s="111">
        <v>17.100000000000001</v>
      </c>
    </row>
    <row r="4757" spans="1:4" ht="25.5" x14ac:dyDescent="0.25">
      <c r="A4757" s="106">
        <v>21021</v>
      </c>
      <c r="B4757" s="108" t="s">
        <v>9973</v>
      </c>
      <c r="C4757" s="110" t="s">
        <v>5767</v>
      </c>
      <c r="D4757" s="111">
        <v>27.04</v>
      </c>
    </row>
    <row r="4758" spans="1:4" ht="25.5" x14ac:dyDescent="0.25">
      <c r="A4758" s="106">
        <v>21024</v>
      </c>
      <c r="B4758" s="108" t="s">
        <v>9974</v>
      </c>
      <c r="C4758" s="110" t="s">
        <v>5767</v>
      </c>
      <c r="D4758" s="111">
        <v>57.93</v>
      </c>
    </row>
    <row r="4759" spans="1:4" ht="25.5" x14ac:dyDescent="0.25">
      <c r="A4759" s="106">
        <v>40624</v>
      </c>
      <c r="B4759" s="108" t="s">
        <v>9975</v>
      </c>
      <c r="C4759" s="110" t="s">
        <v>5767</v>
      </c>
      <c r="D4759" s="111">
        <v>42.26</v>
      </c>
    </row>
    <row r="4760" spans="1:4" ht="25.5" x14ac:dyDescent="0.25">
      <c r="A4760" s="106">
        <v>13127</v>
      </c>
      <c r="B4760" s="108" t="s">
        <v>9976</v>
      </c>
      <c r="C4760" s="110" t="s">
        <v>5767</v>
      </c>
      <c r="D4760" s="111">
        <v>18.850000000000001</v>
      </c>
    </row>
    <row r="4761" spans="1:4" ht="25.5" x14ac:dyDescent="0.25">
      <c r="A4761" s="106">
        <v>13137</v>
      </c>
      <c r="B4761" s="108" t="s">
        <v>9977</v>
      </c>
      <c r="C4761" s="110" t="s">
        <v>5767</v>
      </c>
      <c r="D4761" s="111">
        <v>25.01</v>
      </c>
    </row>
    <row r="4762" spans="1:4" ht="25.5" x14ac:dyDescent="0.25">
      <c r="A4762" s="106">
        <v>20989</v>
      </c>
      <c r="B4762" s="108" t="s">
        <v>9978</v>
      </c>
      <c r="C4762" s="110" t="s">
        <v>5767</v>
      </c>
      <c r="D4762" s="111">
        <v>896.15</v>
      </c>
    </row>
    <row r="4763" spans="1:4" ht="25.5" x14ac:dyDescent="0.25">
      <c r="A4763" s="106">
        <v>21147</v>
      </c>
      <c r="B4763" s="108" t="s">
        <v>9979</v>
      </c>
      <c r="C4763" s="110" t="s">
        <v>5767</v>
      </c>
      <c r="D4763" s="111">
        <v>84.02</v>
      </c>
    </row>
    <row r="4764" spans="1:4" ht="25.5" x14ac:dyDescent="0.25">
      <c r="A4764" s="106">
        <v>21148</v>
      </c>
      <c r="B4764" s="108" t="s">
        <v>9980</v>
      </c>
      <c r="C4764" s="110" t="s">
        <v>5767</v>
      </c>
      <c r="D4764" s="111">
        <v>51.86</v>
      </c>
    </row>
    <row r="4765" spans="1:4" ht="25.5" x14ac:dyDescent="0.25">
      <c r="A4765" s="106">
        <v>20984</v>
      </c>
      <c r="B4765" s="108" t="s">
        <v>9981</v>
      </c>
      <c r="C4765" s="110" t="s">
        <v>5767</v>
      </c>
      <c r="D4765" s="111">
        <v>1719.54</v>
      </c>
    </row>
    <row r="4766" spans="1:4" ht="25.5" x14ac:dyDescent="0.25">
      <c r="A4766" s="106">
        <v>13042</v>
      </c>
      <c r="B4766" s="108" t="s">
        <v>9982</v>
      </c>
      <c r="C4766" s="110" t="s">
        <v>5767</v>
      </c>
      <c r="D4766" s="111">
        <v>952.88</v>
      </c>
    </row>
    <row r="4767" spans="1:4" ht="25.5" x14ac:dyDescent="0.25">
      <c r="A4767" s="106">
        <v>21150</v>
      </c>
      <c r="B4767" s="108" t="s">
        <v>9983</v>
      </c>
      <c r="C4767" s="110" t="s">
        <v>5767</v>
      </c>
      <c r="D4767" s="111">
        <v>25.71</v>
      </c>
    </row>
    <row r="4768" spans="1:4" ht="25.5" x14ac:dyDescent="0.25">
      <c r="A4768" s="106">
        <v>13141</v>
      </c>
      <c r="B4768" s="108" t="s">
        <v>9984</v>
      </c>
      <c r="C4768" s="110" t="s">
        <v>5767</v>
      </c>
      <c r="D4768" s="111">
        <v>32.4</v>
      </c>
    </row>
    <row r="4769" spans="1:4" ht="25.5" x14ac:dyDescent="0.25">
      <c r="A4769" s="106">
        <v>21151</v>
      </c>
      <c r="B4769" s="108" t="s">
        <v>9985</v>
      </c>
      <c r="C4769" s="110" t="s">
        <v>5767</v>
      </c>
      <c r="D4769" s="111">
        <v>153.91999999999999</v>
      </c>
    </row>
    <row r="4770" spans="1:4" ht="25.5" x14ac:dyDescent="0.25">
      <c r="A4770" s="106">
        <v>13142</v>
      </c>
      <c r="B4770" s="108" t="s">
        <v>9986</v>
      </c>
      <c r="C4770" s="110" t="s">
        <v>5767</v>
      </c>
      <c r="D4770" s="111">
        <v>220.04</v>
      </c>
    </row>
    <row r="4771" spans="1:4" ht="25.5" x14ac:dyDescent="0.25">
      <c r="A4771" s="106">
        <v>20994</v>
      </c>
      <c r="B4771" s="108" t="s">
        <v>9987</v>
      </c>
      <c r="C4771" s="110" t="s">
        <v>5767</v>
      </c>
      <c r="D4771" s="111">
        <v>414.87</v>
      </c>
    </row>
    <row r="4772" spans="1:4" ht="25.5" x14ac:dyDescent="0.25">
      <c r="A4772" s="106">
        <v>7672</v>
      </c>
      <c r="B4772" s="108" t="s">
        <v>9988</v>
      </c>
      <c r="C4772" s="110" t="s">
        <v>5767</v>
      </c>
      <c r="D4772" s="111">
        <v>271.77999999999997</v>
      </c>
    </row>
    <row r="4773" spans="1:4" ht="25.5" x14ac:dyDescent="0.25">
      <c r="A4773" s="106">
        <v>20995</v>
      </c>
      <c r="B4773" s="108" t="s">
        <v>9989</v>
      </c>
      <c r="C4773" s="110" t="s">
        <v>5767</v>
      </c>
      <c r="D4773" s="111">
        <v>545.22</v>
      </c>
    </row>
    <row r="4774" spans="1:4" ht="25.5" x14ac:dyDescent="0.25">
      <c r="A4774" s="106">
        <v>7690</v>
      </c>
      <c r="B4774" s="108" t="s">
        <v>9990</v>
      </c>
      <c r="C4774" s="110" t="s">
        <v>5767</v>
      </c>
      <c r="D4774" s="111">
        <v>315.33</v>
      </c>
    </row>
    <row r="4775" spans="1:4" ht="25.5" x14ac:dyDescent="0.25">
      <c r="A4775" s="106">
        <v>20980</v>
      </c>
      <c r="B4775" s="108" t="s">
        <v>9991</v>
      </c>
      <c r="C4775" s="110" t="s">
        <v>5767</v>
      </c>
      <c r="D4775" s="111">
        <v>344</v>
      </c>
    </row>
    <row r="4776" spans="1:4" ht="25.5" x14ac:dyDescent="0.25">
      <c r="A4776" s="106">
        <v>7661</v>
      </c>
      <c r="B4776" s="108" t="s">
        <v>9992</v>
      </c>
      <c r="C4776" s="110" t="s">
        <v>5767</v>
      </c>
      <c r="D4776" s="111">
        <v>409.22</v>
      </c>
    </row>
    <row r="4777" spans="1:4" ht="25.5" x14ac:dyDescent="0.25">
      <c r="A4777" s="106">
        <v>21016</v>
      </c>
      <c r="B4777" s="108" t="s">
        <v>9993</v>
      </c>
      <c r="C4777" s="110" t="s">
        <v>5767</v>
      </c>
      <c r="D4777" s="111">
        <v>91.71</v>
      </c>
    </row>
    <row r="4778" spans="1:4" ht="25.5" x14ac:dyDescent="0.25">
      <c r="A4778" s="106">
        <v>21008</v>
      </c>
      <c r="B4778" s="108" t="s">
        <v>9994</v>
      </c>
      <c r="C4778" s="110" t="s">
        <v>5767</v>
      </c>
      <c r="D4778" s="111">
        <v>10.71</v>
      </c>
    </row>
    <row r="4779" spans="1:4" ht="25.5" x14ac:dyDescent="0.25">
      <c r="A4779" s="106">
        <v>21009</v>
      </c>
      <c r="B4779" s="108" t="s">
        <v>9995</v>
      </c>
      <c r="C4779" s="110" t="s">
        <v>5767</v>
      </c>
      <c r="D4779" s="111">
        <v>13.95</v>
      </c>
    </row>
    <row r="4780" spans="1:4" ht="25.5" x14ac:dyDescent="0.25">
      <c r="A4780" s="106">
        <v>21010</v>
      </c>
      <c r="B4780" s="108" t="s">
        <v>9996</v>
      </c>
      <c r="C4780" s="110" t="s">
        <v>5767</v>
      </c>
      <c r="D4780" s="111">
        <v>18.73</v>
      </c>
    </row>
    <row r="4781" spans="1:4" ht="25.5" x14ac:dyDescent="0.25">
      <c r="A4781" s="106">
        <v>21011</v>
      </c>
      <c r="B4781" s="108" t="s">
        <v>9997</v>
      </c>
      <c r="C4781" s="110" t="s">
        <v>5767</v>
      </c>
      <c r="D4781" s="111">
        <v>27.3</v>
      </c>
    </row>
    <row r="4782" spans="1:4" ht="25.5" x14ac:dyDescent="0.25">
      <c r="A4782" s="106">
        <v>21012</v>
      </c>
      <c r="B4782" s="108" t="s">
        <v>9998</v>
      </c>
      <c r="C4782" s="110" t="s">
        <v>5767</v>
      </c>
      <c r="D4782" s="111">
        <v>30.16</v>
      </c>
    </row>
    <row r="4783" spans="1:4" ht="25.5" x14ac:dyDescent="0.25">
      <c r="A4783" s="106">
        <v>21013</v>
      </c>
      <c r="B4783" s="108" t="s">
        <v>9999</v>
      </c>
      <c r="C4783" s="110" t="s">
        <v>5767</v>
      </c>
      <c r="D4783" s="111">
        <v>39.36</v>
      </c>
    </row>
    <row r="4784" spans="1:4" ht="25.5" x14ac:dyDescent="0.25">
      <c r="A4784" s="106">
        <v>21014</v>
      </c>
      <c r="B4784" s="108" t="s">
        <v>10000</v>
      </c>
      <c r="C4784" s="110" t="s">
        <v>5767</v>
      </c>
      <c r="D4784" s="111">
        <v>55.08</v>
      </c>
    </row>
    <row r="4785" spans="1:4" ht="25.5" x14ac:dyDescent="0.25">
      <c r="A4785" s="106">
        <v>21015</v>
      </c>
      <c r="B4785" s="108" t="s">
        <v>10001</v>
      </c>
      <c r="C4785" s="110" t="s">
        <v>5767</v>
      </c>
      <c r="D4785" s="111">
        <v>63.28</v>
      </c>
    </row>
    <row r="4786" spans="1:4" ht="25.5" x14ac:dyDescent="0.25">
      <c r="A4786" s="106">
        <v>7697</v>
      </c>
      <c r="B4786" s="108" t="s">
        <v>10002</v>
      </c>
      <c r="C4786" s="110" t="s">
        <v>5767</v>
      </c>
      <c r="D4786" s="111">
        <v>30.19</v>
      </c>
    </row>
    <row r="4787" spans="1:4" ht="25.5" x14ac:dyDescent="0.25">
      <c r="A4787" s="106">
        <v>7698</v>
      </c>
      <c r="B4787" s="108" t="s">
        <v>644</v>
      </c>
      <c r="C4787" s="110" t="s">
        <v>5767</v>
      </c>
      <c r="D4787" s="111">
        <v>25.99</v>
      </c>
    </row>
    <row r="4788" spans="1:4" ht="25.5" x14ac:dyDescent="0.25">
      <c r="A4788" s="106">
        <v>7691</v>
      </c>
      <c r="B4788" s="108" t="s">
        <v>10003</v>
      </c>
      <c r="C4788" s="110" t="s">
        <v>5767</v>
      </c>
      <c r="D4788" s="111">
        <v>10.98</v>
      </c>
    </row>
    <row r="4789" spans="1:4" ht="25.5" x14ac:dyDescent="0.25">
      <c r="A4789" s="106">
        <v>40626</v>
      </c>
      <c r="B4789" s="108" t="s">
        <v>10004</v>
      </c>
      <c r="C4789" s="110" t="s">
        <v>5767</v>
      </c>
      <c r="D4789" s="111">
        <v>20.61</v>
      </c>
    </row>
    <row r="4790" spans="1:4" ht="25.5" x14ac:dyDescent="0.25">
      <c r="A4790" s="106">
        <v>7701</v>
      </c>
      <c r="B4790" s="108" t="s">
        <v>10005</v>
      </c>
      <c r="C4790" s="110" t="s">
        <v>5767</v>
      </c>
      <c r="D4790" s="111">
        <v>54.04</v>
      </c>
    </row>
    <row r="4791" spans="1:4" ht="25.5" x14ac:dyDescent="0.25">
      <c r="A4791" s="106">
        <v>7696</v>
      </c>
      <c r="B4791" s="108" t="s">
        <v>10006</v>
      </c>
      <c r="C4791" s="110" t="s">
        <v>5767</v>
      </c>
      <c r="D4791" s="111">
        <v>43.54</v>
      </c>
    </row>
    <row r="4792" spans="1:4" ht="25.5" x14ac:dyDescent="0.25">
      <c r="A4792" s="106">
        <v>7700</v>
      </c>
      <c r="B4792" s="108" t="s">
        <v>10007</v>
      </c>
      <c r="C4792" s="110" t="s">
        <v>5767</v>
      </c>
      <c r="D4792" s="111">
        <v>13.89</v>
      </c>
    </row>
    <row r="4793" spans="1:4" ht="25.5" x14ac:dyDescent="0.25">
      <c r="A4793" s="106">
        <v>7694</v>
      </c>
      <c r="B4793" s="108" t="s">
        <v>10008</v>
      </c>
      <c r="C4793" s="110" t="s">
        <v>5767</v>
      </c>
      <c r="D4793" s="111">
        <v>72.72</v>
      </c>
    </row>
    <row r="4794" spans="1:4" ht="25.5" x14ac:dyDescent="0.25">
      <c r="A4794" s="106">
        <v>7693</v>
      </c>
      <c r="B4794" s="108" t="s">
        <v>10009</v>
      </c>
      <c r="C4794" s="110" t="s">
        <v>5767</v>
      </c>
      <c r="D4794" s="111">
        <v>100.15</v>
      </c>
    </row>
    <row r="4795" spans="1:4" ht="25.5" x14ac:dyDescent="0.25">
      <c r="A4795" s="106">
        <v>7692</v>
      </c>
      <c r="B4795" s="108" t="s">
        <v>10010</v>
      </c>
      <c r="C4795" s="110" t="s">
        <v>5767</v>
      </c>
      <c r="D4795" s="111">
        <v>149.94</v>
      </c>
    </row>
    <row r="4796" spans="1:4" ht="25.5" x14ac:dyDescent="0.25">
      <c r="A4796" s="106">
        <v>7695</v>
      </c>
      <c r="B4796" s="108" t="s">
        <v>10011</v>
      </c>
      <c r="C4796" s="110" t="s">
        <v>5767</v>
      </c>
      <c r="D4796" s="111">
        <v>162.61000000000001</v>
      </c>
    </row>
    <row r="4797" spans="1:4" x14ac:dyDescent="0.25">
      <c r="A4797" s="106">
        <v>13356</v>
      </c>
      <c r="B4797" s="108" t="s">
        <v>10012</v>
      </c>
      <c r="C4797" s="110" t="s">
        <v>5767</v>
      </c>
      <c r="D4797" s="111">
        <v>11.79</v>
      </c>
    </row>
    <row r="4798" spans="1:4" x14ac:dyDescent="0.25">
      <c r="A4798" s="106">
        <v>36365</v>
      </c>
      <c r="B4798" s="108" t="s">
        <v>10013</v>
      </c>
      <c r="C4798" s="110" t="s">
        <v>5767</v>
      </c>
      <c r="D4798" s="111">
        <v>17.79</v>
      </c>
    </row>
    <row r="4799" spans="1:4" x14ac:dyDescent="0.25">
      <c r="A4799" s="106">
        <v>41930</v>
      </c>
      <c r="B4799" s="108" t="s">
        <v>573</v>
      </c>
      <c r="C4799" s="110" t="s">
        <v>5767</v>
      </c>
      <c r="D4799" s="111">
        <v>57.59</v>
      </c>
    </row>
    <row r="4800" spans="1:4" x14ac:dyDescent="0.25">
      <c r="A4800" s="106">
        <v>41931</v>
      </c>
      <c r="B4800" s="108" t="s">
        <v>574</v>
      </c>
      <c r="C4800" s="110" t="s">
        <v>5767</v>
      </c>
      <c r="D4800" s="111">
        <v>98.2</v>
      </c>
    </row>
    <row r="4801" spans="1:4" x14ac:dyDescent="0.25">
      <c r="A4801" s="106">
        <v>41932</v>
      </c>
      <c r="B4801" s="108" t="s">
        <v>575</v>
      </c>
      <c r="C4801" s="110" t="s">
        <v>5767</v>
      </c>
      <c r="D4801" s="111">
        <v>158.61000000000001</v>
      </c>
    </row>
    <row r="4802" spans="1:4" x14ac:dyDescent="0.25">
      <c r="A4802" s="106">
        <v>41933</v>
      </c>
      <c r="B4802" s="108" t="s">
        <v>10014</v>
      </c>
      <c r="C4802" s="110" t="s">
        <v>5767</v>
      </c>
      <c r="D4802" s="111">
        <v>196.44</v>
      </c>
    </row>
    <row r="4803" spans="1:4" x14ac:dyDescent="0.25">
      <c r="A4803" s="106">
        <v>41934</v>
      </c>
      <c r="B4803" s="108" t="s">
        <v>576</v>
      </c>
      <c r="C4803" s="110" t="s">
        <v>5767</v>
      </c>
      <c r="D4803" s="111">
        <v>254.44</v>
      </c>
    </row>
    <row r="4804" spans="1:4" x14ac:dyDescent="0.25">
      <c r="A4804" s="106">
        <v>41936</v>
      </c>
      <c r="B4804" s="108" t="s">
        <v>10015</v>
      </c>
      <c r="C4804" s="110" t="s">
        <v>5767</v>
      </c>
      <c r="D4804" s="111">
        <v>38.36</v>
      </c>
    </row>
    <row r="4805" spans="1:4" ht="25.5" x14ac:dyDescent="0.25">
      <c r="A4805" s="106">
        <v>7720</v>
      </c>
      <c r="B4805" s="108" t="s">
        <v>10016</v>
      </c>
      <c r="C4805" s="110" t="s">
        <v>5767</v>
      </c>
      <c r="D4805" s="111">
        <v>457.4</v>
      </c>
    </row>
    <row r="4806" spans="1:4" ht="25.5" x14ac:dyDescent="0.25">
      <c r="A4806" s="106">
        <v>40335</v>
      </c>
      <c r="B4806" s="108" t="s">
        <v>10017</v>
      </c>
      <c r="C4806" s="110" t="s">
        <v>5767</v>
      </c>
      <c r="D4806" s="111">
        <v>93.16</v>
      </c>
    </row>
    <row r="4807" spans="1:4" ht="25.5" x14ac:dyDescent="0.25">
      <c r="A4807" s="106">
        <v>7740</v>
      </c>
      <c r="B4807" s="108" t="s">
        <v>10018</v>
      </c>
      <c r="C4807" s="110" t="s">
        <v>5767</v>
      </c>
      <c r="D4807" s="111">
        <v>127.11</v>
      </c>
    </row>
    <row r="4808" spans="1:4" ht="25.5" x14ac:dyDescent="0.25">
      <c r="A4808" s="106">
        <v>7741</v>
      </c>
      <c r="B4808" s="108" t="s">
        <v>10019</v>
      </c>
      <c r="C4808" s="110" t="s">
        <v>5767</v>
      </c>
      <c r="D4808" s="111">
        <v>160.41</v>
      </c>
    </row>
    <row r="4809" spans="1:4" ht="25.5" x14ac:dyDescent="0.25">
      <c r="A4809" s="106">
        <v>7774</v>
      </c>
      <c r="B4809" s="108" t="s">
        <v>10020</v>
      </c>
      <c r="C4809" s="110" t="s">
        <v>5767</v>
      </c>
      <c r="D4809" s="111">
        <v>215.94</v>
      </c>
    </row>
    <row r="4810" spans="1:4" ht="25.5" x14ac:dyDescent="0.25">
      <c r="A4810" s="106">
        <v>7744</v>
      </c>
      <c r="B4810" s="108" t="s">
        <v>10021</v>
      </c>
      <c r="C4810" s="110" t="s">
        <v>5767</v>
      </c>
      <c r="D4810" s="111">
        <v>248.93</v>
      </c>
    </row>
    <row r="4811" spans="1:4" ht="25.5" x14ac:dyDescent="0.25">
      <c r="A4811" s="106">
        <v>7773</v>
      </c>
      <c r="B4811" s="108" t="s">
        <v>10022</v>
      </c>
      <c r="C4811" s="110" t="s">
        <v>5767</v>
      </c>
      <c r="D4811" s="111">
        <v>310.01</v>
      </c>
    </row>
    <row r="4812" spans="1:4" ht="25.5" x14ac:dyDescent="0.25">
      <c r="A4812" s="106">
        <v>7754</v>
      </c>
      <c r="B4812" s="108" t="s">
        <v>10023</v>
      </c>
      <c r="C4812" s="110" t="s">
        <v>5767</v>
      </c>
      <c r="D4812" s="111">
        <v>421.28</v>
      </c>
    </row>
    <row r="4813" spans="1:4" ht="25.5" x14ac:dyDescent="0.25">
      <c r="A4813" s="106">
        <v>7735</v>
      </c>
      <c r="B4813" s="108" t="s">
        <v>10024</v>
      </c>
      <c r="C4813" s="110" t="s">
        <v>5767</v>
      </c>
      <c r="D4813" s="111">
        <v>577.41999999999996</v>
      </c>
    </row>
    <row r="4814" spans="1:4" ht="25.5" x14ac:dyDescent="0.25">
      <c r="A4814" s="106">
        <v>7755</v>
      </c>
      <c r="B4814" s="108" t="s">
        <v>10025</v>
      </c>
      <c r="C4814" s="110" t="s">
        <v>5767</v>
      </c>
      <c r="D4814" s="111">
        <v>154.85</v>
      </c>
    </row>
    <row r="4815" spans="1:4" ht="25.5" x14ac:dyDescent="0.25">
      <c r="A4815" s="106">
        <v>7776</v>
      </c>
      <c r="B4815" s="108" t="s">
        <v>10026</v>
      </c>
      <c r="C4815" s="110" t="s">
        <v>5767</v>
      </c>
      <c r="D4815" s="111">
        <v>201.54</v>
      </c>
    </row>
    <row r="4816" spans="1:4" ht="25.5" x14ac:dyDescent="0.25">
      <c r="A4816" s="106">
        <v>7743</v>
      </c>
      <c r="B4816" s="108" t="s">
        <v>10027</v>
      </c>
      <c r="C4816" s="110" t="s">
        <v>5767</v>
      </c>
      <c r="D4816" s="111">
        <v>266.14999999999998</v>
      </c>
    </row>
    <row r="4817" spans="1:4" ht="25.5" x14ac:dyDescent="0.25">
      <c r="A4817" s="106">
        <v>7733</v>
      </c>
      <c r="B4817" s="108" t="s">
        <v>10028</v>
      </c>
      <c r="C4817" s="110" t="s">
        <v>5767</v>
      </c>
      <c r="D4817" s="111">
        <v>296.77999999999997</v>
      </c>
    </row>
    <row r="4818" spans="1:4" ht="25.5" x14ac:dyDescent="0.25">
      <c r="A4818" s="106">
        <v>7775</v>
      </c>
      <c r="B4818" s="108" t="s">
        <v>10029</v>
      </c>
      <c r="C4818" s="110" t="s">
        <v>5767</v>
      </c>
      <c r="D4818" s="111">
        <v>365.13</v>
      </c>
    </row>
    <row r="4819" spans="1:4" ht="25.5" x14ac:dyDescent="0.25">
      <c r="A4819" s="106">
        <v>7734</v>
      </c>
      <c r="B4819" s="108" t="s">
        <v>10030</v>
      </c>
      <c r="C4819" s="110" t="s">
        <v>5767</v>
      </c>
      <c r="D4819" s="111">
        <v>527.87</v>
      </c>
    </row>
    <row r="4820" spans="1:4" ht="25.5" x14ac:dyDescent="0.25">
      <c r="A4820" s="106">
        <v>7753</v>
      </c>
      <c r="B4820" s="108" t="s">
        <v>10031</v>
      </c>
      <c r="C4820" s="110" t="s">
        <v>5767</v>
      </c>
      <c r="D4820" s="111">
        <v>267.64</v>
      </c>
    </row>
    <row r="4821" spans="1:4" ht="25.5" x14ac:dyDescent="0.25">
      <c r="A4821" s="106">
        <v>13256</v>
      </c>
      <c r="B4821" s="108" t="s">
        <v>500</v>
      </c>
      <c r="C4821" s="110" t="s">
        <v>5767</v>
      </c>
      <c r="D4821" s="111">
        <v>312.43</v>
      </c>
    </row>
    <row r="4822" spans="1:4" ht="25.5" x14ac:dyDescent="0.25">
      <c r="A4822" s="106">
        <v>7757</v>
      </c>
      <c r="B4822" s="108" t="s">
        <v>10032</v>
      </c>
      <c r="C4822" s="110" t="s">
        <v>5767</v>
      </c>
      <c r="D4822" s="111">
        <v>379.3</v>
      </c>
    </row>
    <row r="4823" spans="1:4" ht="25.5" x14ac:dyDescent="0.25">
      <c r="A4823" s="106">
        <v>7758</v>
      </c>
      <c r="B4823" s="108" t="s">
        <v>10033</v>
      </c>
      <c r="C4823" s="110" t="s">
        <v>5767</v>
      </c>
      <c r="D4823" s="111">
        <v>564.16999999999996</v>
      </c>
    </row>
    <row r="4824" spans="1:4" ht="25.5" x14ac:dyDescent="0.25">
      <c r="A4824" s="106">
        <v>7759</v>
      </c>
      <c r="B4824" s="108" t="s">
        <v>10034</v>
      </c>
      <c r="C4824" s="110" t="s">
        <v>5767</v>
      </c>
      <c r="D4824" s="111">
        <v>1229.1300000000001</v>
      </c>
    </row>
    <row r="4825" spans="1:4" ht="25.5" x14ac:dyDescent="0.25">
      <c r="A4825" s="106">
        <v>40334</v>
      </c>
      <c r="B4825" s="108" t="s">
        <v>10035</v>
      </c>
      <c r="C4825" s="110" t="s">
        <v>5767</v>
      </c>
      <c r="D4825" s="111">
        <v>66.36</v>
      </c>
    </row>
    <row r="4826" spans="1:4" ht="25.5" x14ac:dyDescent="0.25">
      <c r="A4826" s="106">
        <v>7745</v>
      </c>
      <c r="B4826" s="108" t="s">
        <v>10036</v>
      </c>
      <c r="C4826" s="110" t="s">
        <v>5767</v>
      </c>
      <c r="D4826" s="111">
        <v>70.12</v>
      </c>
    </row>
    <row r="4827" spans="1:4" ht="25.5" x14ac:dyDescent="0.25">
      <c r="A4827" s="106">
        <v>7714</v>
      </c>
      <c r="B4827" s="108" t="s">
        <v>10037</v>
      </c>
      <c r="C4827" s="110" t="s">
        <v>5767</v>
      </c>
      <c r="D4827" s="111">
        <v>92.6</v>
      </c>
    </row>
    <row r="4828" spans="1:4" ht="25.5" x14ac:dyDescent="0.25">
      <c r="A4828" s="106">
        <v>7725</v>
      </c>
      <c r="B4828" s="108" t="s">
        <v>10038</v>
      </c>
      <c r="C4828" s="110" t="s">
        <v>5767</v>
      </c>
      <c r="D4828" s="111">
        <v>122.5</v>
      </c>
    </row>
    <row r="4829" spans="1:4" ht="25.5" x14ac:dyDescent="0.25">
      <c r="A4829" s="106">
        <v>7742</v>
      </c>
      <c r="B4829" s="108" t="s">
        <v>10039</v>
      </c>
      <c r="C4829" s="110" t="s">
        <v>5767</v>
      </c>
      <c r="D4829" s="111">
        <v>171.94</v>
      </c>
    </row>
    <row r="4830" spans="1:4" ht="25.5" x14ac:dyDescent="0.25">
      <c r="A4830" s="106">
        <v>7750</v>
      </c>
      <c r="B4830" s="108" t="s">
        <v>10040</v>
      </c>
      <c r="C4830" s="110" t="s">
        <v>5767</v>
      </c>
      <c r="D4830" s="111">
        <v>194.98</v>
      </c>
    </row>
    <row r="4831" spans="1:4" ht="25.5" x14ac:dyDescent="0.25">
      <c r="A4831" s="106">
        <v>7756</v>
      </c>
      <c r="B4831" s="108" t="s">
        <v>10041</v>
      </c>
      <c r="C4831" s="110" t="s">
        <v>5767</v>
      </c>
      <c r="D4831" s="111">
        <v>240.72</v>
      </c>
    </row>
    <row r="4832" spans="1:4" ht="25.5" x14ac:dyDescent="0.25">
      <c r="A4832" s="106">
        <v>7765</v>
      </c>
      <c r="B4832" s="108" t="s">
        <v>10042</v>
      </c>
      <c r="C4832" s="110" t="s">
        <v>5767</v>
      </c>
      <c r="D4832" s="111">
        <v>295.57</v>
      </c>
    </row>
    <row r="4833" spans="1:4" ht="25.5" x14ac:dyDescent="0.25">
      <c r="A4833" s="106">
        <v>12569</v>
      </c>
      <c r="B4833" s="108" t="s">
        <v>10043</v>
      </c>
      <c r="C4833" s="110" t="s">
        <v>5767</v>
      </c>
      <c r="D4833" s="111">
        <v>318.05</v>
      </c>
    </row>
    <row r="4834" spans="1:4" ht="25.5" x14ac:dyDescent="0.25">
      <c r="A4834" s="106">
        <v>7766</v>
      </c>
      <c r="B4834" s="108" t="s">
        <v>10044</v>
      </c>
      <c r="C4834" s="110" t="s">
        <v>5767</v>
      </c>
      <c r="D4834" s="111">
        <v>429.87</v>
      </c>
    </row>
    <row r="4835" spans="1:4" ht="25.5" x14ac:dyDescent="0.25">
      <c r="A4835" s="106">
        <v>7767</v>
      </c>
      <c r="B4835" s="108" t="s">
        <v>10045</v>
      </c>
      <c r="C4835" s="110" t="s">
        <v>5767</v>
      </c>
      <c r="D4835" s="111">
        <v>662.41</v>
      </c>
    </row>
    <row r="4836" spans="1:4" ht="25.5" x14ac:dyDescent="0.25">
      <c r="A4836" s="106">
        <v>7727</v>
      </c>
      <c r="B4836" s="108" t="s">
        <v>10046</v>
      </c>
      <c r="C4836" s="110" t="s">
        <v>5767</v>
      </c>
      <c r="D4836" s="111">
        <v>1438.53</v>
      </c>
    </row>
    <row r="4837" spans="1:4" ht="25.5" x14ac:dyDescent="0.25">
      <c r="A4837" s="106">
        <v>7760</v>
      </c>
      <c r="B4837" s="108" t="s">
        <v>10047</v>
      </c>
      <c r="C4837" s="110" t="s">
        <v>5767</v>
      </c>
      <c r="D4837" s="111">
        <v>69.790000000000006</v>
      </c>
    </row>
    <row r="4838" spans="1:4" ht="25.5" x14ac:dyDescent="0.25">
      <c r="A4838" s="106">
        <v>7761</v>
      </c>
      <c r="B4838" s="108" t="s">
        <v>10048</v>
      </c>
      <c r="C4838" s="110" t="s">
        <v>5767</v>
      </c>
      <c r="D4838" s="111">
        <v>74.17</v>
      </c>
    </row>
    <row r="4839" spans="1:4" ht="25.5" x14ac:dyDescent="0.25">
      <c r="A4839" s="106">
        <v>7752</v>
      </c>
      <c r="B4839" s="108" t="s">
        <v>10049</v>
      </c>
      <c r="C4839" s="110" t="s">
        <v>5767</v>
      </c>
      <c r="D4839" s="111">
        <v>89.85</v>
      </c>
    </row>
    <row r="4840" spans="1:4" ht="25.5" x14ac:dyDescent="0.25">
      <c r="A4840" s="106">
        <v>7762</v>
      </c>
      <c r="B4840" s="108" t="s">
        <v>10050</v>
      </c>
      <c r="C4840" s="110" t="s">
        <v>5767</v>
      </c>
      <c r="D4840" s="111">
        <v>117.55</v>
      </c>
    </row>
    <row r="4841" spans="1:4" ht="25.5" x14ac:dyDescent="0.25">
      <c r="A4841" s="106">
        <v>7722</v>
      </c>
      <c r="B4841" s="108" t="s">
        <v>10051</v>
      </c>
      <c r="C4841" s="110" t="s">
        <v>5767</v>
      </c>
      <c r="D4841" s="111">
        <v>181.27</v>
      </c>
    </row>
    <row r="4842" spans="1:4" ht="25.5" x14ac:dyDescent="0.25">
      <c r="A4842" s="106">
        <v>7763</v>
      </c>
      <c r="B4842" s="108" t="s">
        <v>10052</v>
      </c>
      <c r="C4842" s="110" t="s">
        <v>5767</v>
      </c>
      <c r="D4842" s="111">
        <v>202.01</v>
      </c>
    </row>
    <row r="4843" spans="1:4" ht="25.5" x14ac:dyDescent="0.25">
      <c r="A4843" s="106">
        <v>7764</v>
      </c>
      <c r="B4843" s="108" t="s">
        <v>10053</v>
      </c>
      <c r="C4843" s="110" t="s">
        <v>5767</v>
      </c>
      <c r="D4843" s="111">
        <v>303.44</v>
      </c>
    </row>
    <row r="4844" spans="1:4" ht="25.5" x14ac:dyDescent="0.25">
      <c r="A4844" s="106">
        <v>12572</v>
      </c>
      <c r="B4844" s="108" t="s">
        <v>10054</v>
      </c>
      <c r="C4844" s="110" t="s">
        <v>5767</v>
      </c>
      <c r="D4844" s="111">
        <v>397.84</v>
      </c>
    </row>
    <row r="4845" spans="1:4" ht="25.5" x14ac:dyDescent="0.25">
      <c r="A4845" s="106">
        <v>12573</v>
      </c>
      <c r="B4845" s="108" t="s">
        <v>10055</v>
      </c>
      <c r="C4845" s="110" t="s">
        <v>5767</v>
      </c>
      <c r="D4845" s="111">
        <v>418.07</v>
      </c>
    </row>
    <row r="4846" spans="1:4" ht="25.5" x14ac:dyDescent="0.25">
      <c r="A4846" s="106">
        <v>12574</v>
      </c>
      <c r="B4846" s="108" t="s">
        <v>10056</v>
      </c>
      <c r="C4846" s="110" t="s">
        <v>5767</v>
      </c>
      <c r="D4846" s="111">
        <v>543.24</v>
      </c>
    </row>
    <row r="4847" spans="1:4" ht="25.5" x14ac:dyDescent="0.25">
      <c r="A4847" s="106">
        <v>12575</v>
      </c>
      <c r="B4847" s="108" t="s">
        <v>10057</v>
      </c>
      <c r="C4847" s="110" t="s">
        <v>5767</v>
      </c>
      <c r="D4847" s="111">
        <v>797.37</v>
      </c>
    </row>
    <row r="4848" spans="1:4" ht="25.5" x14ac:dyDescent="0.25">
      <c r="A4848" s="106">
        <v>12576</v>
      </c>
      <c r="B4848" s="108" t="s">
        <v>10058</v>
      </c>
      <c r="C4848" s="110" t="s">
        <v>5767</v>
      </c>
      <c r="D4848" s="111">
        <v>84.28</v>
      </c>
    </row>
    <row r="4849" spans="1:4" ht="25.5" x14ac:dyDescent="0.25">
      <c r="A4849" s="106">
        <v>12577</v>
      </c>
      <c r="B4849" s="108" t="s">
        <v>10059</v>
      </c>
      <c r="C4849" s="110" t="s">
        <v>5767</v>
      </c>
      <c r="D4849" s="111">
        <v>109.01</v>
      </c>
    </row>
    <row r="4850" spans="1:4" ht="25.5" x14ac:dyDescent="0.25">
      <c r="A4850" s="106">
        <v>12578</v>
      </c>
      <c r="B4850" s="108" t="s">
        <v>10060</v>
      </c>
      <c r="C4850" s="110" t="s">
        <v>5767</v>
      </c>
      <c r="D4850" s="111">
        <v>146.21</v>
      </c>
    </row>
    <row r="4851" spans="1:4" ht="25.5" x14ac:dyDescent="0.25">
      <c r="A4851" s="106">
        <v>12579</v>
      </c>
      <c r="B4851" s="108" t="s">
        <v>10061</v>
      </c>
      <c r="C4851" s="110" t="s">
        <v>5767</v>
      </c>
      <c r="D4851" s="111">
        <v>214.09</v>
      </c>
    </row>
    <row r="4852" spans="1:4" ht="25.5" x14ac:dyDescent="0.25">
      <c r="A4852" s="106">
        <v>12580</v>
      </c>
      <c r="B4852" s="108" t="s">
        <v>10062</v>
      </c>
      <c r="C4852" s="110" t="s">
        <v>5767</v>
      </c>
      <c r="D4852" s="111">
        <v>276.38</v>
      </c>
    </row>
    <row r="4853" spans="1:4" ht="25.5" x14ac:dyDescent="0.25">
      <c r="A4853" s="106">
        <v>12581</v>
      </c>
      <c r="B4853" s="108" t="s">
        <v>10063</v>
      </c>
      <c r="C4853" s="110" t="s">
        <v>5767</v>
      </c>
      <c r="D4853" s="111">
        <v>378.17</v>
      </c>
    </row>
    <row r="4854" spans="1:4" ht="25.5" x14ac:dyDescent="0.25">
      <c r="A4854" s="106">
        <v>41785</v>
      </c>
      <c r="B4854" s="108" t="s">
        <v>10064</v>
      </c>
      <c r="C4854" s="110" t="s">
        <v>5767</v>
      </c>
      <c r="D4854" s="111">
        <v>1014.28</v>
      </c>
    </row>
    <row r="4855" spans="1:4" ht="25.5" x14ac:dyDescent="0.25">
      <c r="A4855" s="106">
        <v>41781</v>
      </c>
      <c r="B4855" s="108" t="s">
        <v>10065</v>
      </c>
      <c r="C4855" s="110" t="s">
        <v>5767</v>
      </c>
      <c r="D4855" s="111">
        <v>289.17</v>
      </c>
    </row>
    <row r="4856" spans="1:4" ht="25.5" x14ac:dyDescent="0.25">
      <c r="A4856" s="106">
        <v>41783</v>
      </c>
      <c r="B4856" s="108" t="s">
        <v>10066</v>
      </c>
      <c r="C4856" s="110" t="s">
        <v>5767</v>
      </c>
      <c r="D4856" s="111">
        <v>763.09</v>
      </c>
    </row>
    <row r="4857" spans="1:4" ht="25.5" x14ac:dyDescent="0.25">
      <c r="A4857" s="106">
        <v>41786</v>
      </c>
      <c r="B4857" s="108" t="s">
        <v>10067</v>
      </c>
      <c r="C4857" s="110" t="s">
        <v>5767</v>
      </c>
      <c r="D4857" s="111">
        <v>1591.9</v>
      </c>
    </row>
    <row r="4858" spans="1:4" ht="25.5" x14ac:dyDescent="0.25">
      <c r="A4858" s="106">
        <v>41779</v>
      </c>
      <c r="B4858" s="108" t="s">
        <v>10068</v>
      </c>
      <c r="C4858" s="110" t="s">
        <v>5767</v>
      </c>
      <c r="D4858" s="111">
        <v>110.91</v>
      </c>
    </row>
    <row r="4859" spans="1:4" ht="25.5" x14ac:dyDescent="0.25">
      <c r="A4859" s="106">
        <v>41780</v>
      </c>
      <c r="B4859" s="108" t="s">
        <v>10069</v>
      </c>
      <c r="C4859" s="110" t="s">
        <v>5767</v>
      </c>
      <c r="D4859" s="111">
        <v>131.16999999999999</v>
      </c>
    </row>
    <row r="4860" spans="1:4" ht="25.5" x14ac:dyDescent="0.25">
      <c r="A4860" s="106">
        <v>41782</v>
      </c>
      <c r="B4860" s="108" t="s">
        <v>10070</v>
      </c>
      <c r="C4860" s="110" t="s">
        <v>5767</v>
      </c>
      <c r="D4860" s="111">
        <v>540.74</v>
      </c>
    </row>
    <row r="4861" spans="1:4" x14ac:dyDescent="0.25">
      <c r="A4861" s="106">
        <v>38130</v>
      </c>
      <c r="B4861" s="108" t="s">
        <v>10071</v>
      </c>
      <c r="C4861" s="110" t="s">
        <v>5767</v>
      </c>
      <c r="D4861" s="111">
        <v>35.840000000000003</v>
      </c>
    </row>
    <row r="4862" spans="1:4" x14ac:dyDescent="0.25">
      <c r="A4862" s="106">
        <v>21123</v>
      </c>
      <c r="B4862" s="108" t="s">
        <v>10072</v>
      </c>
      <c r="C4862" s="110" t="s">
        <v>5767</v>
      </c>
      <c r="D4862" s="111">
        <v>10.17</v>
      </c>
    </row>
    <row r="4863" spans="1:4" x14ac:dyDescent="0.25">
      <c r="A4863" s="106">
        <v>21124</v>
      </c>
      <c r="B4863" s="108" t="s">
        <v>10073</v>
      </c>
      <c r="C4863" s="110" t="s">
        <v>5767</v>
      </c>
      <c r="D4863" s="111">
        <v>18.03</v>
      </c>
    </row>
    <row r="4864" spans="1:4" x14ac:dyDescent="0.25">
      <c r="A4864" s="106">
        <v>21125</v>
      </c>
      <c r="B4864" s="108" t="s">
        <v>10074</v>
      </c>
      <c r="C4864" s="110" t="s">
        <v>5767</v>
      </c>
      <c r="D4864" s="111">
        <v>28.94</v>
      </c>
    </row>
    <row r="4865" spans="1:4" x14ac:dyDescent="0.25">
      <c r="A4865" s="106">
        <v>38028</v>
      </c>
      <c r="B4865" s="108" t="s">
        <v>10075</v>
      </c>
      <c r="C4865" s="110" t="s">
        <v>5767</v>
      </c>
      <c r="D4865" s="111">
        <v>49.11</v>
      </c>
    </row>
    <row r="4866" spans="1:4" x14ac:dyDescent="0.25">
      <c r="A4866" s="106">
        <v>38029</v>
      </c>
      <c r="B4866" s="108" t="s">
        <v>10076</v>
      </c>
      <c r="C4866" s="110" t="s">
        <v>5767</v>
      </c>
      <c r="D4866" s="111">
        <v>74.87</v>
      </c>
    </row>
    <row r="4867" spans="1:4" x14ac:dyDescent="0.25">
      <c r="A4867" s="106">
        <v>38030</v>
      </c>
      <c r="B4867" s="108" t="s">
        <v>10077</v>
      </c>
      <c r="C4867" s="110" t="s">
        <v>5767</v>
      </c>
      <c r="D4867" s="111">
        <v>114.99</v>
      </c>
    </row>
    <row r="4868" spans="1:4" x14ac:dyDescent="0.25">
      <c r="A4868" s="106">
        <v>38031</v>
      </c>
      <c r="B4868" s="108" t="s">
        <v>10078</v>
      </c>
      <c r="C4868" s="110" t="s">
        <v>5767</v>
      </c>
      <c r="D4868" s="111">
        <v>182.22</v>
      </c>
    </row>
    <row r="4869" spans="1:4" ht="51" x14ac:dyDescent="0.25">
      <c r="A4869" s="106">
        <v>39735</v>
      </c>
      <c r="B4869" s="108" t="s">
        <v>10079</v>
      </c>
      <c r="C4869" s="110" t="s">
        <v>5767</v>
      </c>
      <c r="D4869" s="111">
        <v>77.28</v>
      </c>
    </row>
    <row r="4870" spans="1:4" ht="51" x14ac:dyDescent="0.25">
      <c r="A4870" s="106">
        <v>39734</v>
      </c>
      <c r="B4870" s="108" t="s">
        <v>10080</v>
      </c>
      <c r="C4870" s="110" t="s">
        <v>5767</v>
      </c>
      <c r="D4870" s="111">
        <v>91.67</v>
      </c>
    </row>
    <row r="4871" spans="1:4" ht="51" x14ac:dyDescent="0.25">
      <c r="A4871" s="106">
        <v>39736</v>
      </c>
      <c r="B4871" s="108" t="s">
        <v>10081</v>
      </c>
      <c r="C4871" s="110" t="s">
        <v>5767</v>
      </c>
      <c r="D4871" s="111">
        <v>104.62</v>
      </c>
    </row>
    <row r="4872" spans="1:4" ht="51" x14ac:dyDescent="0.25">
      <c r="A4872" s="106">
        <v>39737</v>
      </c>
      <c r="B4872" s="108" t="s">
        <v>10082</v>
      </c>
      <c r="C4872" s="110" t="s">
        <v>5767</v>
      </c>
      <c r="D4872" s="111">
        <v>14.07</v>
      </c>
    </row>
    <row r="4873" spans="1:4" ht="51" x14ac:dyDescent="0.25">
      <c r="A4873" s="106">
        <v>39738</v>
      </c>
      <c r="B4873" s="108" t="s">
        <v>10083</v>
      </c>
      <c r="C4873" s="110" t="s">
        <v>5767</v>
      </c>
      <c r="D4873" s="111">
        <v>5.09</v>
      </c>
    </row>
    <row r="4874" spans="1:4" ht="51" x14ac:dyDescent="0.25">
      <c r="A4874" s="106">
        <v>39739</v>
      </c>
      <c r="B4874" s="108" t="s">
        <v>10084</v>
      </c>
      <c r="C4874" s="110" t="s">
        <v>5767</v>
      </c>
      <c r="D4874" s="111">
        <v>72.349999999999994</v>
      </c>
    </row>
    <row r="4875" spans="1:4" ht="51" x14ac:dyDescent="0.25">
      <c r="A4875" s="106">
        <v>39733</v>
      </c>
      <c r="B4875" s="108" t="s">
        <v>10085</v>
      </c>
      <c r="C4875" s="110" t="s">
        <v>5767</v>
      </c>
      <c r="D4875" s="111">
        <v>125.2</v>
      </c>
    </row>
    <row r="4876" spans="1:4" ht="51" x14ac:dyDescent="0.25">
      <c r="A4876" s="106">
        <v>39854</v>
      </c>
      <c r="B4876" s="108" t="s">
        <v>10086</v>
      </c>
      <c r="C4876" s="110" t="s">
        <v>5767</v>
      </c>
      <c r="D4876" s="111">
        <v>126.97</v>
      </c>
    </row>
    <row r="4877" spans="1:4" ht="51" x14ac:dyDescent="0.25">
      <c r="A4877" s="106">
        <v>39740</v>
      </c>
      <c r="B4877" s="108" t="s">
        <v>10087</v>
      </c>
      <c r="C4877" s="110" t="s">
        <v>5767</v>
      </c>
      <c r="D4877" s="111">
        <v>69.47</v>
      </c>
    </row>
    <row r="4878" spans="1:4" ht="51" x14ac:dyDescent="0.25">
      <c r="A4878" s="106">
        <v>39741</v>
      </c>
      <c r="B4878" s="108" t="s">
        <v>10088</v>
      </c>
      <c r="C4878" s="110" t="s">
        <v>5767</v>
      </c>
      <c r="D4878" s="111">
        <v>12.8</v>
      </c>
    </row>
    <row r="4879" spans="1:4" ht="51" x14ac:dyDescent="0.25">
      <c r="A4879" s="106">
        <v>39853</v>
      </c>
      <c r="B4879" s="108" t="s">
        <v>10089</v>
      </c>
      <c r="C4879" s="110" t="s">
        <v>5767</v>
      </c>
      <c r="D4879" s="111">
        <v>16.809999999999999</v>
      </c>
    </row>
    <row r="4880" spans="1:4" ht="51" x14ac:dyDescent="0.25">
      <c r="A4880" s="106">
        <v>39742</v>
      </c>
      <c r="B4880" s="108" t="s">
        <v>10090</v>
      </c>
      <c r="C4880" s="110" t="s">
        <v>5767</v>
      </c>
      <c r="D4880" s="111">
        <v>55.84</v>
      </c>
    </row>
    <row r="4881" spans="1:4" ht="25.5" x14ac:dyDescent="0.25">
      <c r="A4881" s="106">
        <v>39749</v>
      </c>
      <c r="B4881" s="108" t="s">
        <v>10091</v>
      </c>
      <c r="C4881" s="110" t="s">
        <v>5767</v>
      </c>
      <c r="D4881" s="111">
        <v>63.99</v>
      </c>
    </row>
    <row r="4882" spans="1:4" ht="25.5" x14ac:dyDescent="0.25">
      <c r="A4882" s="106">
        <v>39751</v>
      </c>
      <c r="B4882" s="108" t="s">
        <v>10092</v>
      </c>
      <c r="C4882" s="110" t="s">
        <v>5767</v>
      </c>
      <c r="D4882" s="111">
        <v>116.28</v>
      </c>
    </row>
    <row r="4883" spans="1:4" ht="25.5" x14ac:dyDescent="0.25">
      <c r="A4883" s="106">
        <v>39750</v>
      </c>
      <c r="B4883" s="108" t="s">
        <v>10093</v>
      </c>
      <c r="C4883" s="110" t="s">
        <v>5767</v>
      </c>
      <c r="D4883" s="111">
        <v>96.65</v>
      </c>
    </row>
    <row r="4884" spans="1:4" ht="25.5" x14ac:dyDescent="0.25">
      <c r="A4884" s="106">
        <v>39747</v>
      </c>
      <c r="B4884" s="108" t="s">
        <v>10094</v>
      </c>
      <c r="C4884" s="110" t="s">
        <v>5767</v>
      </c>
      <c r="D4884" s="111">
        <v>31.09</v>
      </c>
    </row>
    <row r="4885" spans="1:4" ht="25.5" x14ac:dyDescent="0.25">
      <c r="A4885" s="106">
        <v>39753</v>
      </c>
      <c r="B4885" s="108" t="s">
        <v>10095</v>
      </c>
      <c r="C4885" s="110" t="s">
        <v>5767</v>
      </c>
      <c r="D4885" s="111">
        <v>214.05</v>
      </c>
    </row>
    <row r="4886" spans="1:4" ht="25.5" x14ac:dyDescent="0.25">
      <c r="A4886" s="106">
        <v>39754</v>
      </c>
      <c r="B4886" s="108" t="s">
        <v>10096</v>
      </c>
      <c r="C4886" s="110" t="s">
        <v>5767</v>
      </c>
      <c r="D4886" s="111">
        <v>315.35000000000002</v>
      </c>
    </row>
    <row r="4887" spans="1:4" ht="25.5" x14ac:dyDescent="0.25">
      <c r="A4887" s="106">
        <v>39748</v>
      </c>
      <c r="B4887" s="108" t="s">
        <v>10097</v>
      </c>
      <c r="C4887" s="110" t="s">
        <v>5767</v>
      </c>
      <c r="D4887" s="111">
        <v>50.3</v>
      </c>
    </row>
    <row r="4888" spans="1:4" ht="25.5" x14ac:dyDescent="0.25">
      <c r="A4888" s="106">
        <v>39755</v>
      </c>
      <c r="B4888" s="108" t="s">
        <v>10098</v>
      </c>
      <c r="C4888" s="110" t="s">
        <v>5767</v>
      </c>
      <c r="D4888" s="111">
        <v>478.14</v>
      </c>
    </row>
    <row r="4889" spans="1:4" ht="25.5" x14ac:dyDescent="0.25">
      <c r="A4889" s="106">
        <v>12742</v>
      </c>
      <c r="B4889" s="108" t="s">
        <v>10099</v>
      </c>
      <c r="C4889" s="110" t="s">
        <v>5767</v>
      </c>
      <c r="D4889" s="111">
        <v>378.61</v>
      </c>
    </row>
    <row r="4890" spans="1:4" ht="25.5" x14ac:dyDescent="0.25">
      <c r="A4890" s="106">
        <v>12713</v>
      </c>
      <c r="B4890" s="108" t="s">
        <v>10100</v>
      </c>
      <c r="C4890" s="110" t="s">
        <v>5767</v>
      </c>
      <c r="D4890" s="111">
        <v>20.079999999999998</v>
      </c>
    </row>
    <row r="4891" spans="1:4" ht="25.5" x14ac:dyDescent="0.25">
      <c r="A4891" s="106">
        <v>12743</v>
      </c>
      <c r="B4891" s="108" t="s">
        <v>10101</v>
      </c>
      <c r="C4891" s="110" t="s">
        <v>5767</v>
      </c>
      <c r="D4891" s="111">
        <v>34.54</v>
      </c>
    </row>
    <row r="4892" spans="1:4" ht="25.5" x14ac:dyDescent="0.25">
      <c r="A4892" s="106">
        <v>12744</v>
      </c>
      <c r="B4892" s="108" t="s">
        <v>10102</v>
      </c>
      <c r="C4892" s="110" t="s">
        <v>5767</v>
      </c>
      <c r="D4892" s="111">
        <v>43.84</v>
      </c>
    </row>
    <row r="4893" spans="1:4" ht="25.5" x14ac:dyDescent="0.25">
      <c r="A4893" s="106">
        <v>12745</v>
      </c>
      <c r="B4893" s="108" t="s">
        <v>10103</v>
      </c>
      <c r="C4893" s="110" t="s">
        <v>5767</v>
      </c>
      <c r="D4893" s="111">
        <v>63.66</v>
      </c>
    </row>
    <row r="4894" spans="1:4" ht="25.5" x14ac:dyDescent="0.25">
      <c r="A4894" s="106">
        <v>12746</v>
      </c>
      <c r="B4894" s="108" t="s">
        <v>10104</v>
      </c>
      <c r="C4894" s="110" t="s">
        <v>5767</v>
      </c>
      <c r="D4894" s="111">
        <v>85.97</v>
      </c>
    </row>
    <row r="4895" spans="1:4" ht="25.5" x14ac:dyDescent="0.25">
      <c r="A4895" s="106">
        <v>12747</v>
      </c>
      <c r="B4895" s="108" t="s">
        <v>10105</v>
      </c>
      <c r="C4895" s="110" t="s">
        <v>5767</v>
      </c>
      <c r="D4895" s="111">
        <v>124.67</v>
      </c>
    </row>
    <row r="4896" spans="1:4" ht="25.5" x14ac:dyDescent="0.25">
      <c r="A4896" s="106">
        <v>12748</v>
      </c>
      <c r="B4896" s="108" t="s">
        <v>10106</v>
      </c>
      <c r="C4896" s="110" t="s">
        <v>5767</v>
      </c>
      <c r="D4896" s="111">
        <v>175.64</v>
      </c>
    </row>
    <row r="4897" spans="1:4" ht="25.5" x14ac:dyDescent="0.25">
      <c r="A4897" s="106">
        <v>12749</v>
      </c>
      <c r="B4897" s="108" t="s">
        <v>10107</v>
      </c>
      <c r="C4897" s="110" t="s">
        <v>5767</v>
      </c>
      <c r="D4897" s="111">
        <v>256.76</v>
      </c>
    </row>
    <row r="4898" spans="1:4" ht="25.5" x14ac:dyDescent="0.25">
      <c r="A4898" s="106">
        <v>39726</v>
      </c>
      <c r="B4898" s="108" t="s">
        <v>10108</v>
      </c>
      <c r="C4898" s="110" t="s">
        <v>5767</v>
      </c>
      <c r="D4898" s="111">
        <v>84.33</v>
      </c>
    </row>
    <row r="4899" spans="1:4" ht="25.5" x14ac:dyDescent="0.25">
      <c r="A4899" s="106">
        <v>39728</v>
      </c>
      <c r="B4899" s="108" t="s">
        <v>10109</v>
      </c>
      <c r="C4899" s="110" t="s">
        <v>5767</v>
      </c>
      <c r="D4899" s="111">
        <v>148.22</v>
      </c>
    </row>
    <row r="4900" spans="1:4" ht="25.5" x14ac:dyDescent="0.25">
      <c r="A4900" s="106">
        <v>39727</v>
      </c>
      <c r="B4900" s="108" t="s">
        <v>10110</v>
      </c>
      <c r="C4900" s="110" t="s">
        <v>5767</v>
      </c>
      <c r="D4900" s="111">
        <v>121.97</v>
      </c>
    </row>
    <row r="4901" spans="1:4" ht="25.5" x14ac:dyDescent="0.25">
      <c r="A4901" s="106">
        <v>39724</v>
      </c>
      <c r="B4901" s="108" t="s">
        <v>10111</v>
      </c>
      <c r="C4901" s="110" t="s">
        <v>5767</v>
      </c>
      <c r="D4901" s="111">
        <v>37.340000000000003</v>
      </c>
    </row>
    <row r="4902" spans="1:4" ht="25.5" x14ac:dyDescent="0.25">
      <c r="A4902" s="106">
        <v>39729</v>
      </c>
      <c r="B4902" s="108" t="s">
        <v>10112</v>
      </c>
      <c r="C4902" s="110" t="s">
        <v>5767</v>
      </c>
      <c r="D4902" s="111">
        <v>205.26</v>
      </c>
    </row>
    <row r="4903" spans="1:4" ht="25.5" x14ac:dyDescent="0.25">
      <c r="A4903" s="106">
        <v>39730</v>
      </c>
      <c r="B4903" s="108" t="s">
        <v>10113</v>
      </c>
      <c r="C4903" s="110" t="s">
        <v>5767</v>
      </c>
      <c r="D4903" s="111">
        <v>266.31</v>
      </c>
    </row>
    <row r="4904" spans="1:4" ht="25.5" x14ac:dyDescent="0.25">
      <c r="A4904" s="106">
        <v>39731</v>
      </c>
      <c r="B4904" s="108" t="s">
        <v>10114</v>
      </c>
      <c r="C4904" s="110" t="s">
        <v>5767</v>
      </c>
      <c r="D4904" s="111">
        <v>394.43</v>
      </c>
    </row>
    <row r="4905" spans="1:4" ht="25.5" x14ac:dyDescent="0.25">
      <c r="A4905" s="106">
        <v>39725</v>
      </c>
      <c r="B4905" s="108" t="s">
        <v>10115</v>
      </c>
      <c r="C4905" s="110" t="s">
        <v>5767</v>
      </c>
      <c r="D4905" s="111">
        <v>60.87</v>
      </c>
    </row>
    <row r="4906" spans="1:4" ht="25.5" x14ac:dyDescent="0.25">
      <c r="A4906" s="106">
        <v>39732</v>
      </c>
      <c r="B4906" s="108" t="s">
        <v>10116</v>
      </c>
      <c r="C4906" s="110" t="s">
        <v>5767</v>
      </c>
      <c r="D4906" s="111">
        <v>580.58000000000004</v>
      </c>
    </row>
    <row r="4907" spans="1:4" ht="25.5" x14ac:dyDescent="0.25">
      <c r="A4907" s="106">
        <v>39660</v>
      </c>
      <c r="B4907" s="108" t="s">
        <v>10117</v>
      </c>
      <c r="C4907" s="110" t="s">
        <v>5767</v>
      </c>
      <c r="D4907" s="111">
        <v>26.45</v>
      </c>
    </row>
    <row r="4908" spans="1:4" ht="25.5" x14ac:dyDescent="0.25">
      <c r="A4908" s="106">
        <v>39662</v>
      </c>
      <c r="B4908" s="108" t="s">
        <v>10118</v>
      </c>
      <c r="C4908" s="110" t="s">
        <v>5767</v>
      </c>
      <c r="D4908" s="111">
        <v>12.68</v>
      </c>
    </row>
    <row r="4909" spans="1:4" ht="25.5" x14ac:dyDescent="0.25">
      <c r="A4909" s="106">
        <v>39661</v>
      </c>
      <c r="B4909" s="108" t="s">
        <v>10119</v>
      </c>
      <c r="C4909" s="110" t="s">
        <v>5767</v>
      </c>
      <c r="D4909" s="111">
        <v>8.64</v>
      </c>
    </row>
    <row r="4910" spans="1:4" ht="25.5" x14ac:dyDescent="0.25">
      <c r="A4910" s="106">
        <v>39666</v>
      </c>
      <c r="B4910" s="108" t="s">
        <v>10120</v>
      </c>
      <c r="C4910" s="110" t="s">
        <v>5767</v>
      </c>
      <c r="D4910" s="111">
        <v>39.799999999999997</v>
      </c>
    </row>
    <row r="4911" spans="1:4" ht="25.5" x14ac:dyDescent="0.25">
      <c r="A4911" s="106">
        <v>39664</v>
      </c>
      <c r="B4911" s="108" t="s">
        <v>10121</v>
      </c>
      <c r="C4911" s="110" t="s">
        <v>5767</v>
      </c>
      <c r="D4911" s="111">
        <v>19.5</v>
      </c>
    </row>
    <row r="4912" spans="1:4" ht="25.5" x14ac:dyDescent="0.25">
      <c r="A4912" s="106">
        <v>39663</v>
      </c>
      <c r="B4912" s="108" t="s">
        <v>10122</v>
      </c>
      <c r="C4912" s="110" t="s">
        <v>5767</v>
      </c>
      <c r="D4912" s="111">
        <v>15.59</v>
      </c>
    </row>
    <row r="4913" spans="1:4" ht="25.5" x14ac:dyDescent="0.25">
      <c r="A4913" s="106">
        <v>39665</v>
      </c>
      <c r="B4913" s="108" t="s">
        <v>10123</v>
      </c>
      <c r="C4913" s="110" t="s">
        <v>5767</v>
      </c>
      <c r="D4913" s="111">
        <v>32.9</v>
      </c>
    </row>
    <row r="4914" spans="1:4" ht="25.5" x14ac:dyDescent="0.25">
      <c r="A4914" s="106">
        <v>39752</v>
      </c>
      <c r="B4914" s="108" t="s">
        <v>10124</v>
      </c>
      <c r="C4914" s="110" t="s">
        <v>5767</v>
      </c>
      <c r="D4914" s="111">
        <v>165.46</v>
      </c>
    </row>
    <row r="4915" spans="1:4" x14ac:dyDescent="0.25">
      <c r="A4915" s="106">
        <v>12583</v>
      </c>
      <c r="B4915" s="108" t="s">
        <v>10125</v>
      </c>
      <c r="C4915" s="110" t="s">
        <v>5767</v>
      </c>
      <c r="D4915" s="111">
        <v>23.89</v>
      </c>
    </row>
    <row r="4916" spans="1:4" x14ac:dyDescent="0.25">
      <c r="A4916" s="106">
        <v>12584</v>
      </c>
      <c r="B4916" s="108" t="s">
        <v>10126</v>
      </c>
      <c r="C4916" s="110" t="s">
        <v>5767</v>
      </c>
      <c r="D4916" s="111">
        <v>22.99</v>
      </c>
    </row>
    <row r="4917" spans="1:4" ht="25.5" x14ac:dyDescent="0.25">
      <c r="A4917" s="106">
        <v>13159</v>
      </c>
      <c r="B4917" s="108" t="s">
        <v>10127</v>
      </c>
      <c r="C4917" s="110" t="s">
        <v>5767</v>
      </c>
      <c r="D4917" s="111">
        <v>69.66</v>
      </c>
    </row>
    <row r="4918" spans="1:4" ht="25.5" x14ac:dyDescent="0.25">
      <c r="A4918" s="106">
        <v>13168</v>
      </c>
      <c r="B4918" s="108" t="s">
        <v>10128</v>
      </c>
      <c r="C4918" s="110" t="s">
        <v>5767</v>
      </c>
      <c r="D4918" s="111">
        <v>104.74</v>
      </c>
    </row>
    <row r="4919" spans="1:4" ht="25.5" x14ac:dyDescent="0.25">
      <c r="A4919" s="106">
        <v>13173</v>
      </c>
      <c r="B4919" s="108" t="s">
        <v>10129</v>
      </c>
      <c r="C4919" s="110" t="s">
        <v>5767</v>
      </c>
      <c r="D4919" s="111">
        <v>129.15</v>
      </c>
    </row>
    <row r="4920" spans="1:4" ht="25.5" x14ac:dyDescent="0.25">
      <c r="A4920" s="106">
        <v>37449</v>
      </c>
      <c r="B4920" s="108" t="s">
        <v>10130</v>
      </c>
      <c r="C4920" s="110" t="s">
        <v>5767</v>
      </c>
      <c r="D4920" s="111">
        <v>21.35</v>
      </c>
    </row>
    <row r="4921" spans="1:4" ht="25.5" x14ac:dyDescent="0.25">
      <c r="A4921" s="106">
        <v>37450</v>
      </c>
      <c r="B4921" s="108" t="s">
        <v>10131</v>
      </c>
      <c r="C4921" s="110" t="s">
        <v>5767</v>
      </c>
      <c r="D4921" s="111">
        <v>26.03</v>
      </c>
    </row>
    <row r="4922" spans="1:4" ht="25.5" x14ac:dyDescent="0.25">
      <c r="A4922" s="106">
        <v>37451</v>
      </c>
      <c r="B4922" s="108" t="s">
        <v>10132</v>
      </c>
      <c r="C4922" s="110" t="s">
        <v>5767</v>
      </c>
      <c r="D4922" s="111">
        <v>39.86</v>
      </c>
    </row>
    <row r="4923" spans="1:4" ht="25.5" x14ac:dyDescent="0.25">
      <c r="A4923" s="106">
        <v>37452</v>
      </c>
      <c r="B4923" s="108" t="s">
        <v>10133</v>
      </c>
      <c r="C4923" s="110" t="s">
        <v>5767</v>
      </c>
      <c r="D4923" s="111">
        <v>52.88</v>
      </c>
    </row>
    <row r="4924" spans="1:4" ht="25.5" x14ac:dyDescent="0.25">
      <c r="A4924" s="106">
        <v>37453</v>
      </c>
      <c r="B4924" s="108" t="s">
        <v>10134</v>
      </c>
      <c r="C4924" s="110" t="s">
        <v>5767</v>
      </c>
      <c r="D4924" s="111">
        <v>66.349999999999994</v>
      </c>
    </row>
    <row r="4925" spans="1:4" ht="25.5" x14ac:dyDescent="0.25">
      <c r="A4925" s="106">
        <v>7778</v>
      </c>
      <c r="B4925" s="108" t="s">
        <v>10135</v>
      </c>
      <c r="C4925" s="110" t="s">
        <v>5767</v>
      </c>
      <c r="D4925" s="111">
        <v>24.91</v>
      </c>
    </row>
    <row r="4926" spans="1:4" ht="25.5" x14ac:dyDescent="0.25">
      <c r="A4926" s="106">
        <v>7796</v>
      </c>
      <c r="B4926" s="108" t="s">
        <v>10136</v>
      </c>
      <c r="C4926" s="110" t="s">
        <v>5767</v>
      </c>
      <c r="D4926" s="111">
        <v>30</v>
      </c>
    </row>
    <row r="4927" spans="1:4" ht="25.5" x14ac:dyDescent="0.25">
      <c r="A4927" s="106">
        <v>7781</v>
      </c>
      <c r="B4927" s="108" t="s">
        <v>10137</v>
      </c>
      <c r="C4927" s="110" t="s">
        <v>5767</v>
      </c>
      <c r="D4927" s="111">
        <v>39.659999999999997</v>
      </c>
    </row>
    <row r="4928" spans="1:4" ht="25.5" x14ac:dyDescent="0.25">
      <c r="A4928" s="106">
        <v>7795</v>
      </c>
      <c r="B4928" s="108" t="s">
        <v>10138</v>
      </c>
      <c r="C4928" s="110" t="s">
        <v>5767</v>
      </c>
      <c r="D4928" s="111">
        <v>57.45</v>
      </c>
    </row>
    <row r="4929" spans="1:4" ht="25.5" x14ac:dyDescent="0.25">
      <c r="A4929" s="106">
        <v>7791</v>
      </c>
      <c r="B4929" s="108" t="s">
        <v>10139</v>
      </c>
      <c r="C4929" s="110" t="s">
        <v>5767</v>
      </c>
      <c r="D4929" s="111">
        <v>73.22</v>
      </c>
    </row>
    <row r="4930" spans="1:4" ht="25.5" x14ac:dyDescent="0.25">
      <c r="A4930" s="106">
        <v>7783</v>
      </c>
      <c r="B4930" s="108" t="s">
        <v>10140</v>
      </c>
      <c r="C4930" s="110" t="s">
        <v>5767</v>
      </c>
      <c r="D4930" s="111">
        <v>27.96</v>
      </c>
    </row>
    <row r="4931" spans="1:4" ht="25.5" x14ac:dyDescent="0.25">
      <c r="A4931" s="106">
        <v>7790</v>
      </c>
      <c r="B4931" s="108" t="s">
        <v>10141</v>
      </c>
      <c r="C4931" s="110" t="s">
        <v>5767</v>
      </c>
      <c r="D4931" s="111">
        <v>32.54</v>
      </c>
    </row>
    <row r="4932" spans="1:4" ht="25.5" x14ac:dyDescent="0.25">
      <c r="A4932" s="106">
        <v>7785</v>
      </c>
      <c r="B4932" s="108" t="s">
        <v>10142</v>
      </c>
      <c r="C4932" s="110" t="s">
        <v>5767</v>
      </c>
      <c r="D4932" s="111">
        <v>42.71</v>
      </c>
    </row>
    <row r="4933" spans="1:4" ht="25.5" x14ac:dyDescent="0.25">
      <c r="A4933" s="106">
        <v>7792</v>
      </c>
      <c r="B4933" s="108" t="s">
        <v>10143</v>
      </c>
      <c r="C4933" s="110" t="s">
        <v>5767</v>
      </c>
      <c r="D4933" s="111">
        <v>62.03</v>
      </c>
    </row>
    <row r="4934" spans="1:4" ht="25.5" x14ac:dyDescent="0.25">
      <c r="A4934" s="106">
        <v>7793</v>
      </c>
      <c r="B4934" s="108" t="s">
        <v>474</v>
      </c>
      <c r="C4934" s="110" t="s">
        <v>5767</v>
      </c>
      <c r="D4934" s="111">
        <v>80.05</v>
      </c>
    </row>
    <row r="4935" spans="1:4" ht="25.5" x14ac:dyDescent="0.25">
      <c r="A4935" s="106">
        <v>12613</v>
      </c>
      <c r="B4935" s="108" t="s">
        <v>10144</v>
      </c>
      <c r="C4935" s="110" t="s">
        <v>5755</v>
      </c>
      <c r="D4935" s="111">
        <v>14.73</v>
      </c>
    </row>
    <row r="4936" spans="1:4" ht="25.5" x14ac:dyDescent="0.25">
      <c r="A4936" s="106">
        <v>1031</v>
      </c>
      <c r="B4936" s="108" t="s">
        <v>10145</v>
      </c>
      <c r="C4936" s="110" t="s">
        <v>5755</v>
      </c>
      <c r="D4936" s="111">
        <v>10.14</v>
      </c>
    </row>
    <row r="4937" spans="1:4" ht="38.25" x14ac:dyDescent="0.25">
      <c r="A4937" s="106">
        <v>39707</v>
      </c>
      <c r="B4937" s="108" t="s">
        <v>10146</v>
      </c>
      <c r="C4937" s="110" t="s">
        <v>5767</v>
      </c>
      <c r="D4937" s="111">
        <v>3.09</v>
      </c>
    </row>
    <row r="4938" spans="1:4" ht="38.25" x14ac:dyDescent="0.25">
      <c r="A4938" s="106">
        <v>39708</v>
      </c>
      <c r="B4938" s="108" t="s">
        <v>10147</v>
      </c>
      <c r="C4938" s="110" t="s">
        <v>5767</v>
      </c>
      <c r="D4938" s="111">
        <v>2.99</v>
      </c>
    </row>
    <row r="4939" spans="1:4" ht="38.25" x14ac:dyDescent="0.25">
      <c r="A4939" s="106">
        <v>39710</v>
      </c>
      <c r="B4939" s="108" t="s">
        <v>10148</v>
      </c>
      <c r="C4939" s="110" t="s">
        <v>5767</v>
      </c>
      <c r="D4939" s="111">
        <v>2.1</v>
      </c>
    </row>
    <row r="4940" spans="1:4" ht="38.25" x14ac:dyDescent="0.25">
      <c r="A4940" s="106">
        <v>39709</v>
      </c>
      <c r="B4940" s="108" t="s">
        <v>10149</v>
      </c>
      <c r="C4940" s="110" t="s">
        <v>5767</v>
      </c>
      <c r="D4940" s="111">
        <v>2.92</v>
      </c>
    </row>
    <row r="4941" spans="1:4" ht="38.25" x14ac:dyDescent="0.25">
      <c r="A4941" s="106">
        <v>39711</v>
      </c>
      <c r="B4941" s="108" t="s">
        <v>10150</v>
      </c>
      <c r="C4941" s="110" t="s">
        <v>5767</v>
      </c>
      <c r="D4941" s="111">
        <v>3.28</v>
      </c>
    </row>
    <row r="4942" spans="1:4" ht="38.25" x14ac:dyDescent="0.25">
      <c r="A4942" s="106">
        <v>39712</v>
      </c>
      <c r="B4942" s="108" t="s">
        <v>10151</v>
      </c>
      <c r="C4942" s="110" t="s">
        <v>5767</v>
      </c>
      <c r="D4942" s="111">
        <v>1.1499999999999999</v>
      </c>
    </row>
    <row r="4943" spans="1:4" ht="38.25" x14ac:dyDescent="0.25">
      <c r="A4943" s="106">
        <v>39713</v>
      </c>
      <c r="B4943" s="108" t="s">
        <v>10152</v>
      </c>
      <c r="C4943" s="110" t="s">
        <v>5767</v>
      </c>
      <c r="D4943" s="111">
        <v>0.91</v>
      </c>
    </row>
    <row r="4944" spans="1:4" ht="38.25" x14ac:dyDescent="0.25">
      <c r="A4944" s="106">
        <v>39714</v>
      </c>
      <c r="B4944" s="108" t="s">
        <v>10153</v>
      </c>
      <c r="C4944" s="110" t="s">
        <v>5767</v>
      </c>
      <c r="D4944" s="111">
        <v>2.08</v>
      </c>
    </row>
    <row r="4945" spans="1:4" ht="38.25" x14ac:dyDescent="0.25">
      <c r="A4945" s="106">
        <v>39715</v>
      </c>
      <c r="B4945" s="108" t="s">
        <v>10154</v>
      </c>
      <c r="C4945" s="110" t="s">
        <v>5767</v>
      </c>
      <c r="D4945" s="111">
        <v>1.48</v>
      </c>
    </row>
    <row r="4946" spans="1:4" ht="38.25" x14ac:dyDescent="0.25">
      <c r="A4946" s="106">
        <v>39716</v>
      </c>
      <c r="B4946" s="108" t="s">
        <v>10155</v>
      </c>
      <c r="C4946" s="110" t="s">
        <v>5767</v>
      </c>
      <c r="D4946" s="111">
        <v>1.1200000000000001</v>
      </c>
    </row>
    <row r="4947" spans="1:4" ht="38.25" x14ac:dyDescent="0.25">
      <c r="A4947" s="106">
        <v>39718</v>
      </c>
      <c r="B4947" s="108" t="s">
        <v>10156</v>
      </c>
      <c r="C4947" s="110" t="s">
        <v>5767</v>
      </c>
      <c r="D4947" s="111">
        <v>1.91</v>
      </c>
    </row>
    <row r="4948" spans="1:4" ht="25.5" x14ac:dyDescent="0.25">
      <c r="A4948" s="106">
        <v>9813</v>
      </c>
      <c r="B4948" s="108" t="s">
        <v>10157</v>
      </c>
      <c r="C4948" s="110" t="s">
        <v>5767</v>
      </c>
      <c r="D4948" s="111">
        <v>3.68</v>
      </c>
    </row>
    <row r="4949" spans="1:4" ht="25.5" x14ac:dyDescent="0.25">
      <c r="A4949" s="106">
        <v>9815</v>
      </c>
      <c r="B4949" s="108" t="s">
        <v>10158</v>
      </c>
      <c r="C4949" s="110" t="s">
        <v>5767</v>
      </c>
      <c r="D4949" s="111">
        <v>7.26</v>
      </c>
    </row>
    <row r="4950" spans="1:4" ht="38.25" x14ac:dyDescent="0.25">
      <c r="A4950" s="106">
        <v>25876</v>
      </c>
      <c r="B4950" s="108" t="s">
        <v>10159</v>
      </c>
      <c r="C4950" s="110" t="s">
        <v>5767</v>
      </c>
      <c r="D4950" s="111">
        <v>3616.21</v>
      </c>
    </row>
    <row r="4951" spans="1:4" ht="38.25" x14ac:dyDescent="0.25">
      <c r="A4951" s="106">
        <v>25888</v>
      </c>
      <c r="B4951" s="108" t="s">
        <v>10160</v>
      </c>
      <c r="C4951" s="110" t="s">
        <v>5767</v>
      </c>
      <c r="D4951" s="111">
        <v>88.63</v>
      </c>
    </row>
    <row r="4952" spans="1:4" ht="38.25" x14ac:dyDescent="0.25">
      <c r="A4952" s="106">
        <v>25874</v>
      </c>
      <c r="B4952" s="108" t="s">
        <v>10161</v>
      </c>
      <c r="C4952" s="110" t="s">
        <v>5767</v>
      </c>
      <c r="D4952" s="111">
        <v>6342.29</v>
      </c>
    </row>
    <row r="4953" spans="1:4" ht="38.25" x14ac:dyDescent="0.25">
      <c r="A4953" s="106">
        <v>25877</v>
      </c>
      <c r="B4953" s="108" t="s">
        <v>10162</v>
      </c>
      <c r="C4953" s="110" t="s">
        <v>5767</v>
      </c>
      <c r="D4953" s="111">
        <v>8654.2900000000009</v>
      </c>
    </row>
    <row r="4954" spans="1:4" ht="38.25" x14ac:dyDescent="0.25">
      <c r="A4954" s="106">
        <v>25878</v>
      </c>
      <c r="B4954" s="108" t="s">
        <v>10163</v>
      </c>
      <c r="C4954" s="110" t="s">
        <v>5767</v>
      </c>
      <c r="D4954" s="111">
        <v>190.24</v>
      </c>
    </row>
    <row r="4955" spans="1:4" ht="38.25" x14ac:dyDescent="0.25">
      <c r="A4955" s="106">
        <v>25879</v>
      </c>
      <c r="B4955" s="108" t="s">
        <v>10164</v>
      </c>
      <c r="C4955" s="110" t="s">
        <v>5767</v>
      </c>
      <c r="D4955" s="111">
        <v>8209.6299999999992</v>
      </c>
    </row>
    <row r="4956" spans="1:4" ht="38.25" x14ac:dyDescent="0.25">
      <c r="A4956" s="106">
        <v>25887</v>
      </c>
      <c r="B4956" s="108" t="s">
        <v>10165</v>
      </c>
      <c r="C4956" s="110" t="s">
        <v>5767</v>
      </c>
      <c r="D4956" s="111">
        <v>3279.88</v>
      </c>
    </row>
    <row r="4957" spans="1:4" ht="38.25" x14ac:dyDescent="0.25">
      <c r="A4957" s="106">
        <v>25880</v>
      </c>
      <c r="B4957" s="108" t="s">
        <v>10166</v>
      </c>
      <c r="C4957" s="110" t="s">
        <v>5767</v>
      </c>
      <c r="D4957" s="111">
        <v>296.56</v>
      </c>
    </row>
    <row r="4958" spans="1:4" ht="38.25" x14ac:dyDescent="0.25">
      <c r="A4958" s="106">
        <v>25881</v>
      </c>
      <c r="B4958" s="108" t="s">
        <v>10167</v>
      </c>
      <c r="C4958" s="110" t="s">
        <v>5767</v>
      </c>
      <c r="D4958" s="111">
        <v>726.65</v>
      </c>
    </row>
    <row r="4959" spans="1:4" ht="38.25" x14ac:dyDescent="0.25">
      <c r="A4959" s="106">
        <v>25882</v>
      </c>
      <c r="B4959" s="108" t="s">
        <v>10168</v>
      </c>
      <c r="C4959" s="110" t="s">
        <v>5767</v>
      </c>
      <c r="D4959" s="111">
        <v>1170.3800000000001</v>
      </c>
    </row>
    <row r="4960" spans="1:4" ht="38.25" x14ac:dyDescent="0.25">
      <c r="A4960" s="106">
        <v>25883</v>
      </c>
      <c r="B4960" s="108" t="s">
        <v>10169</v>
      </c>
      <c r="C4960" s="110" t="s">
        <v>5767</v>
      </c>
      <c r="D4960" s="111">
        <v>18.88</v>
      </c>
    </row>
    <row r="4961" spans="1:4" ht="38.25" x14ac:dyDescent="0.25">
      <c r="A4961" s="106">
        <v>25884</v>
      </c>
      <c r="B4961" s="108" t="s">
        <v>10170</v>
      </c>
      <c r="C4961" s="110" t="s">
        <v>5767</v>
      </c>
      <c r="D4961" s="111">
        <v>2054.75</v>
      </c>
    </row>
    <row r="4962" spans="1:4" ht="38.25" x14ac:dyDescent="0.25">
      <c r="A4962" s="106">
        <v>25885</v>
      </c>
      <c r="B4962" s="108" t="s">
        <v>10171</v>
      </c>
      <c r="C4962" s="110" t="s">
        <v>5767</v>
      </c>
      <c r="D4962" s="111">
        <v>3056</v>
      </c>
    </row>
    <row r="4963" spans="1:4" ht="38.25" x14ac:dyDescent="0.25">
      <c r="A4963" s="106">
        <v>25889</v>
      </c>
      <c r="B4963" s="108" t="s">
        <v>10172</v>
      </c>
      <c r="C4963" s="110" t="s">
        <v>5767</v>
      </c>
      <c r="D4963" s="111">
        <v>1532.5</v>
      </c>
    </row>
    <row r="4964" spans="1:4" ht="38.25" x14ac:dyDescent="0.25">
      <c r="A4964" s="106">
        <v>25886</v>
      </c>
      <c r="B4964" s="108" t="s">
        <v>10173</v>
      </c>
      <c r="C4964" s="110" t="s">
        <v>5767</v>
      </c>
      <c r="D4964" s="111">
        <v>42.22</v>
      </c>
    </row>
    <row r="4965" spans="1:4" ht="38.25" x14ac:dyDescent="0.25">
      <c r="A4965" s="106">
        <v>25875</v>
      </c>
      <c r="B4965" s="108" t="s">
        <v>10174</v>
      </c>
      <c r="C4965" s="110" t="s">
        <v>5767</v>
      </c>
      <c r="D4965" s="111">
        <v>1999.4</v>
      </c>
    </row>
    <row r="4966" spans="1:4" x14ac:dyDescent="0.25">
      <c r="A4966" s="106">
        <v>9876</v>
      </c>
      <c r="B4966" s="108" t="s">
        <v>10175</v>
      </c>
      <c r="C4966" s="110" t="s">
        <v>5767</v>
      </c>
      <c r="D4966" s="111">
        <v>15.7</v>
      </c>
    </row>
    <row r="4967" spans="1:4" x14ac:dyDescent="0.25">
      <c r="A4967" s="106">
        <v>9877</v>
      </c>
      <c r="B4967" s="108" t="s">
        <v>10176</v>
      </c>
      <c r="C4967" s="110" t="s">
        <v>5767</v>
      </c>
      <c r="D4967" s="111">
        <v>55</v>
      </c>
    </row>
    <row r="4968" spans="1:4" x14ac:dyDescent="0.25">
      <c r="A4968" s="106">
        <v>9878</v>
      </c>
      <c r="B4968" s="108" t="s">
        <v>10177</v>
      </c>
      <c r="C4968" s="110" t="s">
        <v>5767</v>
      </c>
      <c r="D4968" s="111">
        <v>71.650000000000006</v>
      </c>
    </row>
    <row r="4969" spans="1:4" x14ac:dyDescent="0.25">
      <c r="A4969" s="106">
        <v>9879</v>
      </c>
      <c r="B4969" s="108" t="s">
        <v>10178</v>
      </c>
      <c r="C4969" s="110" t="s">
        <v>5767</v>
      </c>
      <c r="D4969" s="111">
        <v>171.01</v>
      </c>
    </row>
    <row r="4970" spans="1:4" ht="38.25" x14ac:dyDescent="0.25">
      <c r="A4970" s="106">
        <v>42001</v>
      </c>
      <c r="B4970" s="108" t="s">
        <v>10179</v>
      </c>
      <c r="C4970" s="110" t="s">
        <v>5767</v>
      </c>
      <c r="D4970" s="111">
        <v>362.16</v>
      </c>
    </row>
    <row r="4971" spans="1:4" ht="38.25" x14ac:dyDescent="0.25">
      <c r="A4971" s="106">
        <v>41998</v>
      </c>
      <c r="B4971" s="108" t="s">
        <v>10180</v>
      </c>
      <c r="C4971" s="110" t="s">
        <v>5767</v>
      </c>
      <c r="D4971" s="111">
        <v>892.48</v>
      </c>
    </row>
    <row r="4972" spans="1:4" ht="38.25" x14ac:dyDescent="0.25">
      <c r="A4972" s="106">
        <v>41999</v>
      </c>
      <c r="B4972" s="108" t="s">
        <v>10181</v>
      </c>
      <c r="C4972" s="110" t="s">
        <v>5767</v>
      </c>
      <c r="D4972" s="111">
        <v>1637.15</v>
      </c>
    </row>
    <row r="4973" spans="1:4" ht="38.25" x14ac:dyDescent="0.25">
      <c r="A4973" s="106">
        <v>42000</v>
      </c>
      <c r="B4973" s="108" t="s">
        <v>10182</v>
      </c>
      <c r="C4973" s="110" t="s">
        <v>5767</v>
      </c>
      <c r="D4973" s="111">
        <v>2795.75</v>
      </c>
    </row>
    <row r="4974" spans="1:4" ht="38.25" x14ac:dyDescent="0.25">
      <c r="A4974" s="106">
        <v>38053</v>
      </c>
      <c r="B4974" s="108" t="s">
        <v>10183</v>
      </c>
      <c r="C4974" s="110" t="s">
        <v>5767</v>
      </c>
      <c r="D4974" s="111">
        <v>9.85</v>
      </c>
    </row>
    <row r="4975" spans="1:4" ht="38.25" x14ac:dyDescent="0.25">
      <c r="A4975" s="106">
        <v>38054</v>
      </c>
      <c r="B4975" s="108" t="s">
        <v>10184</v>
      </c>
      <c r="C4975" s="110" t="s">
        <v>5767</v>
      </c>
      <c r="D4975" s="111">
        <v>16.93</v>
      </c>
    </row>
    <row r="4976" spans="1:4" ht="38.25" x14ac:dyDescent="0.25">
      <c r="A4976" s="106">
        <v>38052</v>
      </c>
      <c r="B4976" s="108" t="s">
        <v>538</v>
      </c>
      <c r="C4976" s="110" t="s">
        <v>5767</v>
      </c>
      <c r="D4976" s="111">
        <v>4.7699999999999996</v>
      </c>
    </row>
    <row r="4977" spans="1:4" ht="38.25" x14ac:dyDescent="0.25">
      <c r="A4977" s="106">
        <v>38051</v>
      </c>
      <c r="B4977" s="108" t="s">
        <v>10185</v>
      </c>
      <c r="C4977" s="110" t="s">
        <v>5767</v>
      </c>
      <c r="D4977" s="111">
        <v>2.97</v>
      </c>
    </row>
    <row r="4978" spans="1:4" x14ac:dyDescent="0.25">
      <c r="A4978" s="106">
        <v>38787</v>
      </c>
      <c r="B4978" s="108" t="s">
        <v>10186</v>
      </c>
      <c r="C4978" s="110" t="s">
        <v>5767</v>
      </c>
      <c r="D4978" s="111">
        <v>4.21</v>
      </c>
    </row>
    <row r="4979" spans="1:4" x14ac:dyDescent="0.25">
      <c r="A4979" s="106">
        <v>38825</v>
      </c>
      <c r="B4979" s="108" t="s">
        <v>10187</v>
      </c>
      <c r="C4979" s="110" t="s">
        <v>5767</v>
      </c>
      <c r="D4979" s="111">
        <v>5.51</v>
      </c>
    </row>
    <row r="4980" spans="1:4" x14ac:dyDescent="0.25">
      <c r="A4980" s="106">
        <v>38826</v>
      </c>
      <c r="B4980" s="108" t="s">
        <v>10188</v>
      </c>
      <c r="C4980" s="110" t="s">
        <v>5767</v>
      </c>
      <c r="D4980" s="111">
        <v>8.17</v>
      </c>
    </row>
    <row r="4981" spans="1:4" x14ac:dyDescent="0.25">
      <c r="A4981" s="106">
        <v>38827</v>
      </c>
      <c r="B4981" s="108" t="s">
        <v>10189</v>
      </c>
      <c r="C4981" s="110" t="s">
        <v>5767</v>
      </c>
      <c r="D4981" s="111">
        <v>13.13</v>
      </c>
    </row>
    <row r="4982" spans="1:4" ht="25.5" x14ac:dyDescent="0.25">
      <c r="A4982" s="106">
        <v>38830</v>
      </c>
      <c r="B4982" s="108" t="s">
        <v>10190</v>
      </c>
      <c r="C4982" s="110" t="s">
        <v>5767</v>
      </c>
      <c r="D4982" s="111">
        <v>18.39</v>
      </c>
    </row>
    <row r="4983" spans="1:4" ht="25.5" x14ac:dyDescent="0.25">
      <c r="A4983" s="106">
        <v>38828</v>
      </c>
      <c r="B4983" s="108" t="s">
        <v>10191</v>
      </c>
      <c r="C4983" s="110" t="s">
        <v>5767</v>
      </c>
      <c r="D4983" s="111">
        <v>8.11</v>
      </c>
    </row>
    <row r="4984" spans="1:4" ht="25.5" x14ac:dyDescent="0.25">
      <c r="A4984" s="106">
        <v>38829</v>
      </c>
      <c r="B4984" s="108" t="s">
        <v>10192</v>
      </c>
      <c r="C4984" s="110" t="s">
        <v>5767</v>
      </c>
      <c r="D4984" s="111">
        <v>13.28</v>
      </c>
    </row>
    <row r="4985" spans="1:4" ht="25.5" x14ac:dyDescent="0.25">
      <c r="A4985" s="106">
        <v>38831</v>
      </c>
      <c r="B4985" s="108" t="s">
        <v>10193</v>
      </c>
      <c r="C4985" s="110" t="s">
        <v>5767</v>
      </c>
      <c r="D4985" s="111">
        <v>25.64</v>
      </c>
    </row>
    <row r="4986" spans="1:4" x14ac:dyDescent="0.25">
      <c r="A4986" s="106">
        <v>36274</v>
      </c>
      <c r="B4986" s="108" t="s">
        <v>10194</v>
      </c>
      <c r="C4986" s="110" t="s">
        <v>5767</v>
      </c>
      <c r="D4986" s="111">
        <v>5.61</v>
      </c>
    </row>
    <row r="4987" spans="1:4" x14ac:dyDescent="0.25">
      <c r="A4987" s="106">
        <v>36278</v>
      </c>
      <c r="B4987" s="108" t="s">
        <v>10195</v>
      </c>
      <c r="C4987" s="110" t="s">
        <v>5767</v>
      </c>
      <c r="D4987" s="111">
        <v>7.61</v>
      </c>
    </row>
    <row r="4988" spans="1:4" x14ac:dyDescent="0.25">
      <c r="A4988" s="106">
        <v>38977</v>
      </c>
      <c r="B4988" s="108" t="s">
        <v>10196</v>
      </c>
      <c r="C4988" s="110" t="s">
        <v>5767</v>
      </c>
      <c r="D4988" s="111">
        <v>115.81</v>
      </c>
    </row>
    <row r="4989" spans="1:4" x14ac:dyDescent="0.25">
      <c r="A4989" s="106">
        <v>38971</v>
      </c>
      <c r="B4989" s="108" t="s">
        <v>10197</v>
      </c>
      <c r="C4989" s="110" t="s">
        <v>5767</v>
      </c>
      <c r="D4989" s="111">
        <v>9.5399999999999991</v>
      </c>
    </row>
    <row r="4990" spans="1:4" x14ac:dyDescent="0.25">
      <c r="A4990" s="106">
        <v>38972</v>
      </c>
      <c r="B4990" s="108" t="s">
        <v>10198</v>
      </c>
      <c r="C4990" s="110" t="s">
        <v>5767</v>
      </c>
      <c r="D4990" s="111">
        <v>14.53</v>
      </c>
    </row>
    <row r="4991" spans="1:4" x14ac:dyDescent="0.25">
      <c r="A4991" s="106">
        <v>38973</v>
      </c>
      <c r="B4991" s="108" t="s">
        <v>10199</v>
      </c>
      <c r="C4991" s="110" t="s">
        <v>5767</v>
      </c>
      <c r="D4991" s="111">
        <v>19.22</v>
      </c>
    </row>
    <row r="4992" spans="1:4" x14ac:dyDescent="0.25">
      <c r="A4992" s="106">
        <v>38974</v>
      </c>
      <c r="B4992" s="108" t="s">
        <v>10200</v>
      </c>
      <c r="C4992" s="110" t="s">
        <v>5767</v>
      </c>
      <c r="D4992" s="111">
        <v>28.03</v>
      </c>
    </row>
    <row r="4993" spans="1:4" x14ac:dyDescent="0.25">
      <c r="A4993" s="106">
        <v>38975</v>
      </c>
      <c r="B4993" s="108" t="s">
        <v>10201</v>
      </c>
      <c r="C4993" s="110" t="s">
        <v>5767</v>
      </c>
      <c r="D4993" s="111">
        <v>46.71</v>
      </c>
    </row>
    <row r="4994" spans="1:4" x14ac:dyDescent="0.25">
      <c r="A4994" s="106">
        <v>38976</v>
      </c>
      <c r="B4994" s="108" t="s">
        <v>10202</v>
      </c>
      <c r="C4994" s="110" t="s">
        <v>5767</v>
      </c>
      <c r="D4994" s="111">
        <v>65.510000000000005</v>
      </c>
    </row>
    <row r="4995" spans="1:4" ht="25.5" x14ac:dyDescent="0.25">
      <c r="A4995" s="106">
        <v>38986</v>
      </c>
      <c r="B4995" s="108" t="s">
        <v>10203</v>
      </c>
      <c r="C4995" s="110" t="s">
        <v>5767</v>
      </c>
      <c r="D4995" s="111">
        <v>131.84</v>
      </c>
    </row>
    <row r="4996" spans="1:4" x14ac:dyDescent="0.25">
      <c r="A4996" s="106">
        <v>38978</v>
      </c>
      <c r="B4996" s="108" t="s">
        <v>10204</v>
      </c>
      <c r="C4996" s="110" t="s">
        <v>5767</v>
      </c>
      <c r="D4996" s="111">
        <v>5.61</v>
      </c>
    </row>
    <row r="4997" spans="1:4" x14ac:dyDescent="0.25">
      <c r="A4997" s="106">
        <v>38979</v>
      </c>
      <c r="B4997" s="108" t="s">
        <v>10205</v>
      </c>
      <c r="C4997" s="110" t="s">
        <v>5767</v>
      </c>
      <c r="D4997" s="111">
        <v>7.61</v>
      </c>
    </row>
    <row r="4998" spans="1:4" x14ac:dyDescent="0.25">
      <c r="A4998" s="106">
        <v>38980</v>
      </c>
      <c r="B4998" s="108" t="s">
        <v>10206</v>
      </c>
      <c r="C4998" s="110" t="s">
        <v>5767</v>
      </c>
      <c r="D4998" s="111">
        <v>12.72</v>
      </c>
    </row>
    <row r="4999" spans="1:4" x14ac:dyDescent="0.25">
      <c r="A4999" s="106">
        <v>38981</v>
      </c>
      <c r="B4999" s="108" t="s">
        <v>10207</v>
      </c>
      <c r="C4999" s="110" t="s">
        <v>5767</v>
      </c>
      <c r="D4999" s="111">
        <v>17.61</v>
      </c>
    </row>
    <row r="5000" spans="1:4" x14ac:dyDescent="0.25">
      <c r="A5000" s="106">
        <v>38982</v>
      </c>
      <c r="B5000" s="108" t="s">
        <v>10208</v>
      </c>
      <c r="C5000" s="110" t="s">
        <v>5767</v>
      </c>
      <c r="D5000" s="111">
        <v>25.63</v>
      </c>
    </row>
    <row r="5001" spans="1:4" x14ac:dyDescent="0.25">
      <c r="A5001" s="106">
        <v>38983</v>
      </c>
      <c r="B5001" s="108" t="s">
        <v>10209</v>
      </c>
      <c r="C5001" s="110" t="s">
        <v>5767</v>
      </c>
      <c r="D5001" s="111">
        <v>33.99</v>
      </c>
    </row>
    <row r="5002" spans="1:4" x14ac:dyDescent="0.25">
      <c r="A5002" s="106">
        <v>38984</v>
      </c>
      <c r="B5002" s="108" t="s">
        <v>10210</v>
      </c>
      <c r="C5002" s="110" t="s">
        <v>5767</v>
      </c>
      <c r="D5002" s="111">
        <v>65.55</v>
      </c>
    </row>
    <row r="5003" spans="1:4" x14ac:dyDescent="0.25">
      <c r="A5003" s="106">
        <v>38985</v>
      </c>
      <c r="B5003" s="108" t="s">
        <v>10211</v>
      </c>
      <c r="C5003" s="110" t="s">
        <v>5767</v>
      </c>
      <c r="D5003" s="111">
        <v>97.05</v>
      </c>
    </row>
    <row r="5004" spans="1:4" ht="25.5" x14ac:dyDescent="0.25">
      <c r="A5004" s="106">
        <v>9836</v>
      </c>
      <c r="B5004" s="108" t="s">
        <v>10212</v>
      </c>
      <c r="C5004" s="110" t="s">
        <v>5767</v>
      </c>
      <c r="D5004" s="111">
        <v>10.24</v>
      </c>
    </row>
    <row r="5005" spans="1:4" ht="25.5" x14ac:dyDescent="0.25">
      <c r="A5005" s="106">
        <v>20065</v>
      </c>
      <c r="B5005" s="108" t="s">
        <v>10213</v>
      </c>
      <c r="C5005" s="110" t="s">
        <v>5767</v>
      </c>
      <c r="D5005" s="111">
        <v>26.19</v>
      </c>
    </row>
    <row r="5006" spans="1:4" ht="25.5" x14ac:dyDescent="0.25">
      <c r="A5006" s="106">
        <v>9835</v>
      </c>
      <c r="B5006" s="108" t="s">
        <v>10214</v>
      </c>
      <c r="C5006" s="110" t="s">
        <v>5767</v>
      </c>
      <c r="D5006" s="111">
        <v>3.69</v>
      </c>
    </row>
    <row r="5007" spans="1:4" ht="25.5" x14ac:dyDescent="0.25">
      <c r="A5007" s="106">
        <v>38032</v>
      </c>
      <c r="B5007" s="108" t="s">
        <v>10215</v>
      </c>
      <c r="C5007" s="110" t="s">
        <v>5767</v>
      </c>
      <c r="D5007" s="111">
        <v>29.74</v>
      </c>
    </row>
    <row r="5008" spans="1:4" ht="25.5" x14ac:dyDescent="0.25">
      <c r="A5008" s="106">
        <v>38033</v>
      </c>
      <c r="B5008" s="108" t="s">
        <v>10216</v>
      </c>
      <c r="C5008" s="110" t="s">
        <v>5767</v>
      </c>
      <c r="D5008" s="111">
        <v>48.67</v>
      </c>
    </row>
    <row r="5009" spans="1:4" ht="25.5" x14ac:dyDescent="0.25">
      <c r="A5009" s="106">
        <v>38034</v>
      </c>
      <c r="B5009" s="108" t="s">
        <v>10217</v>
      </c>
      <c r="C5009" s="110" t="s">
        <v>5767</v>
      </c>
      <c r="D5009" s="111">
        <v>80.52</v>
      </c>
    </row>
    <row r="5010" spans="1:4" ht="25.5" x14ac:dyDescent="0.25">
      <c r="A5010" s="106">
        <v>38035</v>
      </c>
      <c r="B5010" s="108" t="s">
        <v>10218</v>
      </c>
      <c r="C5010" s="110" t="s">
        <v>5767</v>
      </c>
      <c r="D5010" s="111">
        <v>112.2</v>
      </c>
    </row>
    <row r="5011" spans="1:4" ht="25.5" x14ac:dyDescent="0.25">
      <c r="A5011" s="106">
        <v>38036</v>
      </c>
      <c r="B5011" s="108" t="s">
        <v>10219</v>
      </c>
      <c r="C5011" s="110" t="s">
        <v>5767</v>
      </c>
      <c r="D5011" s="111">
        <v>158.32</v>
      </c>
    </row>
    <row r="5012" spans="1:4" ht="25.5" x14ac:dyDescent="0.25">
      <c r="A5012" s="106">
        <v>38037</v>
      </c>
      <c r="B5012" s="108" t="s">
        <v>10220</v>
      </c>
      <c r="C5012" s="110" t="s">
        <v>5767</v>
      </c>
      <c r="D5012" s="111">
        <v>183.57</v>
      </c>
    </row>
    <row r="5013" spans="1:4" ht="25.5" x14ac:dyDescent="0.25">
      <c r="A5013" s="106">
        <v>9850</v>
      </c>
      <c r="B5013" s="108" t="s">
        <v>10221</v>
      </c>
      <c r="C5013" s="110" t="s">
        <v>5767</v>
      </c>
      <c r="D5013" s="111">
        <v>95.5</v>
      </c>
    </row>
    <row r="5014" spans="1:4" ht="25.5" x14ac:dyDescent="0.25">
      <c r="A5014" s="106">
        <v>9853</v>
      </c>
      <c r="B5014" s="108" t="s">
        <v>10222</v>
      </c>
      <c r="C5014" s="110" t="s">
        <v>5767</v>
      </c>
      <c r="D5014" s="111">
        <v>169.83</v>
      </c>
    </row>
    <row r="5015" spans="1:4" ht="25.5" x14ac:dyDescent="0.25">
      <c r="A5015" s="106">
        <v>9854</v>
      </c>
      <c r="B5015" s="108" t="s">
        <v>10223</v>
      </c>
      <c r="C5015" s="110" t="s">
        <v>5767</v>
      </c>
      <c r="D5015" s="111">
        <v>74.41</v>
      </c>
    </row>
    <row r="5016" spans="1:4" ht="25.5" x14ac:dyDescent="0.25">
      <c r="A5016" s="106">
        <v>9851</v>
      </c>
      <c r="B5016" s="108" t="s">
        <v>10224</v>
      </c>
      <c r="C5016" s="110" t="s">
        <v>5767</v>
      </c>
      <c r="D5016" s="111">
        <v>129.03</v>
      </c>
    </row>
    <row r="5017" spans="1:4" ht="25.5" x14ac:dyDescent="0.25">
      <c r="A5017" s="106">
        <v>9855</v>
      </c>
      <c r="B5017" s="108" t="s">
        <v>10225</v>
      </c>
      <c r="C5017" s="110" t="s">
        <v>5767</v>
      </c>
      <c r="D5017" s="111">
        <v>215.81</v>
      </c>
    </row>
    <row r="5018" spans="1:4" ht="25.5" x14ac:dyDescent="0.25">
      <c r="A5018" s="106">
        <v>9825</v>
      </c>
      <c r="B5018" s="108" t="s">
        <v>10226</v>
      </c>
      <c r="C5018" s="110" t="s">
        <v>5767</v>
      </c>
      <c r="D5018" s="111">
        <v>35.29</v>
      </c>
    </row>
    <row r="5019" spans="1:4" ht="25.5" x14ac:dyDescent="0.25">
      <c r="A5019" s="106">
        <v>9828</v>
      </c>
      <c r="B5019" s="108" t="s">
        <v>10227</v>
      </c>
      <c r="C5019" s="110" t="s">
        <v>5767</v>
      </c>
      <c r="D5019" s="111">
        <v>94.97</v>
      </c>
    </row>
    <row r="5020" spans="1:4" ht="25.5" x14ac:dyDescent="0.25">
      <c r="A5020" s="106">
        <v>9829</v>
      </c>
      <c r="B5020" s="108" t="s">
        <v>10228</v>
      </c>
      <c r="C5020" s="110" t="s">
        <v>5767</v>
      </c>
      <c r="D5020" s="111">
        <v>160.94999999999999</v>
      </c>
    </row>
    <row r="5021" spans="1:4" ht="25.5" x14ac:dyDescent="0.25">
      <c r="A5021" s="106">
        <v>9826</v>
      </c>
      <c r="B5021" s="108" t="s">
        <v>10229</v>
      </c>
      <c r="C5021" s="110" t="s">
        <v>5767</v>
      </c>
      <c r="D5021" s="111">
        <v>245.02</v>
      </c>
    </row>
    <row r="5022" spans="1:4" ht="25.5" x14ac:dyDescent="0.25">
      <c r="A5022" s="106">
        <v>9827</v>
      </c>
      <c r="B5022" s="108" t="s">
        <v>10230</v>
      </c>
      <c r="C5022" s="110" t="s">
        <v>5767</v>
      </c>
      <c r="D5022" s="111">
        <v>347.93</v>
      </c>
    </row>
    <row r="5023" spans="1:4" ht="25.5" x14ac:dyDescent="0.25">
      <c r="A5023" s="106">
        <v>36374</v>
      </c>
      <c r="B5023" s="108" t="s">
        <v>10231</v>
      </c>
      <c r="C5023" s="110" t="s">
        <v>5767</v>
      </c>
      <c r="D5023" s="111">
        <v>42.29</v>
      </c>
    </row>
    <row r="5024" spans="1:4" ht="25.5" x14ac:dyDescent="0.25">
      <c r="A5024" s="106">
        <v>36084</v>
      </c>
      <c r="B5024" s="108" t="s">
        <v>10232</v>
      </c>
      <c r="C5024" s="110" t="s">
        <v>5767</v>
      </c>
      <c r="D5024" s="111">
        <v>12.53</v>
      </c>
    </row>
    <row r="5025" spans="1:4" ht="25.5" x14ac:dyDescent="0.25">
      <c r="A5025" s="106">
        <v>36373</v>
      </c>
      <c r="B5025" s="108" t="s">
        <v>10233</v>
      </c>
      <c r="C5025" s="110" t="s">
        <v>5767</v>
      </c>
      <c r="D5025" s="111">
        <v>26.02</v>
      </c>
    </row>
    <row r="5026" spans="1:4" ht="25.5" x14ac:dyDescent="0.25">
      <c r="A5026" s="106">
        <v>36377</v>
      </c>
      <c r="B5026" s="108" t="s">
        <v>10234</v>
      </c>
      <c r="C5026" s="110" t="s">
        <v>5767</v>
      </c>
      <c r="D5026" s="111">
        <v>50.73</v>
      </c>
    </row>
    <row r="5027" spans="1:4" ht="25.5" x14ac:dyDescent="0.25">
      <c r="A5027" s="106">
        <v>36375</v>
      </c>
      <c r="B5027" s="108" t="s">
        <v>10235</v>
      </c>
      <c r="C5027" s="110" t="s">
        <v>5767</v>
      </c>
      <c r="D5027" s="111">
        <v>15.46</v>
      </c>
    </row>
    <row r="5028" spans="1:4" ht="25.5" x14ac:dyDescent="0.25">
      <c r="A5028" s="106">
        <v>36376</v>
      </c>
      <c r="B5028" s="108" t="s">
        <v>10236</v>
      </c>
      <c r="C5028" s="110" t="s">
        <v>5767</v>
      </c>
      <c r="D5028" s="111">
        <v>30.36</v>
      </c>
    </row>
    <row r="5029" spans="1:4" ht="25.5" x14ac:dyDescent="0.25">
      <c r="A5029" s="106">
        <v>36380</v>
      </c>
      <c r="B5029" s="108" t="s">
        <v>10237</v>
      </c>
      <c r="C5029" s="110" t="s">
        <v>5767</v>
      </c>
      <c r="D5029" s="111">
        <v>63.44</v>
      </c>
    </row>
    <row r="5030" spans="1:4" ht="25.5" x14ac:dyDescent="0.25">
      <c r="A5030" s="106">
        <v>36378</v>
      </c>
      <c r="B5030" s="108" t="s">
        <v>10238</v>
      </c>
      <c r="C5030" s="110" t="s">
        <v>5767</v>
      </c>
      <c r="D5030" s="111">
        <v>19.010000000000002</v>
      </c>
    </row>
    <row r="5031" spans="1:4" ht="25.5" x14ac:dyDescent="0.25">
      <c r="A5031" s="106">
        <v>36379</v>
      </c>
      <c r="B5031" s="108" t="s">
        <v>636</v>
      </c>
      <c r="C5031" s="110" t="s">
        <v>5767</v>
      </c>
      <c r="D5031" s="111">
        <v>38.32</v>
      </c>
    </row>
    <row r="5032" spans="1:4" x14ac:dyDescent="0.25">
      <c r="A5032" s="106">
        <v>9859</v>
      </c>
      <c r="B5032" s="108" t="s">
        <v>10239</v>
      </c>
      <c r="C5032" s="110" t="s">
        <v>5767</v>
      </c>
      <c r="D5032" s="111">
        <v>7.6</v>
      </c>
    </row>
    <row r="5033" spans="1:4" x14ac:dyDescent="0.25">
      <c r="A5033" s="106">
        <v>9838</v>
      </c>
      <c r="B5033" s="108" t="s">
        <v>10240</v>
      </c>
      <c r="C5033" s="110" t="s">
        <v>5767</v>
      </c>
      <c r="D5033" s="111">
        <v>6.28</v>
      </c>
    </row>
    <row r="5034" spans="1:4" x14ac:dyDescent="0.25">
      <c r="A5034" s="106">
        <v>9837</v>
      </c>
      <c r="B5034" s="108" t="s">
        <v>621</v>
      </c>
      <c r="C5034" s="110" t="s">
        <v>5767</v>
      </c>
      <c r="D5034" s="111">
        <v>9.07</v>
      </c>
    </row>
    <row r="5035" spans="1:4" ht="25.5" x14ac:dyDescent="0.25">
      <c r="A5035" s="106">
        <v>9833</v>
      </c>
      <c r="B5035" s="108" t="s">
        <v>10241</v>
      </c>
      <c r="C5035" s="110" t="s">
        <v>5767</v>
      </c>
      <c r="D5035" s="111">
        <v>8.91</v>
      </c>
    </row>
    <row r="5036" spans="1:4" ht="25.5" x14ac:dyDescent="0.25">
      <c r="A5036" s="106">
        <v>9830</v>
      </c>
      <c r="B5036" s="108" t="s">
        <v>10242</v>
      </c>
      <c r="C5036" s="110" t="s">
        <v>5767</v>
      </c>
      <c r="D5036" s="111">
        <v>4.7699999999999996</v>
      </c>
    </row>
    <row r="5037" spans="1:4" ht="25.5" x14ac:dyDescent="0.25">
      <c r="A5037" s="106">
        <v>9834</v>
      </c>
      <c r="B5037" s="108" t="s">
        <v>10243</v>
      </c>
      <c r="C5037" s="110" t="s">
        <v>5767</v>
      </c>
      <c r="D5037" s="111">
        <v>24.81</v>
      </c>
    </row>
    <row r="5038" spans="1:4" x14ac:dyDescent="0.25">
      <c r="A5038" s="106">
        <v>9863</v>
      </c>
      <c r="B5038" s="108" t="s">
        <v>10244</v>
      </c>
      <c r="C5038" s="110" t="s">
        <v>5767</v>
      </c>
      <c r="D5038" s="111">
        <v>54.86</v>
      </c>
    </row>
    <row r="5039" spans="1:4" x14ac:dyDescent="0.25">
      <c r="A5039" s="106">
        <v>9860</v>
      </c>
      <c r="B5039" s="108" t="s">
        <v>10245</v>
      </c>
      <c r="C5039" s="110" t="s">
        <v>5767</v>
      </c>
      <c r="D5039" s="111">
        <v>35.22</v>
      </c>
    </row>
    <row r="5040" spans="1:4" x14ac:dyDescent="0.25">
      <c r="A5040" s="106">
        <v>9862</v>
      </c>
      <c r="B5040" s="108" t="s">
        <v>10246</v>
      </c>
      <c r="C5040" s="110" t="s">
        <v>5767</v>
      </c>
      <c r="D5040" s="111">
        <v>24.85</v>
      </c>
    </row>
    <row r="5041" spans="1:4" x14ac:dyDescent="0.25">
      <c r="A5041" s="106">
        <v>9861</v>
      </c>
      <c r="B5041" s="108" t="s">
        <v>10247</v>
      </c>
      <c r="C5041" s="110" t="s">
        <v>5767</v>
      </c>
      <c r="D5041" s="111">
        <v>19.97</v>
      </c>
    </row>
    <row r="5042" spans="1:4" x14ac:dyDescent="0.25">
      <c r="A5042" s="106">
        <v>9856</v>
      </c>
      <c r="B5042" s="108" t="s">
        <v>10248</v>
      </c>
      <c r="C5042" s="110" t="s">
        <v>5767</v>
      </c>
      <c r="D5042" s="111">
        <v>5.37</v>
      </c>
    </row>
    <row r="5043" spans="1:4" x14ac:dyDescent="0.25">
      <c r="A5043" s="106">
        <v>9866</v>
      </c>
      <c r="B5043" s="108" t="s">
        <v>10249</v>
      </c>
      <c r="C5043" s="110" t="s">
        <v>5767</v>
      </c>
      <c r="D5043" s="111">
        <v>14.75</v>
      </c>
    </row>
    <row r="5044" spans="1:4" x14ac:dyDescent="0.25">
      <c r="A5044" s="106">
        <v>9857</v>
      </c>
      <c r="B5044" s="108" t="s">
        <v>10250</v>
      </c>
      <c r="C5044" s="110" t="s">
        <v>5767</v>
      </c>
      <c r="D5044" s="111">
        <v>70.95</v>
      </c>
    </row>
    <row r="5045" spans="1:4" x14ac:dyDescent="0.25">
      <c r="A5045" s="106">
        <v>9864</v>
      </c>
      <c r="B5045" s="108" t="s">
        <v>10251</v>
      </c>
      <c r="C5045" s="110" t="s">
        <v>5767</v>
      </c>
      <c r="D5045" s="111">
        <v>85.66</v>
      </c>
    </row>
    <row r="5046" spans="1:4" x14ac:dyDescent="0.25">
      <c r="A5046" s="106">
        <v>9865</v>
      </c>
      <c r="B5046" s="108" t="s">
        <v>10252</v>
      </c>
      <c r="C5046" s="110" t="s">
        <v>5767</v>
      </c>
      <c r="D5046" s="111">
        <v>123.19</v>
      </c>
    </row>
    <row r="5047" spans="1:4" x14ac:dyDescent="0.25">
      <c r="A5047" s="106">
        <v>9858</v>
      </c>
      <c r="B5047" s="108" t="s">
        <v>10253</v>
      </c>
      <c r="C5047" s="110" t="s">
        <v>5767</v>
      </c>
      <c r="D5047" s="111">
        <v>129.15</v>
      </c>
    </row>
    <row r="5048" spans="1:4" ht="25.5" x14ac:dyDescent="0.25">
      <c r="A5048" s="106">
        <v>9841</v>
      </c>
      <c r="B5048" s="108" t="s">
        <v>10254</v>
      </c>
      <c r="C5048" s="110" t="s">
        <v>5767</v>
      </c>
      <c r="D5048" s="111">
        <v>25.27</v>
      </c>
    </row>
    <row r="5049" spans="1:4" ht="25.5" x14ac:dyDescent="0.25">
      <c r="A5049" s="106">
        <v>9840</v>
      </c>
      <c r="B5049" s="108" t="s">
        <v>10255</v>
      </c>
      <c r="C5049" s="110" t="s">
        <v>5767</v>
      </c>
      <c r="D5049" s="111">
        <v>51.36</v>
      </c>
    </row>
    <row r="5050" spans="1:4" ht="25.5" x14ac:dyDescent="0.25">
      <c r="A5050" s="106">
        <v>20067</v>
      </c>
      <c r="B5050" s="108" t="s">
        <v>10256</v>
      </c>
      <c r="C5050" s="110" t="s">
        <v>5767</v>
      </c>
      <c r="D5050" s="111">
        <v>8.82</v>
      </c>
    </row>
    <row r="5051" spans="1:4" ht="25.5" x14ac:dyDescent="0.25">
      <c r="A5051" s="106">
        <v>20068</v>
      </c>
      <c r="B5051" s="108" t="s">
        <v>10257</v>
      </c>
      <c r="C5051" s="110" t="s">
        <v>5767</v>
      </c>
      <c r="D5051" s="111">
        <v>11</v>
      </c>
    </row>
    <row r="5052" spans="1:4" ht="25.5" x14ac:dyDescent="0.25">
      <c r="A5052" s="106">
        <v>9839</v>
      </c>
      <c r="B5052" s="108" t="s">
        <v>10258</v>
      </c>
      <c r="C5052" s="110" t="s">
        <v>5767</v>
      </c>
      <c r="D5052" s="111">
        <v>14.42</v>
      </c>
    </row>
    <row r="5053" spans="1:4" x14ac:dyDescent="0.25">
      <c r="A5053" s="106">
        <v>9870</v>
      </c>
      <c r="B5053" s="108" t="s">
        <v>10259</v>
      </c>
      <c r="C5053" s="110" t="s">
        <v>5767</v>
      </c>
      <c r="D5053" s="111">
        <v>59.82</v>
      </c>
    </row>
    <row r="5054" spans="1:4" x14ac:dyDescent="0.25">
      <c r="A5054" s="106">
        <v>9867</v>
      </c>
      <c r="B5054" s="108" t="s">
        <v>10260</v>
      </c>
      <c r="C5054" s="110" t="s">
        <v>5767</v>
      </c>
      <c r="D5054" s="111">
        <v>2.2000000000000002</v>
      </c>
    </row>
    <row r="5055" spans="1:4" x14ac:dyDescent="0.25">
      <c r="A5055" s="106">
        <v>9868</v>
      </c>
      <c r="B5055" s="108" t="s">
        <v>413</v>
      </c>
      <c r="C5055" s="110" t="s">
        <v>5767</v>
      </c>
      <c r="D5055" s="111">
        <v>2.82</v>
      </c>
    </row>
    <row r="5056" spans="1:4" x14ac:dyDescent="0.25">
      <c r="A5056" s="106">
        <v>9869</v>
      </c>
      <c r="B5056" s="108" t="s">
        <v>593</v>
      </c>
      <c r="C5056" s="110" t="s">
        <v>5767</v>
      </c>
      <c r="D5056" s="111">
        <v>6.33</v>
      </c>
    </row>
    <row r="5057" spans="1:4" x14ac:dyDescent="0.25">
      <c r="A5057" s="106">
        <v>9874</v>
      </c>
      <c r="B5057" s="108" t="s">
        <v>594</v>
      </c>
      <c r="C5057" s="110" t="s">
        <v>5767</v>
      </c>
      <c r="D5057" s="111">
        <v>9.2200000000000006</v>
      </c>
    </row>
    <row r="5058" spans="1:4" x14ac:dyDescent="0.25">
      <c r="A5058" s="106">
        <v>9875</v>
      </c>
      <c r="B5058" s="108" t="s">
        <v>10261</v>
      </c>
      <c r="C5058" s="110" t="s">
        <v>5767</v>
      </c>
      <c r="D5058" s="111">
        <v>10.56</v>
      </c>
    </row>
    <row r="5059" spans="1:4" x14ac:dyDescent="0.25">
      <c r="A5059" s="106">
        <v>9873</v>
      </c>
      <c r="B5059" s="108" t="s">
        <v>10262</v>
      </c>
      <c r="C5059" s="110" t="s">
        <v>5767</v>
      </c>
      <c r="D5059" s="111">
        <v>17.809999999999999</v>
      </c>
    </row>
    <row r="5060" spans="1:4" x14ac:dyDescent="0.25">
      <c r="A5060" s="106">
        <v>9871</v>
      </c>
      <c r="B5060" s="108" t="s">
        <v>10263</v>
      </c>
      <c r="C5060" s="110" t="s">
        <v>5767</v>
      </c>
      <c r="D5060" s="111">
        <v>29.84</v>
      </c>
    </row>
    <row r="5061" spans="1:4" x14ac:dyDescent="0.25">
      <c r="A5061" s="106">
        <v>9872</v>
      </c>
      <c r="B5061" s="108" t="s">
        <v>10264</v>
      </c>
      <c r="C5061" s="110" t="s">
        <v>5767</v>
      </c>
      <c r="D5061" s="111">
        <v>37.29</v>
      </c>
    </row>
    <row r="5062" spans="1:4" x14ac:dyDescent="0.25">
      <c r="A5062" s="106">
        <v>7667</v>
      </c>
      <c r="B5062" s="108" t="s">
        <v>10265</v>
      </c>
      <c r="C5062" s="110" t="s">
        <v>5767</v>
      </c>
      <c r="D5062" s="111">
        <v>1530.77</v>
      </c>
    </row>
    <row r="5063" spans="1:4" x14ac:dyDescent="0.25">
      <c r="A5063" s="106">
        <v>7660</v>
      </c>
      <c r="B5063" s="108" t="s">
        <v>10266</v>
      </c>
      <c r="C5063" s="110" t="s">
        <v>5767</v>
      </c>
      <c r="D5063" s="111">
        <v>1951.37</v>
      </c>
    </row>
    <row r="5064" spans="1:4" x14ac:dyDescent="0.25">
      <c r="A5064" s="106">
        <v>7676</v>
      </c>
      <c r="B5064" s="108" t="s">
        <v>10267</v>
      </c>
      <c r="C5064" s="110" t="s">
        <v>5767</v>
      </c>
      <c r="D5064" s="111">
        <v>1973.67</v>
      </c>
    </row>
    <row r="5065" spans="1:4" x14ac:dyDescent="0.25">
      <c r="A5065" s="106">
        <v>12426</v>
      </c>
      <c r="B5065" s="108" t="s">
        <v>10268</v>
      </c>
      <c r="C5065" s="110" t="s">
        <v>5755</v>
      </c>
      <c r="D5065" s="111">
        <v>23.78</v>
      </c>
    </row>
    <row r="5066" spans="1:4" x14ac:dyDescent="0.25">
      <c r="A5066" s="106">
        <v>12425</v>
      </c>
      <c r="B5066" s="108" t="s">
        <v>10269</v>
      </c>
      <c r="C5066" s="110" t="s">
        <v>5755</v>
      </c>
      <c r="D5066" s="111">
        <v>32.67</v>
      </c>
    </row>
    <row r="5067" spans="1:4" x14ac:dyDescent="0.25">
      <c r="A5067" s="106">
        <v>12427</v>
      </c>
      <c r="B5067" s="108" t="s">
        <v>10270</v>
      </c>
      <c r="C5067" s="110" t="s">
        <v>5755</v>
      </c>
      <c r="D5067" s="111">
        <v>135.62</v>
      </c>
    </row>
    <row r="5068" spans="1:4" x14ac:dyDescent="0.25">
      <c r="A5068" s="106">
        <v>12428</v>
      </c>
      <c r="B5068" s="108" t="s">
        <v>10271</v>
      </c>
      <c r="C5068" s="110" t="s">
        <v>5755</v>
      </c>
      <c r="D5068" s="111">
        <v>87.05</v>
      </c>
    </row>
    <row r="5069" spans="1:4" x14ac:dyDescent="0.25">
      <c r="A5069" s="106">
        <v>12430</v>
      </c>
      <c r="B5069" s="108" t="s">
        <v>10272</v>
      </c>
      <c r="C5069" s="110" t="s">
        <v>5755</v>
      </c>
      <c r="D5069" s="111">
        <v>29.15</v>
      </c>
    </row>
    <row r="5070" spans="1:4" x14ac:dyDescent="0.25">
      <c r="A5070" s="106">
        <v>12429</v>
      </c>
      <c r="B5070" s="108" t="s">
        <v>10273</v>
      </c>
      <c r="C5070" s="110" t="s">
        <v>5755</v>
      </c>
      <c r="D5070" s="111">
        <v>219.31</v>
      </c>
    </row>
    <row r="5071" spans="1:4" x14ac:dyDescent="0.25">
      <c r="A5071" s="106">
        <v>12431</v>
      </c>
      <c r="B5071" s="108" t="s">
        <v>10274</v>
      </c>
      <c r="C5071" s="110" t="s">
        <v>5755</v>
      </c>
      <c r="D5071" s="111">
        <v>373.23</v>
      </c>
    </row>
    <row r="5072" spans="1:4" ht="25.5" x14ac:dyDescent="0.25">
      <c r="A5072" s="106">
        <v>12432</v>
      </c>
      <c r="B5072" s="108" t="s">
        <v>10275</v>
      </c>
      <c r="C5072" s="110" t="s">
        <v>5755</v>
      </c>
      <c r="D5072" s="111">
        <v>76.760000000000005</v>
      </c>
    </row>
    <row r="5073" spans="1:4" ht="25.5" x14ac:dyDescent="0.25">
      <c r="A5073" s="106">
        <v>12434</v>
      </c>
      <c r="B5073" s="108" t="s">
        <v>10276</v>
      </c>
      <c r="C5073" s="110" t="s">
        <v>5755</v>
      </c>
      <c r="D5073" s="111">
        <v>25.01</v>
      </c>
    </row>
    <row r="5074" spans="1:4" ht="25.5" x14ac:dyDescent="0.25">
      <c r="A5074" s="106">
        <v>12433</v>
      </c>
      <c r="B5074" s="108" t="s">
        <v>10277</v>
      </c>
      <c r="C5074" s="110" t="s">
        <v>5755</v>
      </c>
      <c r="D5074" s="111">
        <v>48.86</v>
      </c>
    </row>
    <row r="5075" spans="1:4" ht="25.5" x14ac:dyDescent="0.25">
      <c r="A5075" s="106">
        <v>12435</v>
      </c>
      <c r="B5075" s="108" t="s">
        <v>10278</v>
      </c>
      <c r="C5075" s="110" t="s">
        <v>5755</v>
      </c>
      <c r="D5075" s="111">
        <v>151.22999999999999</v>
      </c>
    </row>
    <row r="5076" spans="1:4" ht="25.5" x14ac:dyDescent="0.25">
      <c r="A5076" s="106">
        <v>12437</v>
      </c>
      <c r="B5076" s="108" t="s">
        <v>10279</v>
      </c>
      <c r="C5076" s="110" t="s">
        <v>5755</v>
      </c>
      <c r="D5076" s="111">
        <v>122.14</v>
      </c>
    </row>
    <row r="5077" spans="1:4" ht="25.5" x14ac:dyDescent="0.25">
      <c r="A5077" s="106">
        <v>12439</v>
      </c>
      <c r="B5077" s="108" t="s">
        <v>10280</v>
      </c>
      <c r="C5077" s="110" t="s">
        <v>5755</v>
      </c>
      <c r="D5077" s="111">
        <v>39.200000000000003</v>
      </c>
    </row>
    <row r="5078" spans="1:4" ht="25.5" x14ac:dyDescent="0.25">
      <c r="A5078" s="106">
        <v>12438</v>
      </c>
      <c r="B5078" s="108" t="s">
        <v>10281</v>
      </c>
      <c r="C5078" s="110" t="s">
        <v>5755</v>
      </c>
      <c r="D5078" s="111">
        <v>221.03</v>
      </c>
    </row>
    <row r="5079" spans="1:4" ht="25.5" x14ac:dyDescent="0.25">
      <c r="A5079" s="106">
        <v>12436</v>
      </c>
      <c r="B5079" s="108" t="s">
        <v>10282</v>
      </c>
      <c r="C5079" s="110" t="s">
        <v>5755</v>
      </c>
      <c r="D5079" s="111">
        <v>279.20999999999998</v>
      </c>
    </row>
    <row r="5080" spans="1:4" x14ac:dyDescent="0.25">
      <c r="A5080" s="106">
        <v>36357</v>
      </c>
      <c r="B5080" s="108" t="s">
        <v>10283</v>
      </c>
      <c r="C5080" s="110" t="s">
        <v>5755</v>
      </c>
      <c r="D5080" s="111">
        <v>99.8</v>
      </c>
    </row>
    <row r="5081" spans="1:4" ht="25.5" x14ac:dyDescent="0.25">
      <c r="A5081" s="106">
        <v>12424</v>
      </c>
      <c r="B5081" s="108" t="s">
        <v>10284</v>
      </c>
      <c r="C5081" s="110" t="s">
        <v>5755</v>
      </c>
      <c r="D5081" s="111">
        <v>50.31</v>
      </c>
    </row>
    <row r="5082" spans="1:4" ht="25.5" x14ac:dyDescent="0.25">
      <c r="A5082" s="106">
        <v>12440</v>
      </c>
      <c r="B5082" s="108" t="s">
        <v>10285</v>
      </c>
      <c r="C5082" s="110" t="s">
        <v>5755</v>
      </c>
      <c r="D5082" s="111">
        <v>48.63</v>
      </c>
    </row>
    <row r="5083" spans="1:4" ht="25.5" x14ac:dyDescent="0.25">
      <c r="A5083" s="106">
        <v>9884</v>
      </c>
      <c r="B5083" s="108" t="s">
        <v>10286</v>
      </c>
      <c r="C5083" s="110" t="s">
        <v>5755</v>
      </c>
      <c r="D5083" s="111">
        <v>36.270000000000003</v>
      </c>
    </row>
    <row r="5084" spans="1:4" ht="25.5" x14ac:dyDescent="0.25">
      <c r="A5084" s="106">
        <v>9888</v>
      </c>
      <c r="B5084" s="108" t="s">
        <v>10287</v>
      </c>
      <c r="C5084" s="110" t="s">
        <v>5755</v>
      </c>
      <c r="D5084" s="111">
        <v>29.14</v>
      </c>
    </row>
    <row r="5085" spans="1:4" ht="25.5" x14ac:dyDescent="0.25">
      <c r="A5085" s="106">
        <v>9883</v>
      </c>
      <c r="B5085" s="108" t="s">
        <v>10288</v>
      </c>
      <c r="C5085" s="110" t="s">
        <v>5755</v>
      </c>
      <c r="D5085" s="111">
        <v>12.71</v>
      </c>
    </row>
    <row r="5086" spans="1:4" ht="25.5" x14ac:dyDescent="0.25">
      <c r="A5086" s="106">
        <v>9886</v>
      </c>
      <c r="B5086" s="108" t="s">
        <v>10289</v>
      </c>
      <c r="C5086" s="110" t="s">
        <v>5755</v>
      </c>
      <c r="D5086" s="111">
        <v>17.420000000000002</v>
      </c>
    </row>
    <row r="5087" spans="1:4" ht="25.5" x14ac:dyDescent="0.25">
      <c r="A5087" s="106">
        <v>9889</v>
      </c>
      <c r="B5087" s="108" t="s">
        <v>10290</v>
      </c>
      <c r="C5087" s="110" t="s">
        <v>5755</v>
      </c>
      <c r="D5087" s="111">
        <v>88.25</v>
      </c>
    </row>
    <row r="5088" spans="1:4" ht="25.5" x14ac:dyDescent="0.25">
      <c r="A5088" s="106">
        <v>9887</v>
      </c>
      <c r="B5088" s="108" t="s">
        <v>10291</v>
      </c>
      <c r="C5088" s="110" t="s">
        <v>5755</v>
      </c>
      <c r="D5088" s="111">
        <v>53.34</v>
      </c>
    </row>
    <row r="5089" spans="1:4" ht="25.5" x14ac:dyDescent="0.25">
      <c r="A5089" s="106">
        <v>9885</v>
      </c>
      <c r="B5089" s="108" t="s">
        <v>10292</v>
      </c>
      <c r="C5089" s="110" t="s">
        <v>5755</v>
      </c>
      <c r="D5089" s="111">
        <v>16.84</v>
      </c>
    </row>
    <row r="5090" spans="1:4" ht="25.5" x14ac:dyDescent="0.25">
      <c r="A5090" s="106">
        <v>9890</v>
      </c>
      <c r="B5090" s="108" t="s">
        <v>10293</v>
      </c>
      <c r="C5090" s="110" t="s">
        <v>5755</v>
      </c>
      <c r="D5090" s="111">
        <v>136.72</v>
      </c>
    </row>
    <row r="5091" spans="1:4" ht="25.5" x14ac:dyDescent="0.25">
      <c r="A5091" s="106">
        <v>9891</v>
      </c>
      <c r="B5091" s="108" t="s">
        <v>10294</v>
      </c>
      <c r="C5091" s="110" t="s">
        <v>5755</v>
      </c>
      <c r="D5091" s="111">
        <v>191.93</v>
      </c>
    </row>
    <row r="5092" spans="1:4" ht="25.5" x14ac:dyDescent="0.25">
      <c r="A5092" s="106">
        <v>39292</v>
      </c>
      <c r="B5092" s="108" t="s">
        <v>10295</v>
      </c>
      <c r="C5092" s="110" t="s">
        <v>5755</v>
      </c>
      <c r="D5092" s="111">
        <v>8.08</v>
      </c>
    </row>
    <row r="5093" spans="1:4" ht="25.5" x14ac:dyDescent="0.25">
      <c r="A5093" s="106">
        <v>39293</v>
      </c>
      <c r="B5093" s="108" t="s">
        <v>10296</v>
      </c>
      <c r="C5093" s="110" t="s">
        <v>5755</v>
      </c>
      <c r="D5093" s="111">
        <v>13.04</v>
      </c>
    </row>
    <row r="5094" spans="1:4" ht="25.5" x14ac:dyDescent="0.25">
      <c r="A5094" s="106">
        <v>39294</v>
      </c>
      <c r="B5094" s="108" t="s">
        <v>10297</v>
      </c>
      <c r="C5094" s="110" t="s">
        <v>5755</v>
      </c>
      <c r="D5094" s="111">
        <v>13.04</v>
      </c>
    </row>
    <row r="5095" spans="1:4" ht="25.5" x14ac:dyDescent="0.25">
      <c r="A5095" s="106">
        <v>39295</v>
      </c>
      <c r="B5095" s="108" t="s">
        <v>10298</v>
      </c>
      <c r="C5095" s="110" t="s">
        <v>5755</v>
      </c>
      <c r="D5095" s="111">
        <v>22.24</v>
      </c>
    </row>
    <row r="5096" spans="1:4" x14ac:dyDescent="0.25">
      <c r="A5096" s="106">
        <v>36313</v>
      </c>
      <c r="B5096" s="108" t="s">
        <v>10299</v>
      </c>
      <c r="C5096" s="110" t="s">
        <v>5755</v>
      </c>
      <c r="D5096" s="111">
        <v>23.66</v>
      </c>
    </row>
    <row r="5097" spans="1:4" x14ac:dyDescent="0.25">
      <c r="A5097" s="106">
        <v>36316</v>
      </c>
      <c r="B5097" s="108" t="s">
        <v>10300</v>
      </c>
      <c r="C5097" s="110" t="s">
        <v>5755</v>
      </c>
      <c r="D5097" s="111">
        <v>28.69</v>
      </c>
    </row>
    <row r="5098" spans="1:4" ht="25.5" x14ac:dyDescent="0.25">
      <c r="A5098" s="106">
        <v>64</v>
      </c>
      <c r="B5098" s="108" t="s">
        <v>10301</v>
      </c>
      <c r="C5098" s="110" t="s">
        <v>5755</v>
      </c>
      <c r="D5098" s="111">
        <v>4.34</v>
      </c>
    </row>
    <row r="5099" spans="1:4" ht="25.5" x14ac:dyDescent="0.25">
      <c r="A5099" s="106">
        <v>37423</v>
      </c>
      <c r="B5099" s="108" t="s">
        <v>10302</v>
      </c>
      <c r="C5099" s="110" t="s">
        <v>5755</v>
      </c>
      <c r="D5099" s="111">
        <v>10.72</v>
      </c>
    </row>
    <row r="5100" spans="1:4" ht="25.5" x14ac:dyDescent="0.25">
      <c r="A5100" s="106">
        <v>39296</v>
      </c>
      <c r="B5100" s="108" t="s">
        <v>10303</v>
      </c>
      <c r="C5100" s="110" t="s">
        <v>5755</v>
      </c>
      <c r="D5100" s="111">
        <v>6.24</v>
      </c>
    </row>
    <row r="5101" spans="1:4" ht="25.5" x14ac:dyDescent="0.25">
      <c r="A5101" s="106">
        <v>39297</v>
      </c>
      <c r="B5101" s="108" t="s">
        <v>10304</v>
      </c>
      <c r="C5101" s="110" t="s">
        <v>5755</v>
      </c>
      <c r="D5101" s="111">
        <v>8.93</v>
      </c>
    </row>
    <row r="5102" spans="1:4" ht="25.5" x14ac:dyDescent="0.25">
      <c r="A5102" s="106">
        <v>39298</v>
      </c>
      <c r="B5102" s="108" t="s">
        <v>10305</v>
      </c>
      <c r="C5102" s="110" t="s">
        <v>5755</v>
      </c>
      <c r="D5102" s="111">
        <v>15.72</v>
      </c>
    </row>
    <row r="5103" spans="1:4" ht="25.5" x14ac:dyDescent="0.25">
      <c r="A5103" s="106">
        <v>39299</v>
      </c>
      <c r="B5103" s="108" t="s">
        <v>10306</v>
      </c>
      <c r="C5103" s="110" t="s">
        <v>5755</v>
      </c>
      <c r="D5103" s="111">
        <v>26.76</v>
      </c>
    </row>
    <row r="5104" spans="1:4" x14ac:dyDescent="0.25">
      <c r="A5104" s="106">
        <v>9892</v>
      </c>
      <c r="B5104" s="108" t="s">
        <v>10307</v>
      </c>
      <c r="C5104" s="110" t="s">
        <v>5755</v>
      </c>
      <c r="D5104" s="111">
        <v>4.79</v>
      </c>
    </row>
    <row r="5105" spans="1:4" x14ac:dyDescent="0.25">
      <c r="A5105" s="106">
        <v>9893</v>
      </c>
      <c r="B5105" s="108" t="s">
        <v>10308</v>
      </c>
      <c r="C5105" s="110" t="s">
        <v>5755</v>
      </c>
      <c r="D5105" s="111">
        <v>65.069999999999993</v>
      </c>
    </row>
    <row r="5106" spans="1:4" x14ac:dyDescent="0.25">
      <c r="A5106" s="106">
        <v>9901</v>
      </c>
      <c r="B5106" s="108" t="s">
        <v>10309</v>
      </c>
      <c r="C5106" s="110" t="s">
        <v>5755</v>
      </c>
      <c r="D5106" s="111">
        <v>28.88</v>
      </c>
    </row>
    <row r="5107" spans="1:4" x14ac:dyDescent="0.25">
      <c r="A5107" s="106">
        <v>9896</v>
      </c>
      <c r="B5107" s="108" t="s">
        <v>10310</v>
      </c>
      <c r="C5107" s="110" t="s">
        <v>5755</v>
      </c>
      <c r="D5107" s="111">
        <v>26.02</v>
      </c>
    </row>
    <row r="5108" spans="1:4" x14ac:dyDescent="0.25">
      <c r="A5108" s="106">
        <v>9900</v>
      </c>
      <c r="B5108" s="108" t="s">
        <v>10311</v>
      </c>
      <c r="C5108" s="110" t="s">
        <v>5755</v>
      </c>
      <c r="D5108" s="111">
        <v>15.79</v>
      </c>
    </row>
    <row r="5109" spans="1:4" x14ac:dyDescent="0.25">
      <c r="A5109" s="106">
        <v>9898</v>
      </c>
      <c r="B5109" s="108" t="s">
        <v>10312</v>
      </c>
      <c r="C5109" s="110" t="s">
        <v>5755</v>
      </c>
      <c r="D5109" s="111">
        <v>133.81</v>
      </c>
    </row>
    <row r="5110" spans="1:4" x14ac:dyDescent="0.25">
      <c r="A5110" s="106">
        <v>9899</v>
      </c>
      <c r="B5110" s="108" t="s">
        <v>10313</v>
      </c>
      <c r="C5110" s="110" t="s">
        <v>5755</v>
      </c>
      <c r="D5110" s="111">
        <v>8.6199999999999992</v>
      </c>
    </row>
    <row r="5111" spans="1:4" x14ac:dyDescent="0.25">
      <c r="A5111" s="106">
        <v>9902</v>
      </c>
      <c r="B5111" s="108" t="s">
        <v>10314</v>
      </c>
      <c r="C5111" s="110" t="s">
        <v>5755</v>
      </c>
      <c r="D5111" s="111">
        <v>169.44</v>
      </c>
    </row>
    <row r="5112" spans="1:4" x14ac:dyDescent="0.25">
      <c r="A5112" s="106">
        <v>9908</v>
      </c>
      <c r="B5112" s="108" t="s">
        <v>10315</v>
      </c>
      <c r="C5112" s="110" t="s">
        <v>5755</v>
      </c>
      <c r="D5112" s="111">
        <v>337.85</v>
      </c>
    </row>
    <row r="5113" spans="1:4" x14ac:dyDescent="0.25">
      <c r="A5113" s="106">
        <v>9905</v>
      </c>
      <c r="B5113" s="108" t="s">
        <v>10316</v>
      </c>
      <c r="C5113" s="110" t="s">
        <v>5755</v>
      </c>
      <c r="D5113" s="111">
        <v>5.64</v>
      </c>
    </row>
    <row r="5114" spans="1:4" x14ac:dyDescent="0.25">
      <c r="A5114" s="106">
        <v>9906</v>
      </c>
      <c r="B5114" s="108" t="s">
        <v>10317</v>
      </c>
      <c r="C5114" s="110" t="s">
        <v>5755</v>
      </c>
      <c r="D5114" s="111">
        <v>6.76</v>
      </c>
    </row>
    <row r="5115" spans="1:4" x14ac:dyDescent="0.25">
      <c r="A5115" s="106">
        <v>9895</v>
      </c>
      <c r="B5115" s="108" t="s">
        <v>10318</v>
      </c>
      <c r="C5115" s="110" t="s">
        <v>5755</v>
      </c>
      <c r="D5115" s="111">
        <v>11.09</v>
      </c>
    </row>
    <row r="5116" spans="1:4" x14ac:dyDescent="0.25">
      <c r="A5116" s="106">
        <v>9894</v>
      </c>
      <c r="B5116" s="108" t="s">
        <v>10319</v>
      </c>
      <c r="C5116" s="110" t="s">
        <v>5755</v>
      </c>
      <c r="D5116" s="111">
        <v>21.62</v>
      </c>
    </row>
    <row r="5117" spans="1:4" x14ac:dyDescent="0.25">
      <c r="A5117" s="106">
        <v>9897</v>
      </c>
      <c r="B5117" s="108" t="s">
        <v>10320</v>
      </c>
      <c r="C5117" s="110" t="s">
        <v>5755</v>
      </c>
      <c r="D5117" s="111">
        <v>23.41</v>
      </c>
    </row>
    <row r="5118" spans="1:4" x14ac:dyDescent="0.25">
      <c r="A5118" s="106">
        <v>9910</v>
      </c>
      <c r="B5118" s="108" t="s">
        <v>10321</v>
      </c>
      <c r="C5118" s="110" t="s">
        <v>5755</v>
      </c>
      <c r="D5118" s="111">
        <v>58.92</v>
      </c>
    </row>
    <row r="5119" spans="1:4" x14ac:dyDescent="0.25">
      <c r="A5119" s="106">
        <v>9909</v>
      </c>
      <c r="B5119" s="108" t="s">
        <v>10322</v>
      </c>
      <c r="C5119" s="110" t="s">
        <v>5755</v>
      </c>
      <c r="D5119" s="111">
        <v>118.89</v>
      </c>
    </row>
    <row r="5120" spans="1:4" x14ac:dyDescent="0.25">
      <c r="A5120" s="106">
        <v>9907</v>
      </c>
      <c r="B5120" s="108" t="s">
        <v>10323</v>
      </c>
      <c r="C5120" s="110" t="s">
        <v>5755</v>
      </c>
      <c r="D5120" s="111">
        <v>182.81</v>
      </c>
    </row>
    <row r="5121" spans="1:4" ht="38.25" x14ac:dyDescent="0.25">
      <c r="A5121" s="106">
        <v>20973</v>
      </c>
      <c r="B5121" s="108" t="s">
        <v>10324</v>
      </c>
      <c r="C5121" s="110" t="s">
        <v>5755</v>
      </c>
      <c r="D5121" s="111">
        <v>79.77</v>
      </c>
    </row>
    <row r="5122" spans="1:4" ht="38.25" x14ac:dyDescent="0.25">
      <c r="A5122" s="106">
        <v>20974</v>
      </c>
      <c r="B5122" s="108" t="s">
        <v>10325</v>
      </c>
      <c r="C5122" s="110" t="s">
        <v>5755</v>
      </c>
      <c r="D5122" s="111">
        <v>114.13</v>
      </c>
    </row>
    <row r="5123" spans="1:4" x14ac:dyDescent="0.25">
      <c r="A5123" s="106">
        <v>37989</v>
      </c>
      <c r="B5123" s="108" t="s">
        <v>10326</v>
      </c>
      <c r="C5123" s="110" t="s">
        <v>5755</v>
      </c>
      <c r="D5123" s="111">
        <v>14.18</v>
      </c>
    </row>
    <row r="5124" spans="1:4" x14ac:dyDescent="0.25">
      <c r="A5124" s="106">
        <v>37990</v>
      </c>
      <c r="B5124" s="108" t="s">
        <v>10327</v>
      </c>
      <c r="C5124" s="110" t="s">
        <v>5755</v>
      </c>
      <c r="D5124" s="111">
        <v>16.47</v>
      </c>
    </row>
    <row r="5125" spans="1:4" x14ac:dyDescent="0.25">
      <c r="A5125" s="106">
        <v>37991</v>
      </c>
      <c r="B5125" s="108" t="s">
        <v>10328</v>
      </c>
      <c r="C5125" s="110" t="s">
        <v>5755</v>
      </c>
      <c r="D5125" s="111">
        <v>26.06</v>
      </c>
    </row>
    <row r="5126" spans="1:4" x14ac:dyDescent="0.25">
      <c r="A5126" s="106">
        <v>37992</v>
      </c>
      <c r="B5126" s="108" t="s">
        <v>10329</v>
      </c>
      <c r="C5126" s="110" t="s">
        <v>5755</v>
      </c>
      <c r="D5126" s="111">
        <v>39.799999999999997</v>
      </c>
    </row>
    <row r="5127" spans="1:4" x14ac:dyDescent="0.25">
      <c r="A5127" s="106">
        <v>37993</v>
      </c>
      <c r="B5127" s="108" t="s">
        <v>10330</v>
      </c>
      <c r="C5127" s="110" t="s">
        <v>5755</v>
      </c>
      <c r="D5127" s="111">
        <v>59.07</v>
      </c>
    </row>
    <row r="5128" spans="1:4" x14ac:dyDescent="0.25">
      <c r="A5128" s="106">
        <v>37994</v>
      </c>
      <c r="B5128" s="108" t="s">
        <v>10331</v>
      </c>
      <c r="C5128" s="110" t="s">
        <v>5755</v>
      </c>
      <c r="D5128" s="111">
        <v>141.94999999999999</v>
      </c>
    </row>
    <row r="5129" spans="1:4" x14ac:dyDescent="0.25">
      <c r="A5129" s="106">
        <v>37995</v>
      </c>
      <c r="B5129" s="108" t="s">
        <v>10332</v>
      </c>
      <c r="C5129" s="110" t="s">
        <v>5755</v>
      </c>
      <c r="D5129" s="111">
        <v>206.03</v>
      </c>
    </row>
    <row r="5130" spans="1:4" x14ac:dyDescent="0.25">
      <c r="A5130" s="106">
        <v>37996</v>
      </c>
      <c r="B5130" s="108" t="s">
        <v>10333</v>
      </c>
      <c r="C5130" s="110" t="s">
        <v>5755</v>
      </c>
      <c r="D5130" s="111">
        <v>303.77999999999997</v>
      </c>
    </row>
    <row r="5131" spans="1:4" ht="25.5" x14ac:dyDescent="0.25">
      <c r="A5131" s="106">
        <v>13883</v>
      </c>
      <c r="B5131" s="108" t="s">
        <v>10334</v>
      </c>
      <c r="C5131" s="110" t="s">
        <v>5755</v>
      </c>
      <c r="D5131" s="111">
        <v>83655.820000000007</v>
      </c>
    </row>
    <row r="5132" spans="1:4" ht="25.5" x14ac:dyDescent="0.25">
      <c r="A5132" s="106">
        <v>38604</v>
      </c>
      <c r="B5132" s="108" t="s">
        <v>10335</v>
      </c>
      <c r="C5132" s="110" t="s">
        <v>5755</v>
      </c>
      <c r="D5132" s="111">
        <v>104192.22</v>
      </c>
    </row>
    <row r="5133" spans="1:4" ht="38.25" x14ac:dyDescent="0.25">
      <c r="A5133" s="106">
        <v>10601</v>
      </c>
      <c r="B5133" s="108" t="s">
        <v>10336</v>
      </c>
      <c r="C5133" s="110" t="s">
        <v>5755</v>
      </c>
      <c r="D5133" s="111">
        <v>2026746.48</v>
      </c>
    </row>
    <row r="5134" spans="1:4" ht="25.5" x14ac:dyDescent="0.25">
      <c r="A5134" s="106">
        <v>26034</v>
      </c>
      <c r="B5134" s="108" t="s">
        <v>10337</v>
      </c>
      <c r="C5134" s="110" t="s">
        <v>5755</v>
      </c>
      <c r="D5134" s="111">
        <v>5336351.95</v>
      </c>
    </row>
    <row r="5135" spans="1:4" x14ac:dyDescent="0.25">
      <c r="A5135" s="106">
        <v>13894</v>
      </c>
      <c r="B5135" s="108" t="s">
        <v>10338</v>
      </c>
      <c r="C5135" s="110" t="s">
        <v>5755</v>
      </c>
      <c r="D5135" s="111">
        <v>392649.25</v>
      </c>
    </row>
    <row r="5136" spans="1:4" x14ac:dyDescent="0.25">
      <c r="A5136" s="106">
        <v>13895</v>
      </c>
      <c r="B5136" s="108" t="s">
        <v>10339</v>
      </c>
      <c r="C5136" s="110" t="s">
        <v>5755</v>
      </c>
      <c r="D5136" s="111">
        <v>527982.35</v>
      </c>
    </row>
    <row r="5137" spans="1:4" x14ac:dyDescent="0.25">
      <c r="A5137" s="106">
        <v>13892</v>
      </c>
      <c r="B5137" s="108" t="s">
        <v>10340</v>
      </c>
      <c r="C5137" s="110" t="s">
        <v>5755</v>
      </c>
      <c r="D5137" s="111">
        <v>647029.46</v>
      </c>
    </row>
    <row r="5138" spans="1:4" ht="25.5" x14ac:dyDescent="0.25">
      <c r="A5138" s="106">
        <v>9914</v>
      </c>
      <c r="B5138" s="108" t="s">
        <v>10341</v>
      </c>
      <c r="C5138" s="110" t="s">
        <v>5755</v>
      </c>
      <c r="D5138" s="111">
        <v>700000</v>
      </c>
    </row>
    <row r="5139" spans="1:4" ht="38.25" x14ac:dyDescent="0.25">
      <c r="A5139" s="106">
        <v>36485</v>
      </c>
      <c r="B5139" s="108" t="s">
        <v>10342</v>
      </c>
      <c r="C5139" s="110" t="s">
        <v>5755</v>
      </c>
      <c r="D5139" s="111">
        <v>424438.89</v>
      </c>
    </row>
    <row r="5140" spans="1:4" ht="25.5" x14ac:dyDescent="0.25">
      <c r="A5140" s="106">
        <v>9912</v>
      </c>
      <c r="B5140" s="108" t="s">
        <v>10343</v>
      </c>
      <c r="C5140" s="110" t="s">
        <v>5755</v>
      </c>
      <c r="D5140" s="111">
        <v>1650000</v>
      </c>
    </row>
    <row r="5141" spans="1:4" ht="25.5" x14ac:dyDescent="0.25">
      <c r="A5141" s="106">
        <v>9921</v>
      </c>
      <c r="B5141" s="108" t="s">
        <v>10344</v>
      </c>
      <c r="C5141" s="110" t="s">
        <v>5755</v>
      </c>
      <c r="D5141" s="111">
        <v>851148.04</v>
      </c>
    </row>
    <row r="5142" spans="1:4" ht="25.5" x14ac:dyDescent="0.25">
      <c r="A5142" s="106">
        <v>21112</v>
      </c>
      <c r="B5142" s="108" t="s">
        <v>10345</v>
      </c>
      <c r="C5142" s="110" t="s">
        <v>5755</v>
      </c>
      <c r="D5142" s="111">
        <v>139.26</v>
      </c>
    </row>
    <row r="5143" spans="1:4" ht="25.5" x14ac:dyDescent="0.25">
      <c r="A5143" s="106">
        <v>10228</v>
      </c>
      <c r="B5143" s="108" t="s">
        <v>602</v>
      </c>
      <c r="C5143" s="110" t="s">
        <v>5755</v>
      </c>
      <c r="D5143" s="111">
        <v>161.78</v>
      </c>
    </row>
    <row r="5144" spans="1:4" ht="25.5" x14ac:dyDescent="0.25">
      <c r="A5144" s="106">
        <v>11781</v>
      </c>
      <c r="B5144" s="108" t="s">
        <v>10346</v>
      </c>
      <c r="C5144" s="110" t="s">
        <v>5755</v>
      </c>
      <c r="D5144" s="111">
        <v>131.06</v>
      </c>
    </row>
    <row r="5145" spans="1:4" x14ac:dyDescent="0.25">
      <c r="A5145" s="106">
        <v>11746</v>
      </c>
      <c r="B5145" s="108" t="s">
        <v>10347</v>
      </c>
      <c r="C5145" s="110" t="s">
        <v>5755</v>
      </c>
      <c r="D5145" s="111">
        <v>44.48</v>
      </c>
    </row>
    <row r="5146" spans="1:4" x14ac:dyDescent="0.25">
      <c r="A5146" s="106">
        <v>11751</v>
      </c>
      <c r="B5146" s="108" t="s">
        <v>10348</v>
      </c>
      <c r="C5146" s="110" t="s">
        <v>5755</v>
      </c>
      <c r="D5146" s="111">
        <v>79.89</v>
      </c>
    </row>
    <row r="5147" spans="1:4" x14ac:dyDescent="0.25">
      <c r="A5147" s="106">
        <v>11750</v>
      </c>
      <c r="B5147" s="108" t="s">
        <v>10349</v>
      </c>
      <c r="C5147" s="110" t="s">
        <v>5755</v>
      </c>
      <c r="D5147" s="111">
        <v>66.290000000000006</v>
      </c>
    </row>
    <row r="5148" spans="1:4" x14ac:dyDescent="0.25">
      <c r="A5148" s="106">
        <v>11748</v>
      </c>
      <c r="B5148" s="108" t="s">
        <v>10350</v>
      </c>
      <c r="C5148" s="110" t="s">
        <v>5755</v>
      </c>
      <c r="D5148" s="111">
        <v>28.54</v>
      </c>
    </row>
    <row r="5149" spans="1:4" x14ac:dyDescent="0.25">
      <c r="A5149" s="106">
        <v>11747</v>
      </c>
      <c r="B5149" s="108" t="s">
        <v>10351</v>
      </c>
      <c r="C5149" s="110" t="s">
        <v>5755</v>
      </c>
      <c r="D5149" s="111">
        <v>123.19</v>
      </c>
    </row>
    <row r="5150" spans="1:4" x14ac:dyDescent="0.25">
      <c r="A5150" s="106">
        <v>11749</v>
      </c>
      <c r="B5150" s="108" t="s">
        <v>624</v>
      </c>
      <c r="C5150" s="110" t="s">
        <v>5755</v>
      </c>
      <c r="D5150" s="111">
        <v>32.94</v>
      </c>
    </row>
    <row r="5151" spans="1:4" ht="25.5" x14ac:dyDescent="0.25">
      <c r="A5151" s="106">
        <v>10236</v>
      </c>
      <c r="B5151" s="108" t="s">
        <v>10352</v>
      </c>
      <c r="C5151" s="110" t="s">
        <v>5755</v>
      </c>
      <c r="D5151" s="111">
        <v>62.04</v>
      </c>
    </row>
    <row r="5152" spans="1:4" ht="25.5" x14ac:dyDescent="0.25">
      <c r="A5152" s="106">
        <v>10233</v>
      </c>
      <c r="B5152" s="108" t="s">
        <v>10353</v>
      </c>
      <c r="C5152" s="110" t="s">
        <v>5755</v>
      </c>
      <c r="D5152" s="111">
        <v>58.13</v>
      </c>
    </row>
    <row r="5153" spans="1:4" ht="25.5" x14ac:dyDescent="0.25">
      <c r="A5153" s="106">
        <v>10234</v>
      </c>
      <c r="B5153" s="108" t="s">
        <v>10354</v>
      </c>
      <c r="C5153" s="110" t="s">
        <v>5755</v>
      </c>
      <c r="D5153" s="111">
        <v>36.619999999999997</v>
      </c>
    </row>
    <row r="5154" spans="1:4" ht="25.5" x14ac:dyDescent="0.25">
      <c r="A5154" s="106">
        <v>10231</v>
      </c>
      <c r="B5154" s="108" t="s">
        <v>10355</v>
      </c>
      <c r="C5154" s="110" t="s">
        <v>5755</v>
      </c>
      <c r="D5154" s="111">
        <v>167.93</v>
      </c>
    </row>
    <row r="5155" spans="1:4" ht="25.5" x14ac:dyDescent="0.25">
      <c r="A5155" s="106">
        <v>10232</v>
      </c>
      <c r="B5155" s="108" t="s">
        <v>10356</v>
      </c>
      <c r="C5155" s="110" t="s">
        <v>5755</v>
      </c>
      <c r="D5155" s="111">
        <v>93.97</v>
      </c>
    </row>
    <row r="5156" spans="1:4" ht="25.5" x14ac:dyDescent="0.25">
      <c r="A5156" s="106">
        <v>10229</v>
      </c>
      <c r="B5156" s="108" t="s">
        <v>10357</v>
      </c>
      <c r="C5156" s="110" t="s">
        <v>5755</v>
      </c>
      <c r="D5156" s="111">
        <v>33.119999999999997</v>
      </c>
    </row>
    <row r="5157" spans="1:4" ht="25.5" x14ac:dyDescent="0.25">
      <c r="A5157" s="106">
        <v>10235</v>
      </c>
      <c r="B5157" s="108" t="s">
        <v>10358</v>
      </c>
      <c r="C5157" s="110" t="s">
        <v>5755</v>
      </c>
      <c r="D5157" s="111">
        <v>230.22</v>
      </c>
    </row>
    <row r="5158" spans="1:4" ht="25.5" x14ac:dyDescent="0.25">
      <c r="A5158" s="106">
        <v>10230</v>
      </c>
      <c r="B5158" s="108" t="s">
        <v>10359</v>
      </c>
      <c r="C5158" s="110" t="s">
        <v>5755</v>
      </c>
      <c r="D5158" s="111">
        <v>405.17</v>
      </c>
    </row>
    <row r="5159" spans="1:4" ht="25.5" x14ac:dyDescent="0.25">
      <c r="A5159" s="106">
        <v>10409</v>
      </c>
      <c r="B5159" s="108" t="s">
        <v>10360</v>
      </c>
      <c r="C5159" s="110" t="s">
        <v>5755</v>
      </c>
      <c r="D5159" s="111">
        <v>120.37</v>
      </c>
    </row>
    <row r="5160" spans="1:4" ht="25.5" x14ac:dyDescent="0.25">
      <c r="A5160" s="106">
        <v>10411</v>
      </c>
      <c r="B5160" s="108" t="s">
        <v>10361</v>
      </c>
      <c r="C5160" s="110" t="s">
        <v>5755</v>
      </c>
      <c r="D5160" s="111">
        <v>107.71</v>
      </c>
    </row>
    <row r="5161" spans="1:4" ht="25.5" x14ac:dyDescent="0.25">
      <c r="A5161" s="106">
        <v>10404</v>
      </c>
      <c r="B5161" s="108" t="s">
        <v>10362</v>
      </c>
      <c r="C5161" s="110" t="s">
        <v>5755</v>
      </c>
      <c r="D5161" s="111">
        <v>43.68</v>
      </c>
    </row>
    <row r="5162" spans="1:4" ht="25.5" x14ac:dyDescent="0.25">
      <c r="A5162" s="106">
        <v>10410</v>
      </c>
      <c r="B5162" s="108" t="s">
        <v>10363</v>
      </c>
      <c r="C5162" s="110" t="s">
        <v>5755</v>
      </c>
      <c r="D5162" s="111">
        <v>71.95</v>
      </c>
    </row>
    <row r="5163" spans="1:4" ht="25.5" x14ac:dyDescent="0.25">
      <c r="A5163" s="106">
        <v>10405</v>
      </c>
      <c r="B5163" s="108" t="s">
        <v>10364</v>
      </c>
      <c r="C5163" s="110" t="s">
        <v>5755</v>
      </c>
      <c r="D5163" s="111">
        <v>241.16</v>
      </c>
    </row>
    <row r="5164" spans="1:4" ht="25.5" x14ac:dyDescent="0.25">
      <c r="A5164" s="106">
        <v>10408</v>
      </c>
      <c r="B5164" s="108" t="s">
        <v>10365</v>
      </c>
      <c r="C5164" s="110" t="s">
        <v>5755</v>
      </c>
      <c r="D5164" s="111">
        <v>168.64</v>
      </c>
    </row>
    <row r="5165" spans="1:4" ht="25.5" x14ac:dyDescent="0.25">
      <c r="A5165" s="106">
        <v>10412</v>
      </c>
      <c r="B5165" s="108" t="s">
        <v>10366</v>
      </c>
      <c r="C5165" s="110" t="s">
        <v>5755</v>
      </c>
      <c r="D5165" s="111">
        <v>52.93</v>
      </c>
    </row>
    <row r="5166" spans="1:4" ht="25.5" x14ac:dyDescent="0.25">
      <c r="A5166" s="106">
        <v>10406</v>
      </c>
      <c r="B5166" s="108" t="s">
        <v>10367</v>
      </c>
      <c r="C5166" s="110" t="s">
        <v>5755</v>
      </c>
      <c r="D5166" s="111">
        <v>333.1</v>
      </c>
    </row>
    <row r="5167" spans="1:4" ht="25.5" x14ac:dyDescent="0.25">
      <c r="A5167" s="106">
        <v>10407</v>
      </c>
      <c r="B5167" s="108" t="s">
        <v>10368</v>
      </c>
      <c r="C5167" s="110" t="s">
        <v>5755</v>
      </c>
      <c r="D5167" s="111">
        <v>516.63</v>
      </c>
    </row>
    <row r="5168" spans="1:4" ht="25.5" x14ac:dyDescent="0.25">
      <c r="A5168" s="106">
        <v>10416</v>
      </c>
      <c r="B5168" s="108" t="s">
        <v>10369</v>
      </c>
      <c r="C5168" s="110" t="s">
        <v>5755</v>
      </c>
      <c r="D5168" s="111">
        <v>64.08</v>
      </c>
    </row>
    <row r="5169" spans="1:4" ht="25.5" x14ac:dyDescent="0.25">
      <c r="A5169" s="106">
        <v>10419</v>
      </c>
      <c r="B5169" s="108" t="s">
        <v>10370</v>
      </c>
      <c r="C5169" s="110" t="s">
        <v>5755</v>
      </c>
      <c r="D5169" s="111">
        <v>55.62</v>
      </c>
    </row>
    <row r="5170" spans="1:4" ht="25.5" x14ac:dyDescent="0.25">
      <c r="A5170" s="106">
        <v>21092</v>
      </c>
      <c r="B5170" s="108" t="s">
        <v>10371</v>
      </c>
      <c r="C5170" s="110" t="s">
        <v>5755</v>
      </c>
      <c r="D5170" s="111">
        <v>31.8</v>
      </c>
    </row>
    <row r="5171" spans="1:4" ht="25.5" x14ac:dyDescent="0.25">
      <c r="A5171" s="106">
        <v>10418</v>
      </c>
      <c r="B5171" s="108" t="s">
        <v>10372</v>
      </c>
      <c r="C5171" s="110" t="s">
        <v>5755</v>
      </c>
      <c r="D5171" s="111">
        <v>37.07</v>
      </c>
    </row>
    <row r="5172" spans="1:4" ht="25.5" x14ac:dyDescent="0.25">
      <c r="A5172" s="106">
        <v>12657</v>
      </c>
      <c r="B5172" s="108" t="s">
        <v>10373</v>
      </c>
      <c r="C5172" s="110" t="s">
        <v>5755</v>
      </c>
      <c r="D5172" s="111">
        <v>149.62</v>
      </c>
    </row>
    <row r="5173" spans="1:4" ht="25.5" x14ac:dyDescent="0.25">
      <c r="A5173" s="106">
        <v>10417</v>
      </c>
      <c r="B5173" s="108" t="s">
        <v>10374</v>
      </c>
      <c r="C5173" s="110" t="s">
        <v>5755</v>
      </c>
      <c r="D5173" s="111">
        <v>93.37</v>
      </c>
    </row>
    <row r="5174" spans="1:4" ht="25.5" x14ac:dyDescent="0.25">
      <c r="A5174" s="106">
        <v>10413</v>
      </c>
      <c r="B5174" s="108" t="s">
        <v>10375</v>
      </c>
      <c r="C5174" s="110" t="s">
        <v>5755</v>
      </c>
      <c r="D5174" s="111">
        <v>33.93</v>
      </c>
    </row>
    <row r="5175" spans="1:4" ht="25.5" x14ac:dyDescent="0.25">
      <c r="A5175" s="106">
        <v>10414</v>
      </c>
      <c r="B5175" s="108" t="s">
        <v>10376</v>
      </c>
      <c r="C5175" s="110" t="s">
        <v>5755</v>
      </c>
      <c r="D5175" s="111">
        <v>204.31</v>
      </c>
    </row>
    <row r="5176" spans="1:4" ht="25.5" x14ac:dyDescent="0.25">
      <c r="A5176" s="106">
        <v>10415</v>
      </c>
      <c r="B5176" s="108" t="s">
        <v>10377</v>
      </c>
      <c r="C5176" s="110" t="s">
        <v>5755</v>
      </c>
      <c r="D5176" s="111">
        <v>354.6</v>
      </c>
    </row>
    <row r="5177" spans="1:4" x14ac:dyDescent="0.25">
      <c r="A5177" s="106">
        <v>38643</v>
      </c>
      <c r="B5177" s="108" t="s">
        <v>545</v>
      </c>
      <c r="C5177" s="110" t="s">
        <v>5755</v>
      </c>
      <c r="D5177" s="111">
        <v>37.409999999999997</v>
      </c>
    </row>
    <row r="5178" spans="1:4" x14ac:dyDescent="0.25">
      <c r="A5178" s="106">
        <v>6157</v>
      </c>
      <c r="B5178" s="108" t="s">
        <v>10378</v>
      </c>
      <c r="C5178" s="110" t="s">
        <v>5755</v>
      </c>
      <c r="D5178" s="111">
        <v>51.1</v>
      </c>
    </row>
    <row r="5179" spans="1:4" x14ac:dyDescent="0.25">
      <c r="A5179" s="106">
        <v>37588</v>
      </c>
      <c r="B5179" s="108" t="s">
        <v>10379</v>
      </c>
      <c r="C5179" s="110" t="s">
        <v>5755</v>
      </c>
      <c r="D5179" s="111">
        <v>21.46</v>
      </c>
    </row>
    <row r="5180" spans="1:4" ht="25.5" x14ac:dyDescent="0.25">
      <c r="A5180" s="106">
        <v>6152</v>
      </c>
      <c r="B5180" s="108" t="s">
        <v>10380</v>
      </c>
      <c r="C5180" s="110" t="s">
        <v>5755</v>
      </c>
      <c r="D5180" s="111">
        <v>3.06</v>
      </c>
    </row>
    <row r="5181" spans="1:4" ht="25.5" x14ac:dyDescent="0.25">
      <c r="A5181" s="106">
        <v>6158</v>
      </c>
      <c r="B5181" s="108" t="s">
        <v>10381</v>
      </c>
      <c r="C5181" s="110" t="s">
        <v>5755</v>
      </c>
      <c r="D5181" s="111">
        <v>3.7</v>
      </c>
    </row>
    <row r="5182" spans="1:4" ht="25.5" x14ac:dyDescent="0.25">
      <c r="A5182" s="106">
        <v>6153</v>
      </c>
      <c r="B5182" s="108" t="s">
        <v>10382</v>
      </c>
      <c r="C5182" s="110" t="s">
        <v>5755</v>
      </c>
      <c r="D5182" s="111">
        <v>2.88</v>
      </c>
    </row>
    <row r="5183" spans="1:4" ht="25.5" x14ac:dyDescent="0.25">
      <c r="A5183" s="106">
        <v>6156</v>
      </c>
      <c r="B5183" s="108" t="s">
        <v>10383</v>
      </c>
      <c r="C5183" s="110" t="s">
        <v>5755</v>
      </c>
      <c r="D5183" s="111">
        <v>3.65</v>
      </c>
    </row>
    <row r="5184" spans="1:4" ht="25.5" x14ac:dyDescent="0.25">
      <c r="A5184" s="106">
        <v>6154</v>
      </c>
      <c r="B5184" s="108" t="s">
        <v>10384</v>
      </c>
      <c r="C5184" s="110" t="s">
        <v>5755</v>
      </c>
      <c r="D5184" s="111">
        <v>6.88</v>
      </c>
    </row>
    <row r="5185" spans="1:4" ht="25.5" x14ac:dyDescent="0.25">
      <c r="A5185" s="106">
        <v>6155</v>
      </c>
      <c r="B5185" s="108" t="s">
        <v>10385</v>
      </c>
      <c r="C5185" s="110" t="s">
        <v>5755</v>
      </c>
      <c r="D5185" s="111">
        <v>14.21</v>
      </c>
    </row>
    <row r="5186" spans="1:4" ht="25.5" x14ac:dyDescent="0.25">
      <c r="A5186" s="106">
        <v>38108</v>
      </c>
      <c r="B5186" s="108" t="s">
        <v>10386</v>
      </c>
      <c r="C5186" s="110" t="s">
        <v>5755</v>
      </c>
      <c r="D5186" s="111">
        <v>28.64</v>
      </c>
    </row>
    <row r="5187" spans="1:4" ht="38.25" x14ac:dyDescent="0.25">
      <c r="A5187" s="106">
        <v>38087</v>
      </c>
      <c r="B5187" s="108" t="s">
        <v>10387</v>
      </c>
      <c r="C5187" s="110" t="s">
        <v>5755</v>
      </c>
      <c r="D5187" s="111">
        <v>36.840000000000003</v>
      </c>
    </row>
    <row r="5188" spans="1:4" ht="25.5" x14ac:dyDescent="0.25">
      <c r="A5188" s="106">
        <v>38109</v>
      </c>
      <c r="B5188" s="108" t="s">
        <v>10388</v>
      </c>
      <c r="C5188" s="110" t="s">
        <v>5755</v>
      </c>
      <c r="D5188" s="111">
        <v>45.78</v>
      </c>
    </row>
    <row r="5189" spans="1:4" ht="38.25" x14ac:dyDescent="0.25">
      <c r="A5189" s="106">
        <v>38088</v>
      </c>
      <c r="B5189" s="108" t="s">
        <v>10389</v>
      </c>
      <c r="C5189" s="110" t="s">
        <v>5755</v>
      </c>
      <c r="D5189" s="111">
        <v>48.13</v>
      </c>
    </row>
    <row r="5190" spans="1:4" ht="25.5" x14ac:dyDescent="0.25">
      <c r="A5190" s="106">
        <v>38110</v>
      </c>
      <c r="B5190" s="108" t="s">
        <v>10390</v>
      </c>
      <c r="C5190" s="110" t="s">
        <v>5755</v>
      </c>
      <c r="D5190" s="111">
        <v>17.61</v>
      </c>
    </row>
    <row r="5191" spans="1:4" ht="38.25" x14ac:dyDescent="0.25">
      <c r="A5191" s="106">
        <v>38089</v>
      </c>
      <c r="B5191" s="108" t="s">
        <v>10391</v>
      </c>
      <c r="C5191" s="110" t="s">
        <v>5755</v>
      </c>
      <c r="D5191" s="111">
        <v>30.68</v>
      </c>
    </row>
    <row r="5192" spans="1:4" ht="25.5" x14ac:dyDescent="0.25">
      <c r="A5192" s="106">
        <v>38111</v>
      </c>
      <c r="B5192" s="108" t="s">
        <v>10392</v>
      </c>
      <c r="C5192" s="110" t="s">
        <v>5755</v>
      </c>
      <c r="D5192" s="111">
        <v>19.690000000000001</v>
      </c>
    </row>
    <row r="5193" spans="1:4" ht="38.25" x14ac:dyDescent="0.25">
      <c r="A5193" s="106">
        <v>38090</v>
      </c>
      <c r="B5193" s="108" t="s">
        <v>10393</v>
      </c>
      <c r="C5193" s="110" t="s">
        <v>5755</v>
      </c>
      <c r="D5193" s="111">
        <v>31.71</v>
      </c>
    </row>
    <row r="5194" spans="1:4" x14ac:dyDescent="0.25">
      <c r="A5194" s="106">
        <v>11786</v>
      </c>
      <c r="B5194" s="108" t="s">
        <v>10394</v>
      </c>
      <c r="C5194" s="110" t="s">
        <v>5755</v>
      </c>
      <c r="D5194" s="111">
        <v>240.89</v>
      </c>
    </row>
    <row r="5195" spans="1:4" ht="25.5" x14ac:dyDescent="0.25">
      <c r="A5195" s="106">
        <v>13726</v>
      </c>
      <c r="B5195" s="108" t="s">
        <v>10395</v>
      </c>
      <c r="C5195" s="110" t="s">
        <v>5755</v>
      </c>
      <c r="D5195" s="111">
        <v>35941.47</v>
      </c>
    </row>
    <row r="5196" spans="1:4" x14ac:dyDescent="0.25">
      <c r="A5196" s="106">
        <v>38400</v>
      </c>
      <c r="B5196" s="108" t="s">
        <v>10396</v>
      </c>
      <c r="C5196" s="110" t="s">
        <v>5755</v>
      </c>
      <c r="D5196" s="111">
        <v>17.72</v>
      </c>
    </row>
    <row r="5197" spans="1:4" ht="25.5" x14ac:dyDescent="0.25">
      <c r="A5197" s="106">
        <v>12627</v>
      </c>
      <c r="B5197" s="108" t="s">
        <v>10397</v>
      </c>
      <c r="C5197" s="110" t="s">
        <v>5755</v>
      </c>
      <c r="D5197" s="111">
        <v>0.36</v>
      </c>
    </row>
    <row r="5198" spans="1:4" x14ac:dyDescent="0.25">
      <c r="A5198" s="106">
        <v>6138</v>
      </c>
      <c r="B5198" s="108" t="s">
        <v>555</v>
      </c>
      <c r="C5198" s="110" t="s">
        <v>5755</v>
      </c>
      <c r="D5198" s="111">
        <v>1.83</v>
      </c>
    </row>
    <row r="5199" spans="1:4" x14ac:dyDescent="0.25">
      <c r="A5199" s="106">
        <v>39996</v>
      </c>
      <c r="B5199" s="108" t="s">
        <v>10398</v>
      </c>
      <c r="C5199" s="110" t="s">
        <v>5767</v>
      </c>
      <c r="D5199" s="111">
        <v>2.5</v>
      </c>
    </row>
    <row r="5200" spans="1:4" ht="25.5" x14ac:dyDescent="0.25">
      <c r="A5200" s="106">
        <v>10478</v>
      </c>
      <c r="B5200" s="108" t="s">
        <v>10399</v>
      </c>
      <c r="C5200" s="110" t="s">
        <v>5818</v>
      </c>
      <c r="D5200" s="111">
        <v>24.61</v>
      </c>
    </row>
    <row r="5201" spans="1:4" x14ac:dyDescent="0.25">
      <c r="A5201" s="106">
        <v>10475</v>
      </c>
      <c r="B5201" s="108" t="s">
        <v>10400</v>
      </c>
      <c r="C5201" s="110" t="s">
        <v>5818</v>
      </c>
      <c r="D5201" s="111">
        <v>21.65</v>
      </c>
    </row>
    <row r="5202" spans="1:4" ht="25.5" x14ac:dyDescent="0.25">
      <c r="A5202" s="106">
        <v>10481</v>
      </c>
      <c r="B5202" s="108" t="s">
        <v>10401</v>
      </c>
      <c r="C5202" s="110" t="s">
        <v>5818</v>
      </c>
      <c r="D5202" s="111">
        <v>23.61</v>
      </c>
    </row>
    <row r="5203" spans="1:4" x14ac:dyDescent="0.25">
      <c r="A5203" s="106">
        <v>4031</v>
      </c>
      <c r="B5203" s="108" t="s">
        <v>10402</v>
      </c>
      <c r="C5203" s="110" t="s">
        <v>5757</v>
      </c>
      <c r="D5203" s="111">
        <v>22.94</v>
      </c>
    </row>
    <row r="5204" spans="1:4" x14ac:dyDescent="0.25">
      <c r="A5204" s="106">
        <v>4030</v>
      </c>
      <c r="B5204" s="108" t="s">
        <v>10403</v>
      </c>
      <c r="C5204" s="110" t="s">
        <v>5757</v>
      </c>
      <c r="D5204" s="111">
        <v>4.88</v>
      </c>
    </row>
    <row r="5205" spans="1:4" ht="25.5" x14ac:dyDescent="0.25">
      <c r="A5205" s="106">
        <v>39399</v>
      </c>
      <c r="B5205" s="108" t="s">
        <v>10404</v>
      </c>
      <c r="C5205" s="110" t="s">
        <v>5755</v>
      </c>
      <c r="D5205" s="111">
        <v>1029.28</v>
      </c>
    </row>
    <row r="5206" spans="1:4" ht="25.5" x14ac:dyDescent="0.25">
      <c r="A5206" s="106">
        <v>39400</v>
      </c>
      <c r="B5206" s="108" t="s">
        <v>10405</v>
      </c>
      <c r="C5206" s="110" t="s">
        <v>5755</v>
      </c>
      <c r="D5206" s="111">
        <v>1118.78</v>
      </c>
    </row>
    <row r="5207" spans="1:4" ht="25.5" x14ac:dyDescent="0.25">
      <c r="A5207" s="106">
        <v>39401</v>
      </c>
      <c r="B5207" s="108" t="s">
        <v>10406</v>
      </c>
      <c r="C5207" s="110" t="s">
        <v>5755</v>
      </c>
      <c r="D5207" s="111">
        <v>1255</v>
      </c>
    </row>
    <row r="5208" spans="1:4" ht="25.5" x14ac:dyDescent="0.25">
      <c r="A5208" s="106">
        <v>11652</v>
      </c>
      <c r="B5208" s="108" t="s">
        <v>10407</v>
      </c>
      <c r="C5208" s="110" t="s">
        <v>5755</v>
      </c>
      <c r="D5208" s="111">
        <v>2700</v>
      </c>
    </row>
    <row r="5209" spans="1:4" ht="25.5" x14ac:dyDescent="0.25">
      <c r="A5209" s="106">
        <v>13896</v>
      </c>
      <c r="B5209" s="108" t="s">
        <v>10408</v>
      </c>
      <c r="C5209" s="110" t="s">
        <v>5755</v>
      </c>
      <c r="D5209" s="111">
        <v>2422.13</v>
      </c>
    </row>
    <row r="5210" spans="1:4" ht="25.5" x14ac:dyDescent="0.25">
      <c r="A5210" s="106">
        <v>13475</v>
      </c>
      <c r="B5210" s="108" t="s">
        <v>10409</v>
      </c>
      <c r="C5210" s="110" t="s">
        <v>5755</v>
      </c>
      <c r="D5210" s="111">
        <v>2950.45</v>
      </c>
    </row>
    <row r="5211" spans="1:4" ht="25.5" x14ac:dyDescent="0.25">
      <c r="A5211" s="106">
        <v>25971</v>
      </c>
      <c r="B5211" s="108" t="s">
        <v>10410</v>
      </c>
      <c r="C5211" s="110" t="s">
        <v>5755</v>
      </c>
      <c r="D5211" s="111">
        <v>3134544.27</v>
      </c>
    </row>
    <row r="5212" spans="1:4" ht="25.5" x14ac:dyDescent="0.25">
      <c r="A5212" s="106">
        <v>25970</v>
      </c>
      <c r="B5212" s="108" t="s">
        <v>10411</v>
      </c>
      <c r="C5212" s="110" t="s">
        <v>5755</v>
      </c>
      <c r="D5212" s="111">
        <v>1319606.75</v>
      </c>
    </row>
    <row r="5213" spans="1:4" ht="25.5" x14ac:dyDescent="0.25">
      <c r="A5213" s="106">
        <v>13476</v>
      </c>
      <c r="B5213" s="108" t="s">
        <v>10412</v>
      </c>
      <c r="C5213" s="110" t="s">
        <v>5755</v>
      </c>
      <c r="D5213" s="111">
        <v>1329169.22</v>
      </c>
    </row>
    <row r="5214" spans="1:4" ht="25.5" x14ac:dyDescent="0.25">
      <c r="A5214" s="106">
        <v>10488</v>
      </c>
      <c r="B5214" s="108" t="s">
        <v>10413</v>
      </c>
      <c r="C5214" s="110" t="s">
        <v>5755</v>
      </c>
      <c r="D5214" s="111">
        <v>1610302.81</v>
      </c>
    </row>
    <row r="5215" spans="1:4" ht="38.25" x14ac:dyDescent="0.25">
      <c r="A5215" s="106">
        <v>13606</v>
      </c>
      <c r="B5215" s="108" t="s">
        <v>10414</v>
      </c>
      <c r="C5215" s="110" t="s">
        <v>5755</v>
      </c>
      <c r="D5215" s="111">
        <v>1426705.26</v>
      </c>
    </row>
    <row r="5216" spans="1:4" x14ac:dyDescent="0.25">
      <c r="A5216" s="106">
        <v>10489</v>
      </c>
      <c r="B5216" s="108" t="s">
        <v>10415</v>
      </c>
      <c r="C5216" s="110" t="s">
        <v>5759</v>
      </c>
      <c r="D5216" s="111">
        <v>12.23</v>
      </c>
    </row>
    <row r="5217" spans="1:4" x14ac:dyDescent="0.25">
      <c r="A5217" s="106">
        <v>41073</v>
      </c>
      <c r="B5217" s="108" t="s">
        <v>10416</v>
      </c>
      <c r="C5217" s="110" t="s">
        <v>5906</v>
      </c>
      <c r="D5217" s="111">
        <v>2171.73</v>
      </c>
    </row>
    <row r="5218" spans="1:4" ht="25.5" x14ac:dyDescent="0.25">
      <c r="A5218" s="106">
        <v>34391</v>
      </c>
      <c r="B5218" s="108" t="s">
        <v>10417</v>
      </c>
      <c r="C5218" s="110" t="s">
        <v>5757</v>
      </c>
      <c r="D5218" s="111">
        <v>531.94000000000005</v>
      </c>
    </row>
    <row r="5219" spans="1:4" ht="25.5" x14ac:dyDescent="0.25">
      <c r="A5219" s="106">
        <v>10496</v>
      </c>
      <c r="B5219" s="108" t="s">
        <v>490</v>
      </c>
      <c r="C5219" s="110" t="s">
        <v>5757</v>
      </c>
      <c r="D5219" s="111">
        <v>463.05</v>
      </c>
    </row>
    <row r="5220" spans="1:4" ht="25.5" x14ac:dyDescent="0.25">
      <c r="A5220" s="106">
        <v>10497</v>
      </c>
      <c r="B5220" s="108" t="s">
        <v>10418</v>
      </c>
      <c r="C5220" s="110" t="s">
        <v>5757</v>
      </c>
      <c r="D5220" s="111">
        <v>1203.94</v>
      </c>
    </row>
    <row r="5221" spans="1:4" ht="25.5" x14ac:dyDescent="0.25">
      <c r="A5221" s="106">
        <v>10504</v>
      </c>
      <c r="B5221" s="108" t="s">
        <v>10419</v>
      </c>
      <c r="C5221" s="110" t="s">
        <v>5757</v>
      </c>
      <c r="D5221" s="111">
        <v>1407.68</v>
      </c>
    </row>
    <row r="5222" spans="1:4" x14ac:dyDescent="0.25">
      <c r="A5222" s="106">
        <v>34390</v>
      </c>
      <c r="B5222" s="108" t="s">
        <v>10420</v>
      </c>
      <c r="C5222" s="110" t="s">
        <v>5757</v>
      </c>
      <c r="D5222" s="111">
        <v>414.89</v>
      </c>
    </row>
    <row r="5223" spans="1:4" x14ac:dyDescent="0.25">
      <c r="A5223" s="106">
        <v>34389</v>
      </c>
      <c r="B5223" s="108" t="s">
        <v>10421</v>
      </c>
      <c r="C5223" s="110" t="s">
        <v>5757</v>
      </c>
      <c r="D5223" s="111">
        <v>129.65</v>
      </c>
    </row>
    <row r="5224" spans="1:4" x14ac:dyDescent="0.25">
      <c r="A5224" s="106">
        <v>34388</v>
      </c>
      <c r="B5224" s="108" t="s">
        <v>10422</v>
      </c>
      <c r="C5224" s="110" t="s">
        <v>5757</v>
      </c>
      <c r="D5224" s="111">
        <v>184.26</v>
      </c>
    </row>
    <row r="5225" spans="1:4" x14ac:dyDescent="0.25">
      <c r="A5225" s="106">
        <v>34387</v>
      </c>
      <c r="B5225" s="108" t="s">
        <v>10423</v>
      </c>
      <c r="C5225" s="110" t="s">
        <v>5757</v>
      </c>
      <c r="D5225" s="111">
        <v>299.13</v>
      </c>
    </row>
    <row r="5226" spans="1:4" x14ac:dyDescent="0.25">
      <c r="A5226" s="106">
        <v>11188</v>
      </c>
      <c r="B5226" s="108" t="s">
        <v>10424</v>
      </c>
      <c r="C5226" s="110" t="s">
        <v>5757</v>
      </c>
      <c r="D5226" s="111">
        <v>148.16999999999999</v>
      </c>
    </row>
    <row r="5227" spans="1:4" x14ac:dyDescent="0.25">
      <c r="A5227" s="106">
        <v>11189</v>
      </c>
      <c r="B5227" s="108" t="s">
        <v>10425</v>
      </c>
      <c r="C5227" s="110" t="s">
        <v>5757</v>
      </c>
      <c r="D5227" s="111">
        <v>222.26</v>
      </c>
    </row>
    <row r="5228" spans="1:4" x14ac:dyDescent="0.25">
      <c r="A5228" s="106">
        <v>21107</v>
      </c>
      <c r="B5228" s="108" t="s">
        <v>10426</v>
      </c>
      <c r="C5228" s="110" t="s">
        <v>5757</v>
      </c>
      <c r="D5228" s="111">
        <v>159.94</v>
      </c>
    </row>
    <row r="5229" spans="1:4" x14ac:dyDescent="0.25">
      <c r="A5229" s="106">
        <v>34386</v>
      </c>
      <c r="B5229" s="108" t="s">
        <v>10427</v>
      </c>
      <c r="C5229" s="110" t="s">
        <v>5757</v>
      </c>
      <c r="D5229" s="111">
        <v>277.83</v>
      </c>
    </row>
    <row r="5230" spans="1:4" x14ac:dyDescent="0.25">
      <c r="A5230" s="106">
        <v>10490</v>
      </c>
      <c r="B5230" s="108" t="s">
        <v>10428</v>
      </c>
      <c r="C5230" s="110" t="s">
        <v>5757</v>
      </c>
      <c r="D5230" s="111">
        <v>83.35</v>
      </c>
    </row>
    <row r="5231" spans="1:4" x14ac:dyDescent="0.25">
      <c r="A5231" s="106">
        <v>10492</v>
      </c>
      <c r="B5231" s="108" t="s">
        <v>10429</v>
      </c>
      <c r="C5231" s="110" t="s">
        <v>5757</v>
      </c>
      <c r="D5231" s="111">
        <v>111.13</v>
      </c>
    </row>
    <row r="5232" spans="1:4" x14ac:dyDescent="0.25">
      <c r="A5232" s="106">
        <v>10493</v>
      </c>
      <c r="B5232" s="108" t="s">
        <v>10430</v>
      </c>
      <c r="C5232" s="110" t="s">
        <v>5757</v>
      </c>
      <c r="D5232" s="111">
        <v>129.65</v>
      </c>
    </row>
    <row r="5233" spans="1:4" x14ac:dyDescent="0.25">
      <c r="A5233" s="106">
        <v>10491</v>
      </c>
      <c r="B5233" s="108" t="s">
        <v>10431</v>
      </c>
      <c r="C5233" s="110" t="s">
        <v>5757</v>
      </c>
      <c r="D5233" s="111">
        <v>157.43</v>
      </c>
    </row>
    <row r="5234" spans="1:4" x14ac:dyDescent="0.25">
      <c r="A5234" s="106">
        <v>34385</v>
      </c>
      <c r="B5234" s="108" t="s">
        <v>10432</v>
      </c>
      <c r="C5234" s="110" t="s">
        <v>5757</v>
      </c>
      <c r="D5234" s="111">
        <v>229.67</v>
      </c>
    </row>
    <row r="5235" spans="1:4" x14ac:dyDescent="0.25">
      <c r="A5235" s="106">
        <v>10499</v>
      </c>
      <c r="B5235" s="108" t="s">
        <v>10433</v>
      </c>
      <c r="C5235" s="110" t="s">
        <v>5757</v>
      </c>
      <c r="D5235" s="111">
        <v>92.61</v>
      </c>
    </row>
    <row r="5236" spans="1:4" x14ac:dyDescent="0.25">
      <c r="A5236" s="106">
        <v>34384</v>
      </c>
      <c r="B5236" s="108" t="s">
        <v>10434</v>
      </c>
      <c r="C5236" s="110" t="s">
        <v>5757</v>
      </c>
      <c r="D5236" s="111">
        <v>277.83</v>
      </c>
    </row>
    <row r="5237" spans="1:4" x14ac:dyDescent="0.25">
      <c r="A5237" s="106">
        <v>11185</v>
      </c>
      <c r="B5237" s="108" t="s">
        <v>10435</v>
      </c>
      <c r="C5237" s="110" t="s">
        <v>5757</v>
      </c>
      <c r="D5237" s="111">
        <v>287.08999999999997</v>
      </c>
    </row>
    <row r="5238" spans="1:4" x14ac:dyDescent="0.25">
      <c r="A5238" s="106">
        <v>10507</v>
      </c>
      <c r="B5238" s="108" t="s">
        <v>10436</v>
      </c>
      <c r="C5238" s="110" t="s">
        <v>5757</v>
      </c>
      <c r="D5238" s="111">
        <v>318.97000000000003</v>
      </c>
    </row>
    <row r="5239" spans="1:4" x14ac:dyDescent="0.25">
      <c r="A5239" s="106">
        <v>10505</v>
      </c>
      <c r="B5239" s="108" t="s">
        <v>10437</v>
      </c>
      <c r="C5239" s="110" t="s">
        <v>5757</v>
      </c>
      <c r="D5239" s="111">
        <v>188.21</v>
      </c>
    </row>
    <row r="5240" spans="1:4" x14ac:dyDescent="0.25">
      <c r="A5240" s="106">
        <v>10506</v>
      </c>
      <c r="B5240" s="108" t="s">
        <v>10438</v>
      </c>
      <c r="C5240" s="110" t="s">
        <v>5757</v>
      </c>
      <c r="D5240" s="111">
        <v>245.7</v>
      </c>
    </row>
    <row r="5241" spans="1:4" ht="25.5" x14ac:dyDescent="0.25">
      <c r="A5241" s="106">
        <v>5031</v>
      </c>
      <c r="B5241" s="108" t="s">
        <v>10439</v>
      </c>
      <c r="C5241" s="110" t="s">
        <v>5757</v>
      </c>
      <c r="D5241" s="111">
        <v>345</v>
      </c>
    </row>
    <row r="5242" spans="1:4" x14ac:dyDescent="0.25">
      <c r="A5242" s="106">
        <v>10502</v>
      </c>
      <c r="B5242" s="108" t="s">
        <v>10440</v>
      </c>
      <c r="C5242" s="110" t="s">
        <v>5757</v>
      </c>
      <c r="D5242" s="111">
        <v>402</v>
      </c>
    </row>
    <row r="5243" spans="1:4" x14ac:dyDescent="0.25">
      <c r="A5243" s="106">
        <v>10501</v>
      </c>
      <c r="B5243" s="108" t="s">
        <v>10441</v>
      </c>
      <c r="C5243" s="110" t="s">
        <v>5757</v>
      </c>
      <c r="D5243" s="111">
        <v>227.12</v>
      </c>
    </row>
    <row r="5244" spans="1:4" x14ac:dyDescent="0.25">
      <c r="A5244" s="106">
        <v>10503</v>
      </c>
      <c r="B5244" s="108" t="s">
        <v>10442</v>
      </c>
      <c r="C5244" s="110" t="s">
        <v>5757</v>
      </c>
      <c r="D5244" s="111">
        <v>306.83999999999997</v>
      </c>
    </row>
    <row r="5245" spans="1:4" ht="25.5" x14ac:dyDescent="0.25">
      <c r="A5245" s="106">
        <v>40270</v>
      </c>
      <c r="B5245" s="108" t="s">
        <v>10443</v>
      </c>
      <c r="C5245" s="110" t="s">
        <v>5767</v>
      </c>
      <c r="D5245" s="111">
        <v>49.28</v>
      </c>
    </row>
    <row r="5246" spans="1:4" ht="25.5" x14ac:dyDescent="0.25">
      <c r="A5246" s="106">
        <v>20213</v>
      </c>
      <c r="B5246" s="108" t="s">
        <v>10444</v>
      </c>
      <c r="C5246" s="110" t="s">
        <v>5767</v>
      </c>
      <c r="D5246" s="111">
        <v>11.72</v>
      </c>
    </row>
    <row r="5247" spans="1:4" ht="25.5" x14ac:dyDescent="0.25">
      <c r="A5247" s="106">
        <v>20211</v>
      </c>
      <c r="B5247" s="108" t="s">
        <v>10445</v>
      </c>
      <c r="C5247" s="110" t="s">
        <v>5767</v>
      </c>
      <c r="D5247" s="111">
        <v>17.309999999999999</v>
      </c>
    </row>
    <row r="5248" spans="1:4" ht="25.5" x14ac:dyDescent="0.25">
      <c r="A5248" s="106">
        <v>4472</v>
      </c>
      <c r="B5248" s="108" t="s">
        <v>10446</v>
      </c>
      <c r="C5248" s="110" t="s">
        <v>5767</v>
      </c>
      <c r="D5248" s="111">
        <v>15.13</v>
      </c>
    </row>
    <row r="5249" spans="1:4" ht="25.5" x14ac:dyDescent="0.25">
      <c r="A5249" s="106">
        <v>35272</v>
      </c>
      <c r="B5249" s="108" t="s">
        <v>10447</v>
      </c>
      <c r="C5249" s="110" t="s">
        <v>5767</v>
      </c>
      <c r="D5249" s="111">
        <v>19.87</v>
      </c>
    </row>
    <row r="5250" spans="1:4" ht="25.5" x14ac:dyDescent="0.25">
      <c r="A5250" s="106">
        <v>4448</v>
      </c>
      <c r="B5250" s="108" t="s">
        <v>10448</v>
      </c>
      <c r="C5250" s="110" t="s">
        <v>5767</v>
      </c>
      <c r="D5250" s="111">
        <v>32.31</v>
      </c>
    </row>
    <row r="5251" spans="1:4" ht="25.5" x14ac:dyDescent="0.25">
      <c r="A5251" s="106">
        <v>4425</v>
      </c>
      <c r="B5251" s="108" t="s">
        <v>10449</v>
      </c>
      <c r="C5251" s="110" t="s">
        <v>5767</v>
      </c>
      <c r="D5251" s="111">
        <v>11.11</v>
      </c>
    </row>
    <row r="5252" spans="1:4" ht="25.5" x14ac:dyDescent="0.25">
      <c r="A5252" s="106">
        <v>4481</v>
      </c>
      <c r="B5252" s="108" t="s">
        <v>10450</v>
      </c>
      <c r="C5252" s="110" t="s">
        <v>5767</v>
      </c>
      <c r="D5252" s="111">
        <v>20.48</v>
      </c>
    </row>
    <row r="5253" spans="1:4" x14ac:dyDescent="0.25">
      <c r="A5253" s="106">
        <v>34345</v>
      </c>
      <c r="B5253" s="108" t="s">
        <v>10451</v>
      </c>
      <c r="C5253" s="110" t="s">
        <v>5759</v>
      </c>
      <c r="D5253" s="111">
        <v>9.9</v>
      </c>
    </row>
    <row r="5254" spans="1:4" x14ac:dyDescent="0.25">
      <c r="A5254" s="106">
        <v>41096</v>
      </c>
      <c r="B5254" s="108" t="s">
        <v>10452</v>
      </c>
      <c r="C5254" s="110" t="s">
        <v>5906</v>
      </c>
      <c r="D5254" s="111">
        <v>1757.69</v>
      </c>
    </row>
    <row r="5255" spans="1:4" ht="25.5" x14ac:dyDescent="0.25">
      <c r="A5255" s="106">
        <v>41776</v>
      </c>
      <c r="B5255" s="108" t="s">
        <v>10453</v>
      </c>
      <c r="C5255" s="110" t="s">
        <v>5759</v>
      </c>
      <c r="D5255" s="111">
        <v>13.58</v>
      </c>
    </row>
    <row r="5256" spans="1:4" x14ac:dyDescent="0.25">
      <c r="A5256" s="129">
        <v>11157</v>
      </c>
      <c r="B5256" s="130" t="s">
        <v>10454</v>
      </c>
      <c r="C5256" s="183" t="s">
        <v>7771</v>
      </c>
      <c r="D5256" s="184">
        <v>142.19</v>
      </c>
    </row>
  </sheetData>
  <pageMargins left="0.78740157499999996" right="0.78740157499999996" top="0.984251969" bottom="0.984251969" header="0.5" footer="0.5"/>
  <pageSetup scale="9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44"/>
  <sheetViews>
    <sheetView showGridLines="0" view="pageLayout" zoomScaleNormal="100" workbookViewId="0">
      <selection sqref="A1:D1"/>
    </sheetView>
  </sheetViews>
  <sheetFormatPr defaultRowHeight="15" x14ac:dyDescent="0.25"/>
  <cols>
    <col min="1" max="1" width="13.85546875" style="64" customWidth="1"/>
    <col min="2" max="2" width="48" style="64" customWidth="1"/>
    <col min="3" max="3" width="15.140625" style="64" customWidth="1"/>
    <col min="4" max="4" width="20" style="64" customWidth="1"/>
    <col min="5" max="16384" width="9.140625" style="64"/>
  </cols>
  <sheetData>
    <row r="1" spans="1:4" ht="15.75" thickBot="1" x14ac:dyDescent="0.3">
      <c r="A1" s="352" t="s">
        <v>188</v>
      </c>
      <c r="B1" s="353"/>
      <c r="C1" s="353"/>
      <c r="D1" s="354"/>
    </row>
    <row r="2" spans="1:4" ht="15" customHeight="1" x14ac:dyDescent="0.25">
      <c r="A2" s="355" t="s">
        <v>98</v>
      </c>
      <c r="B2" s="357" t="s">
        <v>3</v>
      </c>
      <c r="C2" s="357" t="s">
        <v>122</v>
      </c>
      <c r="D2" s="359"/>
    </row>
    <row r="3" spans="1:4" ht="15.75" thickBot="1" x14ac:dyDescent="0.3">
      <c r="A3" s="356"/>
      <c r="B3" s="358"/>
      <c r="C3" s="95" t="s">
        <v>123</v>
      </c>
      <c r="D3" s="96" t="s">
        <v>124</v>
      </c>
    </row>
    <row r="4" spans="1:4" x14ac:dyDescent="0.25">
      <c r="A4" s="347" t="s">
        <v>125</v>
      </c>
      <c r="B4" s="348"/>
      <c r="C4" s="348"/>
      <c r="D4" s="349"/>
    </row>
    <row r="5" spans="1:4" x14ac:dyDescent="0.25">
      <c r="A5" s="65" t="s">
        <v>126</v>
      </c>
      <c r="B5" s="66" t="s">
        <v>127</v>
      </c>
      <c r="C5" s="67">
        <v>0</v>
      </c>
      <c r="D5" s="68">
        <v>0</v>
      </c>
    </row>
    <row r="6" spans="1:4" x14ac:dyDescent="0.25">
      <c r="A6" s="65" t="s">
        <v>128</v>
      </c>
      <c r="B6" s="66" t="s">
        <v>129</v>
      </c>
      <c r="C6" s="67">
        <v>1.4999999999999999E-2</v>
      </c>
      <c r="D6" s="68">
        <v>1.4999999999999999E-2</v>
      </c>
    </row>
    <row r="7" spans="1:4" x14ac:dyDescent="0.25">
      <c r="A7" s="65" t="s">
        <v>130</v>
      </c>
      <c r="B7" s="66" t="s">
        <v>131</v>
      </c>
      <c r="C7" s="67">
        <v>0.01</v>
      </c>
      <c r="D7" s="68">
        <v>0.01</v>
      </c>
    </row>
    <row r="8" spans="1:4" x14ac:dyDescent="0.25">
      <c r="A8" s="65" t="s">
        <v>132</v>
      </c>
      <c r="B8" s="66" t="s">
        <v>133</v>
      </c>
      <c r="C8" s="67">
        <v>2E-3</v>
      </c>
      <c r="D8" s="68">
        <v>2E-3</v>
      </c>
    </row>
    <row r="9" spans="1:4" x14ac:dyDescent="0.25">
      <c r="A9" s="65" t="s">
        <v>134</v>
      </c>
      <c r="B9" s="66" t="s">
        <v>135</v>
      </c>
      <c r="C9" s="67">
        <v>6.0000000000000001E-3</v>
      </c>
      <c r="D9" s="68">
        <v>6.0000000000000001E-3</v>
      </c>
    </row>
    <row r="10" spans="1:4" x14ac:dyDescent="0.25">
      <c r="A10" s="65" t="s">
        <v>136</v>
      </c>
      <c r="B10" s="66" t="s">
        <v>137</v>
      </c>
      <c r="C10" s="67">
        <v>2.5000000000000001E-2</v>
      </c>
      <c r="D10" s="68">
        <v>2.5000000000000001E-2</v>
      </c>
    </row>
    <row r="11" spans="1:4" x14ac:dyDescent="0.25">
      <c r="A11" s="65" t="s">
        <v>138</v>
      </c>
      <c r="B11" s="66" t="s">
        <v>139</v>
      </c>
      <c r="C11" s="67">
        <v>0.03</v>
      </c>
      <c r="D11" s="68">
        <v>0.03</v>
      </c>
    </row>
    <row r="12" spans="1:4" x14ac:dyDescent="0.25">
      <c r="A12" s="65" t="s">
        <v>140</v>
      </c>
      <c r="B12" s="66" t="s">
        <v>141</v>
      </c>
      <c r="C12" s="67">
        <v>0.08</v>
      </c>
      <c r="D12" s="68">
        <v>0.08</v>
      </c>
    </row>
    <row r="13" spans="1:4" x14ac:dyDescent="0.25">
      <c r="A13" s="65" t="s">
        <v>142</v>
      </c>
      <c r="B13" s="66" t="s">
        <v>143</v>
      </c>
      <c r="C13" s="67">
        <v>0</v>
      </c>
      <c r="D13" s="68">
        <v>0</v>
      </c>
    </row>
    <row r="14" spans="1:4" x14ac:dyDescent="0.25">
      <c r="A14" s="69" t="s">
        <v>144</v>
      </c>
      <c r="B14" s="70" t="s">
        <v>145</v>
      </c>
      <c r="C14" s="71">
        <f>SUM(C5:C13)</f>
        <v>0.16799999999999998</v>
      </c>
      <c r="D14" s="72">
        <f>SUM(D5:D13)</f>
        <v>0.16799999999999998</v>
      </c>
    </row>
    <row r="15" spans="1:4" x14ac:dyDescent="0.25">
      <c r="A15" s="347" t="s">
        <v>146</v>
      </c>
      <c r="B15" s="348"/>
      <c r="C15" s="348"/>
      <c r="D15" s="349"/>
    </row>
    <row r="16" spans="1:4" x14ac:dyDescent="0.25">
      <c r="A16" s="65" t="s">
        <v>147</v>
      </c>
      <c r="B16" s="66" t="s">
        <v>148</v>
      </c>
      <c r="C16" s="67">
        <v>0.17780000000000001</v>
      </c>
      <c r="D16" s="73" t="s">
        <v>149</v>
      </c>
    </row>
    <row r="17" spans="1:4" x14ac:dyDescent="0.25">
      <c r="A17" s="65" t="s">
        <v>150</v>
      </c>
      <c r="B17" s="66" t="s">
        <v>151</v>
      </c>
      <c r="C17" s="67">
        <v>3.6700000000000003E-2</v>
      </c>
      <c r="D17" s="73" t="s">
        <v>149</v>
      </c>
    </row>
    <row r="18" spans="1:4" x14ac:dyDescent="0.25">
      <c r="A18" s="65" t="s">
        <v>152</v>
      </c>
      <c r="B18" s="66" t="s">
        <v>153</v>
      </c>
      <c r="C18" s="67">
        <v>9.2999999999999992E-3</v>
      </c>
      <c r="D18" s="68">
        <v>7.1000000000000004E-3</v>
      </c>
    </row>
    <row r="19" spans="1:4" x14ac:dyDescent="0.25">
      <c r="A19" s="65" t="s">
        <v>154</v>
      </c>
      <c r="B19" s="66" t="s">
        <v>155</v>
      </c>
      <c r="C19" s="67">
        <v>0.109</v>
      </c>
      <c r="D19" s="68">
        <v>8.3299999999999999E-2</v>
      </c>
    </row>
    <row r="20" spans="1:4" x14ac:dyDescent="0.25">
      <c r="A20" s="65" t="s">
        <v>156</v>
      </c>
      <c r="B20" s="66" t="s">
        <v>157</v>
      </c>
      <c r="C20" s="67">
        <v>6.9999999999999999E-4</v>
      </c>
      <c r="D20" s="68">
        <v>5.9999999999999995E-4</v>
      </c>
    </row>
    <row r="21" spans="1:4" x14ac:dyDescent="0.25">
      <c r="A21" s="65" t="s">
        <v>158</v>
      </c>
      <c r="B21" s="66" t="s">
        <v>159</v>
      </c>
      <c r="C21" s="67">
        <v>7.3000000000000001E-3</v>
      </c>
      <c r="D21" s="68">
        <v>5.5999999999999999E-3</v>
      </c>
    </row>
    <row r="22" spans="1:4" x14ac:dyDescent="0.25">
      <c r="A22" s="65" t="s">
        <v>160</v>
      </c>
      <c r="B22" s="66" t="s">
        <v>161</v>
      </c>
      <c r="C22" s="67">
        <v>1.15E-2</v>
      </c>
      <c r="D22" s="73" t="s">
        <v>149</v>
      </c>
    </row>
    <row r="23" spans="1:4" x14ac:dyDescent="0.25">
      <c r="A23" s="65" t="s">
        <v>162</v>
      </c>
      <c r="B23" s="66" t="s">
        <v>163</v>
      </c>
      <c r="C23" s="67">
        <v>1.1000000000000001E-3</v>
      </c>
      <c r="D23" s="68">
        <v>8.9999999999999998E-4</v>
      </c>
    </row>
    <row r="24" spans="1:4" x14ac:dyDescent="0.25">
      <c r="A24" s="65" t="s">
        <v>164</v>
      </c>
      <c r="B24" s="66" t="s">
        <v>165</v>
      </c>
      <c r="C24" s="67">
        <v>0.1103</v>
      </c>
      <c r="D24" s="68">
        <v>8.43E-2</v>
      </c>
    </row>
    <row r="25" spans="1:4" x14ac:dyDescent="0.25">
      <c r="A25" s="65" t="s">
        <v>166</v>
      </c>
      <c r="B25" s="66" t="s">
        <v>167</v>
      </c>
      <c r="C25" s="67">
        <v>2.9999999999999997E-4</v>
      </c>
      <c r="D25" s="68">
        <v>2.0000000000000001E-4</v>
      </c>
    </row>
    <row r="26" spans="1:4" x14ac:dyDescent="0.25">
      <c r="A26" s="69" t="s">
        <v>168</v>
      </c>
      <c r="B26" s="70" t="s">
        <v>145</v>
      </c>
      <c r="C26" s="71">
        <f>SUM(C16:C25)</f>
        <v>0.46400000000000002</v>
      </c>
      <c r="D26" s="72">
        <f>D25+D24+D23+D21+D20+D19+D18</f>
        <v>0.182</v>
      </c>
    </row>
    <row r="27" spans="1:4" x14ac:dyDescent="0.25">
      <c r="A27" s="347" t="s">
        <v>169</v>
      </c>
      <c r="B27" s="348"/>
      <c r="C27" s="348"/>
      <c r="D27" s="349"/>
    </row>
    <row r="28" spans="1:4" x14ac:dyDescent="0.25">
      <c r="A28" s="65" t="s">
        <v>170</v>
      </c>
      <c r="B28" s="66" t="s">
        <v>171</v>
      </c>
      <c r="C28" s="67">
        <v>6.5199999999999994E-2</v>
      </c>
      <c r="D28" s="68">
        <v>4.9799999999999997E-2</v>
      </c>
    </row>
    <row r="29" spans="1:4" x14ac:dyDescent="0.25">
      <c r="A29" s="65" t="s">
        <v>172</v>
      </c>
      <c r="B29" s="66" t="s">
        <v>173</v>
      </c>
      <c r="C29" s="67">
        <v>1.5E-3</v>
      </c>
      <c r="D29" s="68">
        <v>1.1999999999999999E-3</v>
      </c>
    </row>
    <row r="30" spans="1:4" x14ac:dyDescent="0.25">
      <c r="A30" s="65" t="s">
        <v>174</v>
      </c>
      <c r="B30" s="66" t="s">
        <v>175</v>
      </c>
      <c r="C30" s="67">
        <v>2.93E-2</v>
      </c>
      <c r="D30" s="68">
        <v>2.24E-2</v>
      </c>
    </row>
    <row r="31" spans="1:4" x14ac:dyDescent="0.25">
      <c r="A31" s="65" t="s">
        <v>176</v>
      </c>
      <c r="B31" s="66" t="s">
        <v>177</v>
      </c>
      <c r="C31" s="67">
        <v>4.6899999999999997E-2</v>
      </c>
      <c r="D31" s="68">
        <v>3.5799999999999998E-2</v>
      </c>
    </row>
    <row r="32" spans="1:4" x14ac:dyDescent="0.25">
      <c r="A32" s="65" t="s">
        <v>178</v>
      </c>
      <c r="B32" s="66" t="s">
        <v>179</v>
      </c>
      <c r="C32" s="67">
        <v>5.4999999999999997E-3</v>
      </c>
      <c r="D32" s="68">
        <v>4.1999999999999997E-3</v>
      </c>
    </row>
    <row r="33" spans="1:4" x14ac:dyDescent="0.25">
      <c r="A33" s="69" t="s">
        <v>180</v>
      </c>
      <c r="B33" s="70" t="s">
        <v>145</v>
      </c>
      <c r="C33" s="71">
        <f>SUM(C28:C32)</f>
        <v>0.1484</v>
      </c>
      <c r="D33" s="72">
        <f>SUM(D28:D32)</f>
        <v>0.11339999999999999</v>
      </c>
    </row>
    <row r="34" spans="1:4" x14ac:dyDescent="0.25">
      <c r="A34" s="347" t="s">
        <v>181</v>
      </c>
      <c r="B34" s="348"/>
      <c r="C34" s="348"/>
      <c r="D34" s="349"/>
    </row>
    <row r="35" spans="1:4" x14ac:dyDescent="0.25">
      <c r="A35" s="65" t="s">
        <v>182</v>
      </c>
      <c r="B35" s="66" t="s">
        <v>183</v>
      </c>
      <c r="C35" s="67">
        <v>7.8E-2</v>
      </c>
      <c r="D35" s="68">
        <v>3.0599999999999999E-2</v>
      </c>
    </row>
    <row r="36" spans="1:4" ht="24" x14ac:dyDescent="0.25">
      <c r="A36" s="65" t="s">
        <v>184</v>
      </c>
      <c r="B36" s="66" t="s">
        <v>185</v>
      </c>
      <c r="C36" s="67">
        <v>5.4999999999999997E-3</v>
      </c>
      <c r="D36" s="68">
        <v>4.1999999999999997E-3</v>
      </c>
    </row>
    <row r="37" spans="1:4" x14ac:dyDescent="0.25">
      <c r="A37" s="69" t="s">
        <v>186</v>
      </c>
      <c r="B37" s="70" t="s">
        <v>145</v>
      </c>
      <c r="C37" s="71">
        <f>SUM(C35:C36)</f>
        <v>8.3500000000000005E-2</v>
      </c>
      <c r="D37" s="72">
        <f>SUM(D35:D36)</f>
        <v>3.4799999999999998E-2</v>
      </c>
    </row>
    <row r="38" spans="1:4" ht="15.75" thickBot="1" x14ac:dyDescent="0.3">
      <c r="A38" s="350" t="s">
        <v>187</v>
      </c>
      <c r="B38" s="351"/>
      <c r="C38" s="97">
        <f>C37+C33+C26+C14</f>
        <v>0.86389999999999989</v>
      </c>
      <c r="D38" s="97">
        <f>D37+D33+D26+D14</f>
        <v>0.49819999999999998</v>
      </c>
    </row>
    <row r="44" spans="1:4" ht="25.5" customHeight="1" x14ac:dyDescent="0.25">
      <c r="A44" s="346" t="s">
        <v>10532</v>
      </c>
      <c r="B44" s="346"/>
      <c r="C44" s="346"/>
      <c r="D44" s="346"/>
    </row>
  </sheetData>
  <mergeCells count="10">
    <mergeCell ref="A44:D44"/>
    <mergeCell ref="A27:D27"/>
    <mergeCell ref="A34:D34"/>
    <mergeCell ref="A38:B38"/>
    <mergeCell ref="A1:D1"/>
    <mergeCell ref="A2:A3"/>
    <mergeCell ref="B2:B3"/>
    <mergeCell ref="C2:D2"/>
    <mergeCell ref="A4:D4"/>
    <mergeCell ref="A15:D15"/>
  </mergeCells>
  <pageMargins left="0.51181102362204722" right="0.51181102362204722" top="0.98958333333333337" bottom="0.98958333333333337" header="0.31496062992125984" footer="0.31496062992125984"/>
  <pageSetup paperSize="9" scale="95" orientation="portrait" r:id="rId1"/>
  <headerFooter>
    <oddHeader>&amp;L&amp;G&amp;R&amp;"-,Negrito"&amp;8&amp;K01+034DEPARTAMENTO DE ENGENHARIA - DENGE&amp;"-,Regular"
(65) 3613-1609 | engenharia@mpmt.mp.br
&amp;"-,Negrito"GERENCIA DE LICITAÇÕES&amp;"-,Regular"
(65) 3613-1635 | licitacoes@mpmt.mp.br</oddHeader>
    <oddFooter>&amp;L&amp;"-,Negrito"&amp;9&amp;K01+047MINISTÉRIO PÚBLICO DO ESTADO DE MATO GROSSO&amp;"-,Regular"
PROCURADORIA GERAL DE JUSTIÇA, RUA 04, S/N,
CENTRO POLÍTICO ADMINISTRATIVO - CUIABÁ-MT&amp;C&amp;6&amp;K01+045&amp;P / &amp;N&amp;R&amp;9&amp;K01+045&amp;A</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8"/>
  <sheetViews>
    <sheetView showGridLines="0" view="pageLayout" zoomScaleNormal="100" workbookViewId="0">
      <selection activeCell="A10" sqref="A10:D10"/>
    </sheetView>
  </sheetViews>
  <sheetFormatPr defaultRowHeight="12.75" x14ac:dyDescent="0.25"/>
  <cols>
    <col min="1" max="1" width="9.140625" style="25"/>
    <col min="2" max="2" width="40.5703125" style="25" customWidth="1"/>
    <col min="3" max="3" width="14.42578125" style="25" customWidth="1"/>
    <col min="4" max="4" width="13.7109375" style="26" customWidth="1"/>
    <col min="5" max="16384" width="9.140625" style="25"/>
  </cols>
  <sheetData>
    <row r="1" spans="1:4" x14ac:dyDescent="0.25">
      <c r="A1" s="30" t="s">
        <v>24</v>
      </c>
      <c r="B1" s="249" t="str">
        <f>CAPA!B10</f>
        <v>AMPLIAÇÃO E REFORMA DA SEDE DAS PROMOTORIAS DE JUSTIÇA DE CÁCERES-MT</v>
      </c>
      <c r="C1" s="249"/>
      <c r="D1" s="249"/>
    </row>
    <row r="2" spans="1:4" x14ac:dyDescent="0.25">
      <c r="A2" s="21" t="s">
        <v>25</v>
      </c>
      <c r="B2" s="22" t="str">
        <f>CAPA!B11</f>
        <v>Sede das Promotorias</v>
      </c>
    </row>
    <row r="3" spans="1:4" x14ac:dyDescent="0.25">
      <c r="A3" s="21" t="s">
        <v>26</v>
      </c>
      <c r="B3" s="22" t="str">
        <f>CAPA!B12</f>
        <v>Cáceres - MT</v>
      </c>
    </row>
    <row r="4" spans="1:4" x14ac:dyDescent="0.25">
      <c r="A4" s="21" t="s">
        <v>27</v>
      </c>
      <c r="B4" s="22" t="str">
        <f>CAPA!B13</f>
        <v>Rua dos Scaff, 28 - Bairro Cavalhada</v>
      </c>
    </row>
    <row r="5" spans="1:4" x14ac:dyDescent="0.25">
      <c r="A5" s="22"/>
      <c r="B5" s="22"/>
      <c r="D5" s="25"/>
    </row>
    <row r="6" spans="1:4" x14ac:dyDescent="0.25">
      <c r="A6" s="21" t="s">
        <v>21</v>
      </c>
      <c r="B6" s="23">
        <f>CAPA!B20</f>
        <v>0.29385092593003881</v>
      </c>
      <c r="C6" s="21" t="s">
        <v>39</v>
      </c>
      <c r="D6" s="23" t="str">
        <f>CAPA!H21</f>
        <v>15 meses</v>
      </c>
    </row>
    <row r="7" spans="1:4" x14ac:dyDescent="0.25">
      <c r="A7" s="21" t="s">
        <v>40</v>
      </c>
      <c r="B7" s="23">
        <f>CAPA!B21</f>
        <v>0.16323475340228599</v>
      </c>
      <c r="C7" s="21" t="s">
        <v>41</v>
      </c>
      <c r="D7" s="24" t="str">
        <f>CAPA!H20</f>
        <v>Junho/2020</v>
      </c>
    </row>
    <row r="8" spans="1:4" x14ac:dyDescent="0.25">
      <c r="A8" s="21" t="s">
        <v>58</v>
      </c>
      <c r="B8" s="25" t="str">
        <f>CAPA!H22</f>
        <v>DESONERADO</v>
      </c>
      <c r="C8" s="59" t="s">
        <v>68</v>
      </c>
      <c r="D8" s="60">
        <f>CAPA!B23</f>
        <v>0</v>
      </c>
    </row>
    <row r="9" spans="1:4" x14ac:dyDescent="0.25">
      <c r="A9" s="21"/>
      <c r="C9" s="59"/>
      <c r="D9" s="60"/>
    </row>
    <row r="10" spans="1:4" x14ac:dyDescent="0.25">
      <c r="A10" s="248" t="s">
        <v>31</v>
      </c>
      <c r="B10" s="248"/>
      <c r="C10" s="248"/>
      <c r="D10" s="248"/>
    </row>
    <row r="11" spans="1:4" ht="13.5" thickBot="1" x14ac:dyDescent="0.3">
      <c r="A11" s="81" t="s">
        <v>0</v>
      </c>
      <c r="B11" s="81" t="s">
        <v>3</v>
      </c>
      <c r="C11" s="81" t="s">
        <v>30</v>
      </c>
      <c r="D11" s="81" t="s">
        <v>7</v>
      </c>
    </row>
    <row r="12" spans="1:4" x14ac:dyDescent="0.25">
      <c r="A12" s="26" t="s">
        <v>10</v>
      </c>
      <c r="B12" s="82" t="str">
        <f>VLOOKUP(A12,'PLANILHA SINTÉTICA'!A:D,4,FALSE)</f>
        <v>ADMINISTRAÇÃO DE OBRAS</v>
      </c>
      <c r="C12" s="27">
        <f>D12/$D$54</f>
        <v>0.11865143212812318</v>
      </c>
      <c r="D12" s="28">
        <f>VLOOKUP((CONCATENATE("TOTAL DO ITEM - ",A12)),'PLANILHA SINTÉTICA'!D:I,6,FALSE)</f>
        <v>202973.85</v>
      </c>
    </row>
    <row r="13" spans="1:4" x14ac:dyDescent="0.25">
      <c r="A13" s="26" t="s">
        <v>14</v>
      </c>
      <c r="B13" s="82" t="str">
        <f>VLOOKUP(A13,'PLANILHA SINTÉTICA'!A:D,4,FALSE)</f>
        <v>SERVIÇOS PRELIMINARES E CANTEIRO DE OBRAS</v>
      </c>
      <c r="C13" s="27">
        <f>D13/$D$54</f>
        <v>1.1121696221372849E-2</v>
      </c>
      <c r="D13" s="28">
        <f>VLOOKUP((CONCATENATE("TOTAL DO ITEM - ",A13)),'PLANILHA SINTÉTICA'!D:I,6,FALSE)</f>
        <v>19025.590000000004</v>
      </c>
    </row>
    <row r="14" spans="1:4" x14ac:dyDescent="0.25">
      <c r="A14" s="252" t="str">
        <f>'PLANILHA SINTÉTICA'!A20:I20</f>
        <v>BLOCO A (SEDE ANTIGA)</v>
      </c>
      <c r="B14" s="252"/>
      <c r="C14" s="252"/>
      <c r="D14" s="252"/>
    </row>
    <row r="15" spans="1:4" x14ac:dyDescent="0.25">
      <c r="A15" s="80" t="s">
        <v>10535</v>
      </c>
      <c r="B15" s="82" t="str">
        <f>VLOOKUP(A15,'PLANILHA SINTÉTICA'!A:D,4,FALSE)</f>
        <v>DEMOLIÇÕES E RETIRADAS</v>
      </c>
      <c r="C15" s="27">
        <f>D15/$D$54</f>
        <v>2.1798129194046466E-2</v>
      </c>
      <c r="D15" s="28">
        <f>VLOOKUP((CONCATENATE("TOTAL DO ITEM - ",A15)),'PLANILHA SINTÉTICA'!D:I,6,FALSE)</f>
        <v>37289.48000000001</v>
      </c>
    </row>
    <row r="16" spans="1:4" x14ac:dyDescent="0.25">
      <c r="A16" s="80" t="s">
        <v>10536</v>
      </c>
      <c r="B16" s="82" t="str">
        <f>VLOOKUP(A16,'PLANILHA SINTÉTICA'!A:D,4,FALSE)</f>
        <v>INFRAESTRUTURA</v>
      </c>
      <c r="C16" s="27">
        <f>D16/$D$54</f>
        <v>3.128824572073053E-2</v>
      </c>
      <c r="D16" s="28">
        <f>VLOOKUP((CONCATENATE("TOTAL DO ITEM - ",A16)),'PLANILHA SINTÉTICA'!D:I,6,FALSE)</f>
        <v>53523.969999999994</v>
      </c>
    </row>
    <row r="17" spans="1:4" x14ac:dyDescent="0.25">
      <c r="A17" s="80" t="s">
        <v>32</v>
      </c>
      <c r="B17" s="82" t="str">
        <f>VLOOKUP(A17,'PLANILHA SINTÉTICA'!A:D,4,FALSE)</f>
        <v>SUPRAESTRUTURA</v>
      </c>
      <c r="C17" s="27">
        <f>D17/$D$54</f>
        <v>6.1835578539798562E-2</v>
      </c>
      <c r="D17" s="28">
        <f>VLOOKUP((CONCATENATE("TOTAL DO ITEM - ",A17)),'PLANILHA SINTÉTICA'!D:I,6,FALSE)</f>
        <v>105780.48000000001</v>
      </c>
    </row>
    <row r="18" spans="1:4" x14ac:dyDescent="0.25">
      <c r="A18" s="80" t="s">
        <v>33</v>
      </c>
      <c r="B18" s="82" t="str">
        <f>VLOOKUP(A18,'PLANILHA SINTÉTICA'!A:D,4,FALSE)</f>
        <v>PAREDES E PAINÉIS</v>
      </c>
      <c r="C18" s="27">
        <f>D18/$D$54</f>
        <v>5.286198959507999E-2</v>
      </c>
      <c r="D18" s="28">
        <f>VLOOKUP((CONCATENATE("TOTAL DO ITEM - ",A18)),'PLANILHA SINTÉTICA'!D:I,6,FALSE)</f>
        <v>90429.599999999991</v>
      </c>
    </row>
    <row r="19" spans="1:4" x14ac:dyDescent="0.25">
      <c r="A19" s="80" t="s">
        <v>17</v>
      </c>
      <c r="B19" s="82" t="str">
        <f>VLOOKUP(A19,'PLANILHA SINTÉTICA'!A:D,4,FALSE)</f>
        <v>PISO E CONTRAPISO</v>
      </c>
      <c r="C19" s="27">
        <f>D19/$D$54</f>
        <v>2.5892575251988046E-2</v>
      </c>
      <c r="D19" s="28">
        <f>VLOOKUP((CONCATENATE("TOTAL DO ITEM - ",A19)),'PLANILHA SINTÉTICA'!D:I,6,FALSE)</f>
        <v>44293.739999999991</v>
      </c>
    </row>
    <row r="20" spans="1:4" x14ac:dyDescent="0.25">
      <c r="A20" s="80" t="s">
        <v>18</v>
      </c>
      <c r="B20" s="82" t="str">
        <f>VLOOKUP(A20,'PLANILHA SINTÉTICA'!A:D,4,FALSE)</f>
        <v>COBERTURA</v>
      </c>
      <c r="C20" s="27">
        <f>D20/$D$54</f>
        <v>9.6838864175716632E-2</v>
      </c>
      <c r="D20" s="28">
        <f>VLOOKUP((CONCATENATE("TOTAL DO ITEM - ",A20)),'PLANILHA SINTÉTICA'!D:I,6,FALSE)</f>
        <v>165659.66999999998</v>
      </c>
    </row>
    <row r="21" spans="1:4" x14ac:dyDescent="0.25">
      <c r="A21" s="80" t="s">
        <v>28</v>
      </c>
      <c r="B21" s="82" t="str">
        <f>VLOOKUP(A21,'PLANILHA SINTÉTICA'!A:D,4,FALSE)</f>
        <v>CHAPISCO E REBOCO</v>
      </c>
      <c r="C21" s="27">
        <f>D21/$D$54</f>
        <v>3.3925166347210607E-2</v>
      </c>
      <c r="D21" s="28">
        <f>VLOOKUP((CONCATENATE("TOTAL DO ITEM - ",A21)),'PLANILHA SINTÉTICA'!D:I,6,FALSE)</f>
        <v>58034.879999999997</v>
      </c>
    </row>
    <row r="22" spans="1:4" x14ac:dyDescent="0.25">
      <c r="A22" s="80" t="s">
        <v>29</v>
      </c>
      <c r="B22" s="82" t="str">
        <f>VLOOKUP(A22,'PLANILHA SINTÉTICA'!A:D,4,FALSE)</f>
        <v>INSTALAÇÕES ELÉTRICAS E CABEAMENTO ESTRUTURADO</v>
      </c>
      <c r="C22" s="27">
        <f>D22/$D$54</f>
        <v>0.11960919530514007</v>
      </c>
      <c r="D22" s="28">
        <f>VLOOKUP((CONCATENATE("TOTAL DO ITEM - ",A22)),'PLANILHA SINTÉTICA'!D:I,6,FALSE)</f>
        <v>204612.2699999999</v>
      </c>
    </row>
    <row r="23" spans="1:4" x14ac:dyDescent="0.25">
      <c r="A23" s="80" t="s">
        <v>34</v>
      </c>
      <c r="B23" s="82" t="str">
        <f>VLOOKUP(A23,'PLANILHA SINTÉTICA'!A:D,4,FALSE)</f>
        <v>EQUIPAMENTOS DE REDE LÓGICA</v>
      </c>
      <c r="C23" s="27">
        <f>D23/$D$54</f>
        <v>2.9281942249865217E-2</v>
      </c>
      <c r="D23" s="28">
        <f>VLOOKUP((CONCATENATE("TOTAL DO ITEM - ",A23)),'PLANILHA SINTÉTICA'!D:I,6,FALSE)</f>
        <v>50091.839999999997</v>
      </c>
    </row>
    <row r="24" spans="1:4" x14ac:dyDescent="0.25">
      <c r="A24" s="80" t="s">
        <v>35</v>
      </c>
      <c r="B24" s="82" t="str">
        <f>VLOOKUP(A24,'PLANILHA SINTÉTICA'!A:D,4,FALSE)</f>
        <v>INFRAESTRUTURA DE SONORIZAÇÃO, CONTROLE DE ACESSO E ESCUTAS</v>
      </c>
      <c r="C24" s="27">
        <f>D24/$D$54</f>
        <v>4.3668066366916881E-3</v>
      </c>
      <c r="D24" s="28">
        <f>VLOOKUP((CONCATENATE("TOTAL DO ITEM - ",A24)),'PLANILHA SINTÉTICA'!D:I,6,FALSE)</f>
        <v>7470.1799999999994</v>
      </c>
    </row>
    <row r="25" spans="1:4" x14ac:dyDescent="0.25">
      <c r="A25" s="80" t="s">
        <v>36</v>
      </c>
      <c r="B25" s="82" t="str">
        <f>VLOOKUP(A25,'PLANILHA SINTÉTICA'!A:D,4,FALSE)</f>
        <v>INSTALAÇÕES HIDROSSANITÁRIAS</v>
      </c>
      <c r="C25" s="27">
        <f>D25/$D$54</f>
        <v>4.5930695795406096E-2</v>
      </c>
      <c r="D25" s="28">
        <f>VLOOKUP((CONCATENATE("TOTAL DO ITEM - ",A25)),'PLANILHA SINTÉTICA'!D:I,6,FALSE)</f>
        <v>78572.42</v>
      </c>
    </row>
    <row r="26" spans="1:4" x14ac:dyDescent="0.25">
      <c r="A26" s="80" t="s">
        <v>37</v>
      </c>
      <c r="B26" s="82" t="str">
        <f>VLOOKUP(A26,'PLANILHA SINTÉTICA'!A:D,4,FALSE)</f>
        <v>INSTALAÇÕES DE PREVENÇÃO E COMBATE À INCÊNDIO E PÂNICO</v>
      </c>
      <c r="C26" s="27">
        <f>D26/$D$54</f>
        <v>1.1399341268769708E-2</v>
      </c>
      <c r="D26" s="28">
        <f>VLOOKUP((CONCATENATE("TOTAL DO ITEM - ",A26)),'PLANILHA SINTÉTICA'!D:I,6,FALSE)</f>
        <v>19500.55</v>
      </c>
    </row>
    <row r="27" spans="1:4" x14ac:dyDescent="0.25">
      <c r="A27" s="80" t="s">
        <v>60</v>
      </c>
      <c r="B27" s="82" t="str">
        <f>VLOOKUP(A27,'PLANILHA SINTÉTICA'!A:D,4,FALSE)</f>
        <v>DRENAGEM DE ÁGUAS PLUVIAIS</v>
      </c>
      <c r="C27" s="27">
        <f>D27/$D$54</f>
        <v>1.5294094037505385E-2</v>
      </c>
      <c r="D27" s="28">
        <f>VLOOKUP((CONCATENATE("TOTAL DO ITEM - ",A27)),'PLANILHA SINTÉTICA'!D:I,6,FALSE)</f>
        <v>26163.200000000001</v>
      </c>
    </row>
    <row r="28" spans="1:4" x14ac:dyDescent="0.25">
      <c r="A28" s="80" t="s">
        <v>62</v>
      </c>
      <c r="B28" s="82" t="str">
        <f>VLOOKUP(A28,'PLANILHA SINTÉTICA'!A:D,4,FALSE)</f>
        <v>DRENAGEM DE AR-CONDICIONADO</v>
      </c>
      <c r="C28" s="27">
        <f>D28/$D$54</f>
        <v>1.8505519414135281E-3</v>
      </c>
      <c r="D28" s="28">
        <f>VLOOKUP((CONCATENATE("TOTAL DO ITEM - ",A28)),'PLANILHA SINTÉTICA'!D:I,6,FALSE)</f>
        <v>3165.6899999999996</v>
      </c>
    </row>
    <row r="29" spans="1:4" x14ac:dyDescent="0.25">
      <c r="A29" s="80" t="s">
        <v>63</v>
      </c>
      <c r="B29" s="82" t="str">
        <f>VLOOKUP(A29,'PLANILHA SINTÉTICA'!A:D,4,FALSE)</f>
        <v>ESQUADRIAS</v>
      </c>
      <c r="C29" s="27">
        <f>D29/$D$54</f>
        <v>4.5430138532404032E-2</v>
      </c>
      <c r="D29" s="28">
        <f>VLOOKUP((CONCATENATE("TOTAL DO ITEM - ",A29)),'PLANILHA SINTÉTICA'!D:I,6,FALSE)</f>
        <v>77716.12999999999</v>
      </c>
    </row>
    <row r="30" spans="1:4" x14ac:dyDescent="0.25">
      <c r="A30" s="80" t="s">
        <v>64</v>
      </c>
      <c r="B30" s="82" t="str">
        <f>VLOOKUP(A30,'PLANILHA SINTÉTICA'!A:D,4,FALSE)</f>
        <v>CLIMATIZAÇÃO</v>
      </c>
      <c r="C30" s="27">
        <f>D30/$D$54</f>
        <v>4.4959996192376665E-2</v>
      </c>
      <c r="D30" s="28">
        <f>VLOOKUP((CONCATENATE("TOTAL DO ITEM - ",A30)),'PLANILHA SINTÉTICA'!D:I,6,FALSE)</f>
        <v>76911.87</v>
      </c>
    </row>
    <row r="31" spans="1:4" x14ac:dyDescent="0.25">
      <c r="A31" s="80" t="s">
        <v>10522</v>
      </c>
      <c r="B31" s="82" t="str">
        <f>VLOOKUP(A31,'PLANILHA SINTÉTICA'!A:D,4,FALSE)</f>
        <v>REVESTIMENTO EM PAREDE</v>
      </c>
      <c r="C31" s="27">
        <f>D31/$D$54</f>
        <v>9.4370380141701043E-3</v>
      </c>
      <c r="D31" s="28">
        <f>VLOOKUP((CONCATENATE("TOTAL DO ITEM - ",A31)),'PLANILHA SINTÉTICA'!D:I,6,FALSE)</f>
        <v>16143.689999999999</v>
      </c>
    </row>
    <row r="32" spans="1:4" x14ac:dyDescent="0.25">
      <c r="A32" s="80" t="s">
        <v>65</v>
      </c>
      <c r="B32" s="82" t="str">
        <f>VLOOKUP(A32,'PLANILHA SINTÉTICA'!A:D,4,FALSE)</f>
        <v>REVESTIMENTO EM PISO</v>
      </c>
      <c r="C32" s="27">
        <f>D32/$D$54</f>
        <v>2.9452302061560666E-2</v>
      </c>
      <c r="D32" s="28">
        <f>VLOOKUP((CONCATENATE("TOTAL DO ITEM - ",A32)),'PLANILHA SINTÉTICA'!D:I,6,FALSE)</f>
        <v>50383.270000000004</v>
      </c>
    </row>
    <row r="33" spans="1:4" x14ac:dyDescent="0.25">
      <c r="A33" s="80" t="s">
        <v>66</v>
      </c>
      <c r="B33" s="82" t="str">
        <f>VLOOKUP(A33,'PLANILHA SINTÉTICA'!A:D,4,FALSE)</f>
        <v>REVESTIMENTO EM TETO</v>
      </c>
      <c r="C33" s="27">
        <f>D33/$D$54</f>
        <v>4.6875312102968858E-2</v>
      </c>
      <c r="D33" s="28">
        <f>VLOOKUP((CONCATENATE("TOTAL DO ITEM - ",A33)),'PLANILHA SINTÉTICA'!D:I,6,FALSE)</f>
        <v>80188.349999999991</v>
      </c>
    </row>
    <row r="34" spans="1:4" x14ac:dyDescent="0.25">
      <c r="A34" s="80" t="s">
        <v>67</v>
      </c>
      <c r="B34" s="82" t="str">
        <f>VLOOKUP(A34,'PLANILHA SINTÉTICA'!A:D,4,FALSE)</f>
        <v>PINTURA INTERNA E EXTERNA</v>
      </c>
      <c r="C34" s="27">
        <f>D34/$D$54</f>
        <v>3.4809484763079358E-2</v>
      </c>
      <c r="D34" s="28">
        <f>VLOOKUP((CONCATENATE("TOTAL DO ITEM - ",A34)),'PLANILHA SINTÉTICA'!D:I,6,FALSE)</f>
        <v>59547.659999999996</v>
      </c>
    </row>
    <row r="35" spans="1:4" x14ac:dyDescent="0.25">
      <c r="A35" s="80" t="s">
        <v>693</v>
      </c>
      <c r="B35" s="82" t="str">
        <f>VLOOKUP(A35,'PLANILHA SINTÉTICA'!A:D,4,FALSE)</f>
        <v>LOUÇAS, BANCADAS E METAIS</v>
      </c>
      <c r="C35" s="27">
        <f>D35/$D$54</f>
        <v>3.953269490521865E-2</v>
      </c>
      <c r="D35" s="28">
        <f>VLOOKUP((CONCATENATE("TOTAL DO ITEM - ",A35)),'PLANILHA SINTÉTICA'!D:I,6,FALSE)</f>
        <v>67627.53</v>
      </c>
    </row>
    <row r="36" spans="1:4" x14ac:dyDescent="0.25">
      <c r="A36" s="80" t="s">
        <v>694</v>
      </c>
      <c r="B36" s="82" t="str">
        <f>VLOOKUP(A36,'PLANILHA SINTÉTICA'!A:D,4,FALSE)</f>
        <v>ACESSÓRIOS</v>
      </c>
      <c r="C36" s="27">
        <f>D36/$D$54</f>
        <v>8.5963983037533765E-3</v>
      </c>
      <c r="D36" s="28">
        <f>VLOOKUP((CONCATENATE("TOTAL DO ITEM - ",A36)),'PLANILHA SINTÉTICA'!D:I,6,FALSE)</f>
        <v>14705.630000000001</v>
      </c>
    </row>
    <row r="37" spans="1:4" x14ac:dyDescent="0.25">
      <c r="A37" s="80" t="s">
        <v>695</v>
      </c>
      <c r="B37" s="82" t="str">
        <f>VLOOKUP(A37,'PLANILHA SINTÉTICA'!A:D,4,FALSE)</f>
        <v>ELEMENTOS DE FACHADA</v>
      </c>
      <c r="C37" s="27">
        <f>D37/$D$54</f>
        <v>5.0939062646680189E-3</v>
      </c>
      <c r="D37" s="28">
        <f>VLOOKUP((CONCATENATE("TOTAL DO ITEM - ",A37)),'PLANILHA SINTÉTICA'!D:I,6,FALSE)</f>
        <v>8714.01</v>
      </c>
    </row>
    <row r="38" spans="1:4" x14ac:dyDescent="0.25">
      <c r="A38" s="80" t="s">
        <v>696</v>
      </c>
      <c r="B38" s="82" t="str">
        <f>VLOOKUP(A38,'PLANILHA SINTÉTICA'!A:D,4,FALSE)</f>
        <v>ÁREA EXTERNA E URBANIZAÇÃO</v>
      </c>
      <c r="C38" s="27">
        <f>D38/$D$54</f>
        <v>1.8953606112343795E-2</v>
      </c>
      <c r="D38" s="28">
        <f>VLOOKUP((CONCATENATE("TOTAL DO ITEM - ",A38)),'PLANILHA SINTÉTICA'!D:I,6,FALSE)</f>
        <v>32423.429999999997</v>
      </c>
    </row>
    <row r="39" spans="1:4" x14ac:dyDescent="0.25">
      <c r="A39" s="80" t="s">
        <v>697</v>
      </c>
      <c r="B39" s="82" t="str">
        <f>VLOOKUP(A39,'PLANILHA SINTÉTICA'!A:D,4,FALSE)</f>
        <v>SERVIÇOS COMPLEMENTARES</v>
      </c>
      <c r="C39" s="27">
        <f>D39/$D$54</f>
        <v>3.3693807165682205E-3</v>
      </c>
      <c r="D39" s="28">
        <f>VLOOKUP((CONCATENATE("TOTAL DO ITEM - ",A39)),'PLANILHA SINTÉTICA'!D:I,6,FALSE)</f>
        <v>5763.91</v>
      </c>
    </row>
    <row r="40" spans="1:4" x14ac:dyDescent="0.25">
      <c r="A40" s="252" t="str">
        <f>'PLANILHA SINTÉTICA'!A557:I557</f>
        <v>BLOCO B (SEDE NOVA)</v>
      </c>
      <c r="B40" s="252"/>
      <c r="C40" s="252"/>
      <c r="D40" s="252"/>
    </row>
    <row r="41" spans="1:4" x14ac:dyDescent="0.25">
      <c r="A41" s="80" t="s">
        <v>698</v>
      </c>
      <c r="B41" s="82" t="str">
        <f>VLOOKUP(A41,'PLANILHA SINTÉTICA'!A:D,4,FALSE)</f>
        <v>DEMOLIÇÕES E RETIRADAS</v>
      </c>
      <c r="C41" s="27">
        <f>D41/$D$54</f>
        <v>7.626411870165214E-4</v>
      </c>
      <c r="D41" s="28">
        <f>VLOOKUP((CONCATENATE("TOTAL DO ITEM - ",A41)),'PLANILHA SINTÉTICA'!D:I,6,FALSE)</f>
        <v>1304.6300000000001</v>
      </c>
    </row>
    <row r="42" spans="1:4" x14ac:dyDescent="0.25">
      <c r="A42" s="80" t="s">
        <v>699</v>
      </c>
      <c r="B42" s="82" t="str">
        <f>VLOOKUP(A42,'PLANILHA SINTÉTICA'!A:D,4,FALSE)</f>
        <v>PAREDES E PAINEIS</v>
      </c>
      <c r="C42" s="27">
        <f t="shared" ref="C42:C53" si="0">D42/$D$54</f>
        <v>5.0172522410341326E-3</v>
      </c>
      <c r="D42" s="28">
        <f>VLOOKUP((CONCATENATE("TOTAL DO ITEM - ",A42)),'PLANILHA SINTÉTICA'!D:I,6,FALSE)</f>
        <v>8582.8799999999992</v>
      </c>
    </row>
    <row r="43" spans="1:4" x14ac:dyDescent="0.25">
      <c r="A43" s="80" t="s">
        <v>700</v>
      </c>
      <c r="B43" s="82" t="str">
        <f>VLOOKUP(A43,'PLANILHA SINTÉTICA'!A:D,4,FALSE)</f>
        <v>PISO E CONTRAPISO</v>
      </c>
      <c r="C43" s="27">
        <f t="shared" si="0"/>
        <v>8.1100810469720251E-4</v>
      </c>
      <c r="D43" s="28">
        <f>VLOOKUP((CONCATENATE("TOTAL DO ITEM - ",A43)),'PLANILHA SINTÉTICA'!D:I,6,FALSE)</f>
        <v>1387.3700000000001</v>
      </c>
    </row>
    <row r="44" spans="1:4" x14ac:dyDescent="0.25">
      <c r="A44" s="80" t="s">
        <v>701</v>
      </c>
      <c r="B44" s="82" t="str">
        <f>VLOOKUP(A44,'PLANILHA SINTÉTICA'!A:D,4,FALSE)</f>
        <v>ESQUADRIAS</v>
      </c>
      <c r="C44" s="27">
        <f t="shared" si="0"/>
        <v>2.8820696990900212E-3</v>
      </c>
      <c r="D44" s="28">
        <f>VLOOKUP((CONCATENATE("TOTAL DO ITEM - ",A44)),'PLANILHA SINTÉTICA'!D:I,6,FALSE)</f>
        <v>4930.28</v>
      </c>
    </row>
    <row r="45" spans="1:4" x14ac:dyDescent="0.25">
      <c r="A45" s="80" t="s">
        <v>702</v>
      </c>
      <c r="B45" s="82" t="str">
        <f>VLOOKUP(A45,'PLANILHA SINTÉTICA'!A:D,4,FALSE)</f>
        <v>REVESTIMENTO DE PISO</v>
      </c>
      <c r="C45" s="27">
        <f t="shared" si="0"/>
        <v>1.7144417998523754E-3</v>
      </c>
      <c r="D45" s="28">
        <f>VLOOKUP((CONCATENATE("TOTAL DO ITEM - ",A45)),'PLANILHA SINTÉTICA'!D:I,6,FALSE)</f>
        <v>2932.85</v>
      </c>
    </row>
    <row r="46" spans="1:4" x14ac:dyDescent="0.25">
      <c r="A46" s="80" t="s">
        <v>13234</v>
      </c>
      <c r="B46" s="82" t="str">
        <f>VLOOKUP(A46,'PLANILHA SINTÉTICA'!A:D,4,FALSE)</f>
        <v>REVESTIMENTO DE PAREDES</v>
      </c>
      <c r="C46" s="27">
        <f t="shared" si="0"/>
        <v>2.077573649782749E-3</v>
      </c>
      <c r="D46" s="28">
        <f>VLOOKUP((CONCATENATE("TOTAL DO ITEM - ",A46)),'PLANILHA SINTÉTICA'!D:I,6,FALSE)</f>
        <v>3554.05</v>
      </c>
    </row>
    <row r="47" spans="1:4" x14ac:dyDescent="0.25">
      <c r="A47" s="80" t="s">
        <v>13235</v>
      </c>
      <c r="B47" s="82" t="str">
        <f>VLOOKUP(A47,'PLANILHA SINTÉTICA'!A:D,4,FALSE)</f>
        <v>REVESTIMENTO EM TETO</v>
      </c>
      <c r="C47" s="27">
        <f t="shared" si="0"/>
        <v>1.0827958096338217E-3</v>
      </c>
      <c r="D47" s="28">
        <f>VLOOKUP((CONCATENATE("TOTAL DO ITEM - ",A47)),'PLANILHA SINTÉTICA'!D:I,6,FALSE)</f>
        <v>1852.3100000000002</v>
      </c>
    </row>
    <row r="48" spans="1:4" x14ac:dyDescent="0.25">
      <c r="A48" s="80" t="s">
        <v>13236</v>
      </c>
      <c r="B48" s="82" t="str">
        <f>VLOOKUP(A48,'PLANILHA SINTÉTICA'!A:D,4,FALSE)</f>
        <v>PINTURA INTERNA E EXTERNA</v>
      </c>
      <c r="C48" s="27">
        <f t="shared" si="0"/>
        <v>1.8936870013078651E-3</v>
      </c>
      <c r="D48" s="28">
        <f>VLOOKUP((CONCATENATE("TOTAL DO ITEM - ",A48)),'PLANILHA SINTÉTICA'!D:I,6,FALSE)</f>
        <v>3239.4799999999996</v>
      </c>
    </row>
    <row r="49" spans="1:4" x14ac:dyDescent="0.25">
      <c r="A49" s="80" t="s">
        <v>13237</v>
      </c>
      <c r="B49" s="82" t="str">
        <f>VLOOKUP(A49,'PLANILHA SINTÉTICA'!A:D,4,FALSE)</f>
        <v>INSTALAÇÕES ELÉTRICAS</v>
      </c>
      <c r="C49" s="27">
        <f t="shared" si="0"/>
        <v>1.158929570314652E-3</v>
      </c>
      <c r="D49" s="28">
        <f>VLOOKUP((CONCATENATE("TOTAL DO ITEM - ",A49)),'PLANILHA SINTÉTICA'!D:I,6,FALSE)</f>
        <v>1982.5500000000002</v>
      </c>
    </row>
    <row r="50" spans="1:4" x14ac:dyDescent="0.25">
      <c r="A50" s="80" t="s">
        <v>13238</v>
      </c>
      <c r="B50" s="82" t="str">
        <f>VLOOKUP(A50,'PLANILHA SINTÉTICA'!A:D,4,FALSE)</f>
        <v>INSTALAÇÕES HIDROSSANITÁRIAS</v>
      </c>
      <c r="C50" s="27">
        <f t="shared" si="0"/>
        <v>2.6280527736734982E-3</v>
      </c>
      <c r="D50" s="28">
        <f>VLOOKUP((CONCATENATE("TOTAL DO ITEM - ",A50)),'PLANILHA SINTÉTICA'!D:I,6,FALSE)</f>
        <v>4495.7400000000007</v>
      </c>
    </row>
    <row r="51" spans="1:4" x14ac:dyDescent="0.25">
      <c r="A51" s="80" t="s">
        <v>13239</v>
      </c>
      <c r="B51" s="82" t="str">
        <f>VLOOKUP(A51,'PLANILHA SINTÉTICA'!A:D,4,FALSE)</f>
        <v>LOUÇAS, BANCADAS E METAIS</v>
      </c>
      <c r="C51" s="27">
        <f t="shared" si="0"/>
        <v>6.5116111204417465E-3</v>
      </c>
      <c r="D51" s="28">
        <f>VLOOKUP((CONCATENATE("TOTAL DO ITEM - ",A51)),'PLANILHA SINTÉTICA'!D:I,6,FALSE)</f>
        <v>11139.240000000002</v>
      </c>
    </row>
    <row r="52" spans="1:4" x14ac:dyDescent="0.25">
      <c r="A52" s="80" t="s">
        <v>13240</v>
      </c>
      <c r="B52" s="82" t="str">
        <f>VLOOKUP(A52,'PLANILHA SINTÉTICA'!A:D,4,FALSE)</f>
        <v>ACESSÓRIOS</v>
      </c>
      <c r="C52" s="27">
        <f t="shared" si="0"/>
        <v>4.523534389886846E-3</v>
      </c>
      <c r="D52" s="28">
        <f>VLOOKUP((CONCATENATE("TOTAL DO ITEM - ",A52)),'PLANILHA SINTÉTICA'!D:I,6,FALSE)</f>
        <v>7738.2899999999991</v>
      </c>
    </row>
    <row r="53" spans="1:4" x14ac:dyDescent="0.25">
      <c r="A53" s="80" t="s">
        <v>13241</v>
      </c>
      <c r="B53" s="82" t="str">
        <f>VLOOKUP(A53,'PLANILHA SINTÉTICA'!A:D,4,FALSE)</f>
        <v>SERVIÇOS COMPLEMENTARES</v>
      </c>
      <c r="C53" s="27">
        <f t="shared" si="0"/>
        <v>4.7984027529836921E-4</v>
      </c>
      <c r="D53" s="28">
        <f>VLOOKUP((CONCATENATE("TOTAL DO ITEM - ",A53)),'PLANILHA SINTÉTICA'!D:I,6,FALSE)</f>
        <v>820.84999999999991</v>
      </c>
    </row>
    <row r="54" spans="1:4" ht="13.5" thickBot="1" x14ac:dyDescent="0.3">
      <c r="A54" s="250" t="s">
        <v>38</v>
      </c>
      <c r="B54" s="250"/>
      <c r="C54" s="250"/>
      <c r="D54" s="29">
        <f>SUM(D12:D53)</f>
        <v>1710673.4099999997</v>
      </c>
    </row>
    <row r="55" spans="1:4" x14ac:dyDescent="0.25">
      <c r="A55" s="251" t="str">
        <f>'PLANILHA SINTÉTICA'!A677:I677</f>
        <v>um milhão, setecentos e dez mil, seissentos e setenta e três reais e quarenta e um centavos</v>
      </c>
      <c r="B55" s="251"/>
      <c r="C55" s="251"/>
      <c r="D55" s="251"/>
    </row>
    <row r="58" spans="1:4" x14ac:dyDescent="0.25">
      <c r="D58" s="27"/>
    </row>
  </sheetData>
  <mergeCells count="6">
    <mergeCell ref="A10:D10"/>
    <mergeCell ref="B1:D1"/>
    <mergeCell ref="A54:C54"/>
    <mergeCell ref="A55:D55"/>
    <mergeCell ref="A14:D14"/>
    <mergeCell ref="A40:D40"/>
  </mergeCells>
  <pageMargins left="0.511811024" right="0.511811024" top="1.1499999999999999" bottom="1.0026041666666667" header="0.31496062000000002" footer="0.31496062000000002"/>
  <pageSetup paperSize="9" scale="120" orientation="portrait" r:id="rId1"/>
  <headerFooter>
    <oddHeader>&amp;L&amp;G&amp;R&amp;"-,Negrito"&amp;8&amp;K01+033DEPARTAMENTO DE ENGENHARIA - DENGE&amp;"-,Regular"
(65) 3613-1609 | engenharia@mpmt.mp.br
&amp;"-,Negrito"GERENCIA DE LICITAÇÕES&amp;"-,Regular"
(65) 3613-1635 | licitacoes@mpmt.mp.br</oddHeader>
    <oddFooter>&amp;L&amp;"-,Negrito"&amp;8&amp;K01+044MINISTÉRIO PÚBLICO DO ESTADO DE MATO GROSSO&amp;"-,Regular"
PROCURADORIA GERAL DE JUSTIÇA, RUA 04, S/N,
CENTRO POLÍTICO ADMINISTRATIVO - CUIABÁ-MT&amp;C&amp;8&amp;K01+048&amp;P / &amp;N&amp;R&amp;"-,Negrito"&amp;8&amp;K01+040&amp;A</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677"/>
  <sheetViews>
    <sheetView showGridLines="0" view="pageLayout" zoomScaleNormal="100" workbookViewId="0">
      <selection activeCell="A6" sqref="A6:I6"/>
    </sheetView>
  </sheetViews>
  <sheetFormatPr defaultRowHeight="12.75" outlineLevelRow="2" x14ac:dyDescent="0.2"/>
  <cols>
    <col min="1" max="1" width="10.140625" style="1" customWidth="1"/>
    <col min="2" max="2" width="9.140625" style="1"/>
    <col min="3" max="3" width="11.85546875" style="1" customWidth="1"/>
    <col min="4" max="4" width="57.42578125" style="2" customWidth="1"/>
    <col min="5" max="5" width="9.140625" style="1"/>
    <col min="6" max="6" width="12.42578125" style="4" bestFit="1" customWidth="1"/>
    <col min="7" max="7" width="10" style="5" bestFit="1" customWidth="1"/>
    <col min="8" max="8" width="10.28515625" style="5" customWidth="1"/>
    <col min="9" max="9" width="14.140625" style="5" customWidth="1"/>
    <col min="10" max="11" width="12" style="3" bestFit="1" customWidth="1"/>
    <col min="12" max="16384" width="9.140625" style="3"/>
  </cols>
  <sheetData>
    <row r="1" spans="1:10" x14ac:dyDescent="0.2">
      <c r="A1" s="14" t="s">
        <v>24</v>
      </c>
      <c r="B1" s="247" t="str">
        <f>CAPA!B10</f>
        <v>AMPLIAÇÃO E REFORMA DA SEDE DAS PROMOTORIAS DE JUSTIÇA DE CÁCERES-MT</v>
      </c>
      <c r="C1" s="247"/>
      <c r="D1" s="247"/>
      <c r="E1" s="17" t="s">
        <v>21</v>
      </c>
      <c r="F1" s="150">
        <f>CAPA!B20</f>
        <v>0.29385092593003881</v>
      </c>
      <c r="G1" s="18"/>
      <c r="H1" s="19" t="s">
        <v>23</v>
      </c>
      <c r="I1" s="57" t="str">
        <f>CAPA!B22</f>
        <v>SINAPI / MPMT</v>
      </c>
    </row>
    <row r="2" spans="1:10" x14ac:dyDescent="0.2">
      <c r="A2" s="7" t="s">
        <v>25</v>
      </c>
      <c r="B2" s="6" t="str">
        <f>CAPA!B11</f>
        <v>Sede das Promotorias</v>
      </c>
      <c r="C2" s="8"/>
      <c r="D2" s="6"/>
      <c r="E2" s="11" t="s">
        <v>20</v>
      </c>
      <c r="F2" s="151">
        <f>CAPA!B21</f>
        <v>0.16323475340228599</v>
      </c>
      <c r="G2" s="10"/>
      <c r="H2" s="10"/>
      <c r="I2" s="9"/>
    </row>
    <row r="3" spans="1:10" x14ac:dyDescent="0.2">
      <c r="A3" s="7" t="s">
        <v>26</v>
      </c>
      <c r="B3" s="6" t="str">
        <f>CAPA!B12</f>
        <v>Cáceres - MT</v>
      </c>
      <c r="C3" s="8"/>
      <c r="D3" s="6"/>
      <c r="E3" s="11" t="s">
        <v>22</v>
      </c>
      <c r="F3" s="152" t="str">
        <f>CAPA!H20</f>
        <v>Junho/2020</v>
      </c>
      <c r="G3" s="10"/>
      <c r="H3" s="41" t="s">
        <v>58</v>
      </c>
      <c r="I3" s="42" t="str">
        <f>CAPA!H22</f>
        <v>DESONERADO</v>
      </c>
    </row>
    <row r="4" spans="1:10" x14ac:dyDescent="0.2">
      <c r="A4" s="7" t="s">
        <v>27</v>
      </c>
      <c r="B4" s="6" t="str">
        <f>CAPA!B13</f>
        <v>Rua dos Scaff, 28 - Bairro Cavalhada</v>
      </c>
      <c r="C4" s="8"/>
      <c r="D4" s="6"/>
      <c r="E4" s="11" t="s">
        <v>19</v>
      </c>
      <c r="F4" s="42" t="str">
        <f>CAPA!H21</f>
        <v>15 meses</v>
      </c>
      <c r="G4" s="10"/>
      <c r="H4" s="41" t="s">
        <v>68</v>
      </c>
      <c r="I4" s="42">
        <f>CAPA!B23</f>
        <v>0</v>
      </c>
    </row>
    <row r="5" spans="1:10" x14ac:dyDescent="0.2">
      <c r="A5" s="7"/>
      <c r="B5" s="8"/>
      <c r="C5" s="8"/>
      <c r="D5" s="6"/>
      <c r="E5" s="11"/>
      <c r="F5" s="9"/>
      <c r="G5" s="10"/>
      <c r="H5" s="3"/>
      <c r="I5" s="3"/>
    </row>
    <row r="6" spans="1:10" x14ac:dyDescent="0.2">
      <c r="A6" s="248" t="s">
        <v>52</v>
      </c>
      <c r="B6" s="248"/>
      <c r="C6" s="248"/>
      <c r="D6" s="248"/>
      <c r="E6" s="248"/>
      <c r="F6" s="248"/>
      <c r="G6" s="248"/>
      <c r="H6" s="248"/>
      <c r="I6" s="248"/>
    </row>
    <row r="7" spans="1:10" s="1" customFormat="1" ht="26.25" thickBot="1" x14ac:dyDescent="0.3">
      <c r="A7" s="12" t="s">
        <v>0</v>
      </c>
      <c r="B7" s="12" t="s">
        <v>1</v>
      </c>
      <c r="C7" s="12" t="s">
        <v>2</v>
      </c>
      <c r="D7" s="12" t="s">
        <v>3</v>
      </c>
      <c r="E7" s="12" t="s">
        <v>4</v>
      </c>
      <c r="F7" s="13" t="s">
        <v>11</v>
      </c>
      <c r="G7" s="13" t="s">
        <v>5</v>
      </c>
      <c r="H7" s="13" t="s">
        <v>6</v>
      </c>
      <c r="I7" s="13" t="s">
        <v>7</v>
      </c>
    </row>
    <row r="8" spans="1:10" ht="13.5" thickTop="1" x14ac:dyDescent="0.2">
      <c r="A8" s="87" t="s">
        <v>10</v>
      </c>
      <c r="B8" s="87"/>
      <c r="C8" s="87"/>
      <c r="D8" s="88" t="s">
        <v>12</v>
      </c>
      <c r="E8" s="87"/>
      <c r="F8" s="89"/>
      <c r="G8" s="90"/>
      <c r="H8" s="90"/>
      <c r="I8" s="90"/>
    </row>
    <row r="9" spans="1:10" outlineLevel="1" x14ac:dyDescent="0.2">
      <c r="A9" s="45" t="s">
        <v>13242</v>
      </c>
      <c r="B9" s="45" t="s">
        <v>194</v>
      </c>
      <c r="C9" s="45" t="s">
        <v>13030</v>
      </c>
      <c r="D9" s="44" t="str">
        <f>IF(B9="MP-MT",VLOOKUP(C9,'COMPOSIÇÃO DE PREÇO UNITÁRIO'!A:B,2,FALSE),VLOOKUP(C9,'SINAPI_COMPOSIÇÕES 062020'!A:B,2,FALSE))</f>
        <v>ADMINISTRAÇÃO LOCAL DE OBRA</v>
      </c>
      <c r="E9" s="45" t="str">
        <f>IF(B9="MP-MT",VLOOKUP(C9,'COMPOSIÇÃO DE PREÇO UNITÁRIO'!A:H,8,FALSE),VLOOKUP(C9,'SINAPI_COMPOSIÇÕES 062020'!A:C,3,FALSE))</f>
        <v>MÊS</v>
      </c>
      <c r="F9" s="78">
        <v>15</v>
      </c>
      <c r="G9" s="79">
        <f>IF(B9="MP-MT",VLOOKUP(CONCATENATE("TOTAL DO ÍTEM - ",C9),'COMPOSIÇÃO DE PREÇO UNITÁRIO'!A:H,8,FALSE),VLOOKUP(C9,'SINAPI_COMPOSIÇÕES 062020'!A:D,4,FALSE))</f>
        <v>10458.39</v>
      </c>
      <c r="H9" s="79">
        <f>TRUNC(G9*(1+$F$1),2)</f>
        <v>13531.59</v>
      </c>
      <c r="I9" s="79">
        <f>TRUNC(H9*F9,2)</f>
        <v>202973.85</v>
      </c>
    </row>
    <row r="10" spans="1:10" x14ac:dyDescent="0.2">
      <c r="A10" s="76"/>
      <c r="B10" s="76"/>
      <c r="C10" s="76"/>
      <c r="D10" s="91" t="str">
        <f>CONCATENATE("TOTAL DO ITEM - ",A8)</f>
        <v>TOTAL DO ITEM - 1.0</v>
      </c>
      <c r="E10" s="76"/>
      <c r="F10" s="92"/>
      <c r="G10" s="93"/>
      <c r="H10" s="93"/>
      <c r="I10" s="93">
        <f>TRUNC(SUM(I9:I9),2)</f>
        <v>202973.85</v>
      </c>
      <c r="J10" s="366"/>
    </row>
    <row r="11" spans="1:10" x14ac:dyDescent="0.2">
      <c r="A11" s="87" t="s">
        <v>14</v>
      </c>
      <c r="B11" s="87"/>
      <c r="C11" s="87"/>
      <c r="D11" s="88" t="s">
        <v>687</v>
      </c>
      <c r="E11" s="87"/>
      <c r="F11" s="89"/>
      <c r="G11" s="90"/>
      <c r="H11" s="90"/>
      <c r="I11" s="90"/>
    </row>
    <row r="12" spans="1:10" outlineLevel="1" x14ac:dyDescent="0.2">
      <c r="A12" s="45" t="s">
        <v>13244</v>
      </c>
      <c r="B12" s="45" t="s">
        <v>194</v>
      </c>
      <c r="C12" s="45" t="s">
        <v>12994</v>
      </c>
      <c r="D12" s="44" t="str">
        <f>IF(B12="MP-MT",VLOOKUP(C12,'COMPOSIÇÃO DE PREÇO UNITÁRIO'!A:B,2,FALSE),VLOOKUP(C12,'SINAPI_COMPOSIÇÕES 062020'!A:B,2,FALSE))</f>
        <v>PLACA DE OBRA EM CHAPA DE ACO GALVANIZADO</v>
      </c>
      <c r="E12" s="45" t="str">
        <f>IF(B12="MP-MT",VLOOKUP(C12,'COMPOSIÇÃO DE PREÇO UNITÁRIO'!A:H,8,FALSE),VLOOKUP(C12,'SINAPI_COMPOSIÇÕES 062020'!A:C,3,FALSE))</f>
        <v>M2</v>
      </c>
      <c r="F12" s="78">
        <f>2*3</f>
        <v>6</v>
      </c>
      <c r="G12" s="79">
        <f>IF(B12="MP-MT",VLOOKUP(CONCATENATE("TOTAL DO ÍTEM - ",C12),'COMPOSIÇÃO DE PREÇO UNITÁRIO'!A:H,8,FALSE),VLOOKUP(C12,'SINAPI_COMPOSIÇÕES 062020'!A:D,4,FALSE))</f>
        <v>375.49</v>
      </c>
      <c r="H12" s="79">
        <f>TRUNC(G12*(1+$F$1),2)</f>
        <v>485.82</v>
      </c>
      <c r="I12" s="79">
        <f>TRUNC(H12*F12,2)</f>
        <v>2914.92</v>
      </c>
    </row>
    <row r="13" spans="1:10" ht="25.5" outlineLevel="1" x14ac:dyDescent="0.2">
      <c r="A13" s="45" t="s">
        <v>13250</v>
      </c>
      <c r="B13" s="45" t="s">
        <v>194</v>
      </c>
      <c r="C13" s="45" t="s">
        <v>12998</v>
      </c>
      <c r="D13" s="44" t="str">
        <f>IF(B13="MP-MT",VLOOKUP(C13,'COMPOSIÇÃO DE PREÇO UNITÁRIO'!A:B,2,FALSE),VLOOKUP(C13,'SINAPI_COMPOSIÇÕES 062020'!A:B,2,FALSE))</f>
        <v>ENTRADA PROVISORIA DE ENERGIA ELETRICA AEREA TRIFASICA 100A EM POSTE MADEIRA</v>
      </c>
      <c r="E13" s="45" t="str">
        <f>IF(B13="MP-MT",VLOOKUP(C13,'COMPOSIÇÃO DE PREÇO UNITÁRIO'!A:H,8,FALSE),VLOOKUP(C13,'SINAPI_COMPOSIÇÕES 062020'!A:C,3,FALSE))</f>
        <v>UND</v>
      </c>
      <c r="F13" s="78">
        <v>1</v>
      </c>
      <c r="G13" s="79">
        <f>IF(B13="MP-MT",VLOOKUP(CONCATENATE("TOTAL DO ÍTEM - ",C13),'COMPOSIÇÃO DE PREÇO UNITÁRIO'!A:H,8,FALSE),VLOOKUP(C13,'SINAPI_COMPOSIÇÕES 062020'!A:D,4,FALSE))</f>
        <v>1570.0700000000002</v>
      </c>
      <c r="H13" s="79">
        <f t="shared" ref="H13:H17" si="0">TRUNC(G13*(1+$F$1),2)</f>
        <v>2031.43</v>
      </c>
      <c r="I13" s="79">
        <f t="shared" ref="I13:I17" si="1">TRUNC(H13*F13,2)</f>
        <v>2031.43</v>
      </c>
    </row>
    <row r="14" spans="1:10" outlineLevel="1" x14ac:dyDescent="0.2">
      <c r="A14" s="45" t="s">
        <v>13245</v>
      </c>
      <c r="B14" s="45" t="s">
        <v>194</v>
      </c>
      <c r="C14" s="45" t="s">
        <v>13002</v>
      </c>
      <c r="D14" s="44" t="str">
        <f>IF(B14="MP-MT",VLOOKUP(C14,'COMPOSIÇÃO DE PREÇO UNITÁRIO'!A:B,2,FALSE),VLOOKUP(C14,'SINAPI_COMPOSIÇÕES 062020'!A:B,2,FALSE))</f>
        <v>ALUGUEL DE CONTAINER 2,30 X 6,00 M, ALT. 2,50 M, PARA ALMOXARIFADO</v>
      </c>
      <c r="E14" s="45" t="str">
        <f>IF(B14="MP-MT",VLOOKUP(C14,'COMPOSIÇÃO DE PREÇO UNITÁRIO'!A:H,8,FALSE),VLOOKUP(C14,'SINAPI_COMPOSIÇÕES 062020'!A:C,3,FALSE))</f>
        <v>UND/MÊS</v>
      </c>
      <c r="F14" s="78">
        <v>6</v>
      </c>
      <c r="G14" s="79">
        <f>IF(B14="MP-MT",VLOOKUP(CONCATENATE("TOTAL DO ÍTEM - ",C14),'COMPOSIÇÃO DE PREÇO UNITÁRIO'!A:H,8,FALSE),VLOOKUP(C14,'SINAPI_COMPOSIÇÕES 062020'!A:D,4,FALSE))</f>
        <v>407.81</v>
      </c>
      <c r="H14" s="79">
        <f t="shared" si="0"/>
        <v>527.64</v>
      </c>
      <c r="I14" s="79">
        <f t="shared" si="1"/>
        <v>3165.84</v>
      </c>
    </row>
    <row r="15" spans="1:10" ht="25.5" outlineLevel="1" x14ac:dyDescent="0.2">
      <c r="A15" s="45" t="s">
        <v>13251</v>
      </c>
      <c r="B15" s="45" t="s">
        <v>9</v>
      </c>
      <c r="C15" s="45">
        <v>93582</v>
      </c>
      <c r="D15" s="44" t="str">
        <f>IF(B15="MP-MT",VLOOKUP(C15,'COMPOSIÇÃO DE PREÇO UNITÁRIO'!A:B,2,FALSE),VLOOKUP(C15,'SINAPI_COMPOSIÇÕES 062020'!A:B,2,FALSE))</f>
        <v>EXECUÇÃO DE CENTRAL DE ARMADURA EM CANTEIRO DE OBRA, NÃO INCLUSO MOBILIÁRIO E EQUIPAMENTOS. AF_04/2016</v>
      </c>
      <c r="E15" s="45" t="str">
        <f>IF(B15="MP-MT",VLOOKUP(C15,'COMPOSIÇÃO DE PREÇO UNITÁRIO'!A:H,8,FALSE),VLOOKUP(C15,'SINAPI_COMPOSIÇÕES 062020'!A:C,3,FALSE))</f>
        <v>M2</v>
      </c>
      <c r="F15" s="78">
        <v>18</v>
      </c>
      <c r="G15" s="79">
        <f>IF(B15="MP-MT",VLOOKUP(CONCATENATE("TOTAL DO ÍTEM - ",C15),'COMPOSIÇÃO DE PREÇO UNITÁRIO'!A:H,8,FALSE),VLOOKUP(C15,'SINAPI_COMPOSIÇÕES 062020'!A:D,4,FALSE))</f>
        <v>163.72999999999999</v>
      </c>
      <c r="H15" s="79">
        <f t="shared" si="0"/>
        <v>211.84</v>
      </c>
      <c r="I15" s="79">
        <f t="shared" si="1"/>
        <v>3813.12</v>
      </c>
    </row>
    <row r="16" spans="1:10" ht="38.25" outlineLevel="1" x14ac:dyDescent="0.2">
      <c r="A16" s="45" t="s">
        <v>13252</v>
      </c>
      <c r="B16" s="45" t="s">
        <v>9</v>
      </c>
      <c r="C16" s="45">
        <v>93583</v>
      </c>
      <c r="D16" s="44" t="str">
        <f>IF(B16="MP-MT",VLOOKUP(C16,'COMPOSIÇÃO DE PREÇO UNITÁRIO'!A:B,2,FALSE),VLOOKUP(C16,'SINAPI_COMPOSIÇÕES 062020'!A:B,2,FALSE))</f>
        <v>EXECUÇÃO DE CENTRAL DE FÔRMAS, PRODUÇÃO DE ARGAMASSA OU CONCRETO EM CANTEIRO DE OBRA, NÃO INCLUSO MOBILIÁRIO E EQUIPAMENTOS. AF_04/2016</v>
      </c>
      <c r="E16" s="45" t="str">
        <f>IF(B16="MP-MT",VLOOKUP(C16,'COMPOSIÇÃO DE PREÇO UNITÁRIO'!A:H,8,FALSE),VLOOKUP(C16,'SINAPI_COMPOSIÇÕES 062020'!A:C,3,FALSE))</f>
        <v>M2</v>
      </c>
      <c r="F16" s="78">
        <v>18</v>
      </c>
      <c r="G16" s="79">
        <f>IF(B16="MP-MT",VLOOKUP(CONCATENATE("TOTAL DO ÍTEM - ",C16),'COMPOSIÇÃO DE PREÇO UNITÁRIO'!A:H,8,FALSE),VLOOKUP(C16,'SINAPI_COMPOSIÇÕES 062020'!A:D,4,FALSE))</f>
        <v>278.51</v>
      </c>
      <c r="H16" s="79">
        <f t="shared" si="0"/>
        <v>360.35</v>
      </c>
      <c r="I16" s="79">
        <f t="shared" si="1"/>
        <v>6486.3</v>
      </c>
    </row>
    <row r="17" spans="1:9" ht="25.5" outlineLevel="1" x14ac:dyDescent="0.2">
      <c r="A17" s="45" t="s">
        <v>13253</v>
      </c>
      <c r="B17" s="45" t="s">
        <v>194</v>
      </c>
      <c r="C17" s="45" t="s">
        <v>13006</v>
      </c>
      <c r="D17" s="44" t="str">
        <f>IF(B17="MP-MT",VLOOKUP(C17,'COMPOSIÇÃO DE PREÇO UNITÁRIO'!A:B,2,FALSE),VLOOKUP(C17,'SINAPI_COMPOSIÇÕES 062020'!A:B,2,FALSE))</f>
        <v>LOCACAO CONVENCIONAL DE OBRA, ATRAVÉS DE GABARITO DE TABUAS CORRIDAS PONTALETADAS, COM REAPROVEITAMENTO DE 10 VEZES</v>
      </c>
      <c r="E17" s="45" t="str">
        <f>IF(B17="MP-MT",VLOOKUP(C17,'COMPOSIÇÃO DE PREÇO UNITÁRIO'!A:H,8,FALSE),VLOOKUP(C17,'SINAPI_COMPOSIÇÕES 062020'!A:C,3,FALSE))</f>
        <v>M2</v>
      </c>
      <c r="F17" s="78">
        <v>50.22</v>
      </c>
      <c r="G17" s="79">
        <f>IF(B17="MP-MT",VLOOKUP(CONCATENATE("TOTAL DO ÍTEM - ",C17),'COMPOSIÇÃO DE PREÇO UNITÁRIO'!A:H,8,FALSE),VLOOKUP(C17,'SINAPI_COMPOSIÇÕES 062020'!A:D,4,FALSE))</f>
        <v>4.08</v>
      </c>
      <c r="H17" s="79">
        <f t="shared" si="0"/>
        <v>5.27</v>
      </c>
      <c r="I17" s="79">
        <f t="shared" si="1"/>
        <v>264.64999999999998</v>
      </c>
    </row>
    <row r="18" spans="1:9" outlineLevel="1" x14ac:dyDescent="0.2">
      <c r="A18" s="45" t="s">
        <v>13828</v>
      </c>
      <c r="B18" s="45" t="s">
        <v>194</v>
      </c>
      <c r="C18" s="45" t="s">
        <v>13827</v>
      </c>
      <c r="D18" s="44" t="str">
        <f>'COMPOSIÇÃO MOB-DESMOB'!C2</f>
        <v>MOBILIZAÇÃO DE OBRA</v>
      </c>
      <c r="E18" s="45" t="str">
        <f>'COMPOSIÇÃO MOB-DESMOB'!N2</f>
        <v>UND</v>
      </c>
      <c r="F18" s="78">
        <v>1</v>
      </c>
      <c r="G18" s="79">
        <f>'COMPOSIÇÃO MOB-DESMOB'!L7</f>
        <v>270</v>
      </c>
      <c r="H18" s="79">
        <f t="shared" ref="H18" si="2">TRUNC(G18*(1+$F$1),2)</f>
        <v>349.33</v>
      </c>
      <c r="I18" s="79">
        <f t="shared" ref="I18" si="3">TRUNC(H18*F18,2)</f>
        <v>349.33</v>
      </c>
    </row>
    <row r="19" spans="1:9" x14ac:dyDescent="0.2">
      <c r="A19" s="76"/>
      <c r="B19" s="76"/>
      <c r="C19" s="76"/>
      <c r="D19" s="91" t="str">
        <f>CONCATENATE("TOTAL DO ITEM - ",A11)</f>
        <v>TOTAL DO ITEM - 2.0</v>
      </c>
      <c r="E19" s="76"/>
      <c r="F19" s="92"/>
      <c r="G19" s="93"/>
      <c r="H19" s="93"/>
      <c r="I19" s="93">
        <f>SUM(I12:I18)</f>
        <v>19025.590000000004</v>
      </c>
    </row>
    <row r="20" spans="1:9" x14ac:dyDescent="0.2">
      <c r="A20" s="254" t="s">
        <v>11879</v>
      </c>
      <c r="B20" s="254"/>
      <c r="C20" s="254"/>
      <c r="D20" s="254"/>
      <c r="E20" s="254"/>
      <c r="F20" s="254"/>
      <c r="G20" s="254"/>
      <c r="H20" s="254"/>
      <c r="I20" s="254"/>
    </row>
    <row r="21" spans="1:9" outlineLevel="1" x14ac:dyDescent="0.2">
      <c r="A21" s="87" t="s">
        <v>10535</v>
      </c>
      <c r="B21" s="87"/>
      <c r="C21" s="87"/>
      <c r="D21" s="88" t="s">
        <v>11880</v>
      </c>
      <c r="E21" s="87"/>
      <c r="F21" s="89"/>
      <c r="G21" s="90"/>
      <c r="H21" s="90"/>
      <c r="I21" s="90"/>
    </row>
    <row r="22" spans="1:9" ht="25.5" outlineLevel="2" x14ac:dyDescent="0.2">
      <c r="A22" s="45" t="s">
        <v>13247</v>
      </c>
      <c r="B22" s="45" t="s">
        <v>9</v>
      </c>
      <c r="C22" s="45">
        <v>97634</v>
      </c>
      <c r="D22" s="44" t="str">
        <f>IF(B22="MP-MT",VLOOKUP(C22,'COMPOSIÇÃO DE PREÇO UNITÁRIO'!A:B,2,FALSE),VLOOKUP(C22,'SINAPI_COMPOSIÇÕES 062020'!A:B,2,FALSE))</f>
        <v>DEMOLIÇÃO DE REVESTIMENTO CERÂMICO, DE FORMA MECANIZADA COM MARTELETE, SEM REAPROVEITAMENTO. AF_12/2017</v>
      </c>
      <c r="E22" s="45" t="str">
        <f>IF(B22="MP-MT",VLOOKUP(C22,'COMPOSIÇÃO DE PREÇO UNITÁRIO'!A:H,8,FALSE),VLOOKUP(C22,'SINAPI_COMPOSIÇÕES 062020'!A:C,3,FALSE))</f>
        <v>M2</v>
      </c>
      <c r="F22" s="78">
        <f>12.49+101.2+2.44</f>
        <v>116.13</v>
      </c>
      <c r="G22" s="79">
        <f>IF(B22="MP-MT",VLOOKUP(CONCATENATE("TOTAL DO ÍTEM - ",C22),'COMPOSIÇÃO DE PREÇO UNITÁRIO'!A:H,8,FALSE),VLOOKUP(C22,'SINAPI_COMPOSIÇÕES 062020'!A:D,4,FALSE))</f>
        <v>7.81</v>
      </c>
      <c r="H22" s="79">
        <f t="shared" ref="H22:H52" si="4">TRUNC(G22*(1+$F$1),2)</f>
        <v>10.1</v>
      </c>
      <c r="I22" s="79">
        <f t="shared" ref="I22" si="5">TRUNC(H22*F22,2)</f>
        <v>1172.9100000000001</v>
      </c>
    </row>
    <row r="23" spans="1:9" ht="25.5" outlineLevel="2" x14ac:dyDescent="0.2">
      <c r="A23" s="45" t="s">
        <v>13256</v>
      </c>
      <c r="B23" s="45" t="s">
        <v>9</v>
      </c>
      <c r="C23" s="45">
        <v>97633</v>
      </c>
      <c r="D23" s="44" t="str">
        <f>IF(B23="MP-MT",VLOOKUP(C23,'COMPOSIÇÃO DE PREÇO UNITÁRIO'!A:B,2,FALSE),VLOOKUP(C23,'SINAPI_COMPOSIÇÕES 062020'!A:B,2,FALSE))</f>
        <v>DEMOLIÇÃO DE REVESTIMENTO CERÂMICO, DE FORMA MANUAL, SEM REAPROVEITAMENTO. AF_12/2017</v>
      </c>
      <c r="E23" s="45" t="str">
        <f>IF(B23="MP-MT",VLOOKUP(C23,'COMPOSIÇÃO DE PREÇO UNITÁRIO'!A:H,8,FALSE),VLOOKUP(C23,'SINAPI_COMPOSIÇÕES 062020'!A:C,3,FALSE))</f>
        <v>M2</v>
      </c>
      <c r="F23" s="78">
        <v>147.97999999999999</v>
      </c>
      <c r="G23" s="79">
        <f>IF(B23="MP-MT",VLOOKUP(CONCATENATE("TOTAL DO ÍTEM - ",C23),'COMPOSIÇÃO DE PREÇO UNITÁRIO'!A:H,8,FALSE),VLOOKUP(C23,'SINAPI_COMPOSIÇÕES 062020'!A:D,4,FALSE))</f>
        <v>14.85</v>
      </c>
      <c r="H23" s="79">
        <f t="shared" si="4"/>
        <v>19.21</v>
      </c>
      <c r="I23" s="79">
        <f t="shared" ref="I23" si="6">TRUNC(H23*F23,2)</f>
        <v>2842.69</v>
      </c>
    </row>
    <row r="24" spans="1:9" ht="38.25" outlineLevel="2" x14ac:dyDescent="0.2">
      <c r="A24" s="45" t="s">
        <v>13257</v>
      </c>
      <c r="B24" s="45" t="s">
        <v>194</v>
      </c>
      <c r="C24" s="45" t="s">
        <v>11881</v>
      </c>
      <c r="D24" s="44" t="str">
        <f>IF(B24="MP-MT",VLOOKUP(C24,'COMPOSIÇÃO DE PREÇO UNITÁRIO'!A:B,2,FALSE),VLOOKUP(C24,'SINAPI_COMPOSIÇÕES 062020'!A:B,2,FALSE))</f>
        <v>DEMOLIÇÃO DE PISO, CONTRAPISO, PASSEIO E/OU CAMADA DE REGULARIZAÇÃO REGULARIZAÇÃO, DE FORMA MECANIZADA COM MARTELETE</v>
      </c>
      <c r="E24" s="45" t="str">
        <f>IF(B24="MP-MT",VLOOKUP(C24,'COMPOSIÇÃO DE PREÇO UNITÁRIO'!A:H,8,FALSE),VLOOKUP(C24,'SINAPI_COMPOSIÇÕES 062020'!A:C,3,FALSE))</f>
        <v>M3</v>
      </c>
      <c r="F24" s="78">
        <f>37.17+0.6+3.08+0.62+5.06+16.29</f>
        <v>62.82</v>
      </c>
      <c r="G24" s="79">
        <f>IF(B24="MP-MT",VLOOKUP(CONCATENATE("TOTAL DO ÍTEM - ",C24),'COMPOSIÇÃO DE PREÇO UNITÁRIO'!A:H,8,FALSE),VLOOKUP(C24,'SINAPI_COMPOSIÇÕES 062020'!A:D,4,FALSE))</f>
        <v>80.12</v>
      </c>
      <c r="H24" s="79">
        <f t="shared" si="4"/>
        <v>103.66</v>
      </c>
      <c r="I24" s="79">
        <f t="shared" ref="I24:I52" si="7">TRUNC(H24*F24,2)</f>
        <v>6511.92</v>
      </c>
    </row>
    <row r="25" spans="1:9" outlineLevel="2" x14ac:dyDescent="0.2">
      <c r="A25" s="45" t="s">
        <v>13258</v>
      </c>
      <c r="B25" s="45" t="s">
        <v>194</v>
      </c>
      <c r="C25" s="45" t="s">
        <v>11887</v>
      </c>
      <c r="D25" s="44" t="str">
        <f>IF(B25="MP-MT",VLOOKUP(C25,'COMPOSIÇÃO DE PREÇO UNITÁRIO'!A:B,2,FALSE),VLOOKUP(C25,'SINAPI_COMPOSIÇÕES 062020'!A:B,2,FALSE))</f>
        <v>REMOÇÃO DE PISO LAMINADO, INCLUSIVE MANTA</v>
      </c>
      <c r="E25" s="45" t="str">
        <f>IF(B25="MP-MT",VLOOKUP(C25,'COMPOSIÇÃO DE PREÇO UNITÁRIO'!A:H,8,FALSE),VLOOKUP(C25,'SINAPI_COMPOSIÇÕES 062020'!A:C,3,FALSE))</f>
        <v>M2</v>
      </c>
      <c r="F25" s="78">
        <v>325.74</v>
      </c>
      <c r="G25" s="79">
        <f>IF(B25="MP-MT",VLOOKUP(CONCATENATE("TOTAL DO ÍTEM - ",C25),'COMPOSIÇÃO DE PREÇO UNITÁRIO'!A:H,8,FALSE),VLOOKUP(C25,'SINAPI_COMPOSIÇÕES 062020'!A:D,4,FALSE))</f>
        <v>19.36</v>
      </c>
      <c r="H25" s="79">
        <f t="shared" si="4"/>
        <v>25.04</v>
      </c>
      <c r="I25" s="79">
        <f t="shared" si="7"/>
        <v>8156.52</v>
      </c>
    </row>
    <row r="26" spans="1:9" ht="25.5" outlineLevel="2" x14ac:dyDescent="0.2">
      <c r="A26" s="45" t="s">
        <v>13259</v>
      </c>
      <c r="B26" s="45" t="s">
        <v>9</v>
      </c>
      <c r="C26" s="45">
        <v>97625</v>
      </c>
      <c r="D26" s="44" t="str">
        <f>IF(B26="MP-MT",VLOOKUP(C26,'COMPOSIÇÃO DE PREÇO UNITÁRIO'!A:B,2,FALSE),VLOOKUP(C26,'SINAPI_COMPOSIÇÕES 062020'!A:B,2,FALSE))</f>
        <v>DEMOLIÇÃO DE ALVENARIA PARA QUALQUER TIPO DE BLOCO, DE FORMA MECANIZADA, SEM REAPROVEITAMENTO. AF_12/2017</v>
      </c>
      <c r="E26" s="45" t="str">
        <f>IF(B26="MP-MT",VLOOKUP(C26,'COMPOSIÇÃO DE PREÇO UNITÁRIO'!A:H,8,FALSE),VLOOKUP(C26,'SINAPI_COMPOSIÇÕES 062020'!A:C,3,FALSE))</f>
        <v>M3</v>
      </c>
      <c r="F26" s="78">
        <v>64.650000000000006</v>
      </c>
      <c r="G26" s="79">
        <f>IF(B26="MP-MT",VLOOKUP(CONCATENATE("TOTAL DO ÍTEM - ",C26),'COMPOSIÇÃO DE PREÇO UNITÁRIO'!A:H,8,FALSE),VLOOKUP(C26,'SINAPI_COMPOSIÇÕES 062020'!A:D,4,FALSE))</f>
        <v>31.63</v>
      </c>
      <c r="H26" s="79">
        <f t="shared" si="4"/>
        <v>40.92</v>
      </c>
      <c r="I26" s="79">
        <f t="shared" si="7"/>
        <v>2645.47</v>
      </c>
    </row>
    <row r="27" spans="1:9" ht="25.5" outlineLevel="2" x14ac:dyDescent="0.2">
      <c r="A27" s="45" t="s">
        <v>13246</v>
      </c>
      <c r="B27" s="45" t="s">
        <v>194</v>
      </c>
      <c r="C27" s="45" t="s">
        <v>11891</v>
      </c>
      <c r="D27" s="44" t="str">
        <f>IF(B27="MP-MT",VLOOKUP(C27,'COMPOSIÇÃO DE PREÇO UNITÁRIO'!A:B,2,FALSE),VLOOKUP(C27,'SINAPI_COMPOSIÇÕES 062020'!A:B,2,FALSE))</f>
        <v>REMOÇÃO DE FORROS DE DRYWALL, PVC, MADEIRA E/OU FIBROMINERAL, DE FORMA MANUAL, SEM REAPROVEITAMENTO</v>
      </c>
      <c r="E27" s="45" t="str">
        <f>IF(B27="MP-MT",VLOOKUP(C27,'COMPOSIÇÃO DE PREÇO UNITÁRIO'!A:H,8,FALSE),VLOOKUP(C27,'SINAPI_COMPOSIÇÕES 062020'!A:C,3,FALSE))</f>
        <v>M2</v>
      </c>
      <c r="F27" s="78">
        <f>3.5+365.15+183.93</f>
        <v>552.57999999999993</v>
      </c>
      <c r="G27" s="79">
        <f>IF(B27="MP-MT",VLOOKUP(CONCATENATE("TOTAL DO ÍTEM - ",C27),'COMPOSIÇÃO DE PREÇO UNITÁRIO'!A:H,8,FALSE),VLOOKUP(C27,'SINAPI_COMPOSIÇÕES 062020'!A:D,4,FALSE))</f>
        <v>1.05</v>
      </c>
      <c r="H27" s="79">
        <f t="shared" si="4"/>
        <v>1.35</v>
      </c>
      <c r="I27" s="79">
        <f t="shared" si="7"/>
        <v>745.98</v>
      </c>
    </row>
    <row r="28" spans="1:9" ht="25.5" outlineLevel="2" x14ac:dyDescent="0.2">
      <c r="A28" s="45" t="s">
        <v>13260</v>
      </c>
      <c r="B28" s="45" t="s">
        <v>9</v>
      </c>
      <c r="C28" s="45">
        <v>97664</v>
      </c>
      <c r="D28" s="44" t="str">
        <f>IF(B28="MP-MT",VLOOKUP(C28,'COMPOSIÇÃO DE PREÇO UNITÁRIO'!A:B,2,FALSE),VLOOKUP(C28,'SINAPI_COMPOSIÇÕES 062020'!A:B,2,FALSE))</f>
        <v>REMOÇÃO DE ACESSÓRIOS, DE FORMA MANUAL, SEM REAPROVEITAMENTO. AF_12/2017</v>
      </c>
      <c r="E28" s="45" t="str">
        <f>IF(B28="MP-MT",VLOOKUP(C28,'COMPOSIÇÃO DE PREÇO UNITÁRIO'!A:H,8,FALSE),VLOOKUP(C28,'SINAPI_COMPOSIÇÕES 062020'!A:C,3,FALSE))</f>
        <v>UN</v>
      </c>
      <c r="F28" s="78">
        <f>1+2+11+1+6+3+1+3+10+7+3+9</f>
        <v>57</v>
      </c>
      <c r="G28" s="79">
        <f>IF(B28="MP-MT",VLOOKUP(CONCATENATE("TOTAL DO ÍTEM - ",C28),'COMPOSIÇÃO DE PREÇO UNITÁRIO'!A:H,8,FALSE),VLOOKUP(C28,'SINAPI_COMPOSIÇÕES 062020'!A:D,4,FALSE))</f>
        <v>0.99</v>
      </c>
      <c r="H28" s="79">
        <f t="shared" si="4"/>
        <v>1.28</v>
      </c>
      <c r="I28" s="79">
        <f t="shared" si="7"/>
        <v>72.959999999999994</v>
      </c>
    </row>
    <row r="29" spans="1:9" outlineLevel="2" x14ac:dyDescent="0.2">
      <c r="A29" s="45" t="s">
        <v>13261</v>
      </c>
      <c r="B29" s="45" t="s">
        <v>194</v>
      </c>
      <c r="C29" s="45" t="s">
        <v>11895</v>
      </c>
      <c r="D29" s="44" t="str">
        <f>IF(B29="MP-MT",VLOOKUP(C29,'COMPOSIÇÃO DE PREÇO UNITÁRIO'!A:B,2,FALSE),VLOOKUP(C29,'SINAPI_COMPOSIÇÕES 062020'!A:B,2,FALSE))</f>
        <v>REMOÇÃO DE ACESSÓRIOS, DE FORMA MANUAL, COM REAPROVEITAMENTO</v>
      </c>
      <c r="E29" s="45" t="str">
        <f>IF(B29="MP-MT",VLOOKUP(C29,'COMPOSIÇÃO DE PREÇO UNITÁRIO'!A:H,8,FALSE),VLOOKUP(C29,'SINAPI_COMPOSIÇÕES 062020'!A:C,3,FALSE))</f>
        <v>UND</v>
      </c>
      <c r="F29" s="78">
        <f>2+2+1</f>
        <v>5</v>
      </c>
      <c r="G29" s="79">
        <f>IF(B29="MP-MT",VLOOKUP(CONCATENATE("TOTAL DO ÍTEM - ",C29),'COMPOSIÇÃO DE PREÇO UNITÁRIO'!A:H,8,FALSE),VLOOKUP(C29,'SINAPI_COMPOSIÇÕES 062020'!A:D,4,FALSE))</f>
        <v>1.05</v>
      </c>
      <c r="H29" s="79">
        <f t="shared" si="4"/>
        <v>1.35</v>
      </c>
      <c r="I29" s="79">
        <f t="shared" si="7"/>
        <v>6.75</v>
      </c>
    </row>
    <row r="30" spans="1:9" outlineLevel="2" x14ac:dyDescent="0.2">
      <c r="A30" s="45" t="s">
        <v>13262</v>
      </c>
      <c r="B30" s="45" t="s">
        <v>194</v>
      </c>
      <c r="C30" s="45" t="s">
        <v>11899</v>
      </c>
      <c r="D30" s="44" t="str">
        <f>IF(B30="MP-MT",VLOOKUP(C30,'COMPOSIÇÃO DE PREÇO UNITÁRIO'!A:B,2,FALSE),VLOOKUP(C30,'SINAPI_COMPOSIÇÕES 062020'!A:B,2,FALSE))</f>
        <v>REMOÇÃO DE BANCADA EM GRANITO/INOX DE PIA OU LAVATÓRIO</v>
      </c>
      <c r="E30" s="45" t="str">
        <f>IF(B30="MP-MT",VLOOKUP(C30,'COMPOSIÇÃO DE PREÇO UNITÁRIO'!A:H,8,FALSE),VLOOKUP(C30,'SINAPI_COMPOSIÇÕES 062020'!A:C,3,FALSE))</f>
        <v>M2</v>
      </c>
      <c r="F30" s="78">
        <f>3.23+3.9+3.1+1.62+2.15+1.4</f>
        <v>15.400000000000002</v>
      </c>
      <c r="G30" s="79">
        <f>IF(B30="MP-MT",VLOOKUP(CONCATENATE("TOTAL DO ÍTEM - ",C30),'COMPOSIÇÃO DE PREÇO UNITÁRIO'!A:H,8,FALSE),VLOOKUP(C30,'SINAPI_COMPOSIÇÕES 062020'!A:D,4,FALSE))</f>
        <v>17.03</v>
      </c>
      <c r="H30" s="79">
        <f t="shared" si="4"/>
        <v>22.03</v>
      </c>
      <c r="I30" s="79">
        <f t="shared" si="7"/>
        <v>339.26</v>
      </c>
    </row>
    <row r="31" spans="1:9" outlineLevel="2" x14ac:dyDescent="0.2">
      <c r="A31" s="45" t="s">
        <v>13263</v>
      </c>
      <c r="B31" s="45" t="s">
        <v>194</v>
      </c>
      <c r="C31" s="45" t="s">
        <v>11903</v>
      </c>
      <c r="D31" s="44" t="str">
        <f>IF(B31="MP-MT",VLOOKUP(C31,'COMPOSIÇÃO DE PREÇO UNITÁRIO'!A:B,2,FALSE),VLOOKUP(C31,'SINAPI_COMPOSIÇÕES 062020'!A:B,2,FALSE))</f>
        <v>RETIRADA DE CALHAS, RUFOS OU RINCÕES EM CHAPA METÁLICA</v>
      </c>
      <c r="E31" s="45" t="str">
        <f>IF(B31="MP-MT",VLOOKUP(C31,'COMPOSIÇÃO DE PREÇO UNITÁRIO'!A:H,8,FALSE),VLOOKUP(C31,'SINAPI_COMPOSIÇÕES 062020'!A:C,3,FALSE))</f>
        <v>M</v>
      </c>
      <c r="F31" s="78">
        <f>43.35+112.58+51.75</f>
        <v>207.68</v>
      </c>
      <c r="G31" s="79">
        <f>IF(B31="MP-MT",VLOOKUP(CONCATENATE("TOTAL DO ÍTEM - ",C31),'COMPOSIÇÃO DE PREÇO UNITÁRIO'!A:H,8,FALSE),VLOOKUP(C31,'SINAPI_COMPOSIÇÕES 062020'!A:D,4,FALSE))</f>
        <v>3.59</v>
      </c>
      <c r="H31" s="79">
        <f t="shared" si="4"/>
        <v>4.6399999999999997</v>
      </c>
      <c r="I31" s="79">
        <f t="shared" si="7"/>
        <v>963.63</v>
      </c>
    </row>
    <row r="32" spans="1:9" ht="25.5" outlineLevel="2" x14ac:dyDescent="0.2">
      <c r="A32" s="45" t="s">
        <v>13264</v>
      </c>
      <c r="B32" s="45" t="s">
        <v>9</v>
      </c>
      <c r="C32" s="45">
        <v>97666</v>
      </c>
      <c r="D32" s="44" t="str">
        <f>IF(B32="MP-MT",VLOOKUP(C32,'COMPOSIÇÃO DE PREÇO UNITÁRIO'!A:B,2,FALSE),VLOOKUP(C32,'SINAPI_COMPOSIÇÕES 062020'!A:B,2,FALSE))</f>
        <v>REMOÇÃO DE METAIS SANITÁRIOS, DE FORMA MANUAL, SEM REAPROVEITAMENTO. AF_12/2017</v>
      </c>
      <c r="E32" s="45" t="str">
        <f>IF(B32="MP-MT",VLOOKUP(C32,'COMPOSIÇÃO DE PREÇO UNITÁRIO'!A:H,8,FALSE),VLOOKUP(C32,'SINAPI_COMPOSIÇÕES 062020'!A:C,3,FALSE))</f>
        <v>UN</v>
      </c>
      <c r="F32" s="78">
        <f>8+17+2+2+1+23+2+2+13+1+2+1+19</f>
        <v>93</v>
      </c>
      <c r="G32" s="79">
        <f>IF(B32="MP-MT",VLOOKUP(CONCATENATE("TOTAL DO ÍTEM - ",C32),'COMPOSIÇÃO DE PREÇO UNITÁRIO'!A:H,8,FALSE),VLOOKUP(C32,'SINAPI_COMPOSIÇÕES 062020'!A:D,4,FALSE))</f>
        <v>5.88</v>
      </c>
      <c r="H32" s="79">
        <f t="shared" si="4"/>
        <v>7.6</v>
      </c>
      <c r="I32" s="79">
        <f t="shared" si="7"/>
        <v>706.8</v>
      </c>
    </row>
    <row r="33" spans="1:9" ht="25.5" outlineLevel="2" x14ac:dyDescent="0.2">
      <c r="A33" s="45" t="s">
        <v>13265</v>
      </c>
      <c r="B33" s="45" t="s">
        <v>194</v>
      </c>
      <c r="C33" s="45" t="s">
        <v>11907</v>
      </c>
      <c r="D33" s="44" t="str">
        <f>IF(B33="MP-MT",VLOOKUP(C33,'COMPOSIÇÃO DE PREÇO UNITÁRIO'!A:B,2,FALSE),VLOOKUP(C33,'SINAPI_COMPOSIÇÕES 062020'!A:B,2,FALSE))</f>
        <v>REMOÇÃO DE METAIS SANITÁRIOS, DE FORMA MANUAL, COM REAPROVEITAMENTO</v>
      </c>
      <c r="E33" s="45" t="str">
        <f>IF(B33="MP-MT",VLOOKUP(C33,'COMPOSIÇÃO DE PREÇO UNITÁRIO'!A:H,8,FALSE),VLOOKUP(C33,'SINAPI_COMPOSIÇÕES 062020'!A:C,3,FALSE))</f>
        <v>UND</v>
      </c>
      <c r="F33" s="78">
        <f>1+1</f>
        <v>2</v>
      </c>
      <c r="G33" s="79">
        <f>IF(B33="MP-MT",VLOOKUP(CONCATENATE("TOTAL DO ÍTEM - ",C33),'COMPOSIÇÃO DE PREÇO UNITÁRIO'!A:H,8,FALSE),VLOOKUP(C33,'SINAPI_COMPOSIÇÕES 062020'!A:D,4,FALSE))</f>
        <v>6.18</v>
      </c>
      <c r="H33" s="79">
        <f t="shared" si="4"/>
        <v>7.99</v>
      </c>
      <c r="I33" s="79">
        <f t="shared" ref="I33" si="8">TRUNC(H33*F33,2)</f>
        <v>15.98</v>
      </c>
    </row>
    <row r="34" spans="1:9" ht="25.5" outlineLevel="2" x14ac:dyDescent="0.2">
      <c r="A34" s="45" t="s">
        <v>13266</v>
      </c>
      <c r="B34" s="45" t="s">
        <v>9</v>
      </c>
      <c r="C34" s="45">
        <v>97663</v>
      </c>
      <c r="D34" s="44" t="str">
        <f>IF(B34="MP-MT",VLOOKUP(C34,'COMPOSIÇÃO DE PREÇO UNITÁRIO'!A:B,2,FALSE),VLOOKUP(C34,'SINAPI_COMPOSIÇÕES 062020'!A:B,2,FALSE))</f>
        <v>REMOÇÃO DE LOUÇAS, DE FORMA MANUAL, SEM REAPROVEITAMENTO. AF_12/2017</v>
      </c>
      <c r="E34" s="45" t="str">
        <f>IF(B34="MP-MT",VLOOKUP(C34,'COMPOSIÇÃO DE PREÇO UNITÁRIO'!A:H,8,FALSE),VLOOKUP(C34,'SINAPI_COMPOSIÇÕES 062020'!A:C,3,FALSE))</f>
        <v>UN</v>
      </c>
      <c r="F34" s="78">
        <f>2+17+25</f>
        <v>44</v>
      </c>
      <c r="G34" s="79">
        <f>IF(B34="MP-MT",VLOOKUP(CONCATENATE("TOTAL DO ÍTEM - ",C34),'COMPOSIÇÃO DE PREÇO UNITÁRIO'!A:H,8,FALSE),VLOOKUP(C34,'SINAPI_COMPOSIÇÕES 062020'!A:D,4,FALSE))</f>
        <v>8.07</v>
      </c>
      <c r="H34" s="79">
        <f t="shared" si="4"/>
        <v>10.44</v>
      </c>
      <c r="I34" s="79">
        <f t="shared" si="7"/>
        <v>459.36</v>
      </c>
    </row>
    <row r="35" spans="1:9" ht="25.5" outlineLevel="2" x14ac:dyDescent="0.2">
      <c r="A35" s="45" t="s">
        <v>13267</v>
      </c>
      <c r="B35" s="45" t="s">
        <v>194</v>
      </c>
      <c r="C35" s="45" t="s">
        <v>11911</v>
      </c>
      <c r="D35" s="44" t="str">
        <f>IF(B35="MP-MT",VLOOKUP(C35,'COMPOSIÇÃO DE PREÇO UNITÁRIO'!A:B,2,FALSE),VLOOKUP(C35,'SINAPI_COMPOSIÇÕES 062020'!A:B,2,FALSE))</f>
        <v>REMOÇÃO DE METAIS SANITÁRIOS, DE FORMA MANUAL, COM REAPROVEITAMENTO</v>
      </c>
      <c r="E35" s="45" t="str">
        <f>IF(B35="MP-MT",VLOOKUP(C35,'COMPOSIÇÃO DE PREÇO UNITÁRIO'!A:H,8,FALSE),VLOOKUP(C35,'SINAPI_COMPOSIÇÕES 062020'!A:C,3,FALSE))</f>
        <v>UND</v>
      </c>
      <c r="F35" s="78">
        <f>1+1</f>
        <v>2</v>
      </c>
      <c r="G35" s="79">
        <f>IF(B35="MP-MT",VLOOKUP(CONCATENATE("TOTAL DO ÍTEM - ",C35),'COMPOSIÇÃO DE PREÇO UNITÁRIO'!A:H,8,FALSE),VLOOKUP(C35,'SINAPI_COMPOSIÇÕES 062020'!A:D,4,FALSE))</f>
        <v>8.4700000000000006</v>
      </c>
      <c r="H35" s="79">
        <f t="shared" si="4"/>
        <v>10.95</v>
      </c>
      <c r="I35" s="79">
        <f t="shared" si="7"/>
        <v>21.9</v>
      </c>
    </row>
    <row r="36" spans="1:9" ht="25.5" outlineLevel="2" x14ac:dyDescent="0.2">
      <c r="A36" s="45" t="s">
        <v>13268</v>
      </c>
      <c r="B36" s="45" t="s">
        <v>9</v>
      </c>
      <c r="C36" s="45">
        <v>97647</v>
      </c>
      <c r="D36" s="44" t="str">
        <f>IF(B36="MP-MT",VLOOKUP(C36,'COMPOSIÇÃO DE PREÇO UNITÁRIO'!A:B,2,FALSE),VLOOKUP(C36,'SINAPI_COMPOSIÇÕES 062020'!A:B,2,FALSE))</f>
        <v>REMOÇÃO DE TELHAS, DE FIBROCIMENTO, METÁLICA E CERÂMICA, DE FORMA MANUAL, SEM REAPROVEITAMENTO. AF_12/2017</v>
      </c>
      <c r="E36" s="45" t="str">
        <f>IF(B36="MP-MT",VLOOKUP(C36,'COMPOSIÇÃO DE PREÇO UNITÁRIO'!A:H,8,FALSE),VLOOKUP(C36,'SINAPI_COMPOSIÇÕES 062020'!A:C,3,FALSE))</f>
        <v>M2</v>
      </c>
      <c r="F36" s="78">
        <v>628.66999999999996</v>
      </c>
      <c r="G36" s="79">
        <f>IF(B36="MP-MT",VLOOKUP(CONCATENATE("TOTAL DO ÍTEM - ",C36),'COMPOSIÇÃO DE PREÇO UNITÁRIO'!A:H,8,FALSE),VLOOKUP(C36,'SINAPI_COMPOSIÇÕES 062020'!A:D,4,FALSE))</f>
        <v>2.31</v>
      </c>
      <c r="H36" s="79">
        <f t="shared" si="4"/>
        <v>2.98</v>
      </c>
      <c r="I36" s="79">
        <f t="shared" si="7"/>
        <v>1873.43</v>
      </c>
    </row>
    <row r="37" spans="1:9" ht="25.5" outlineLevel="2" x14ac:dyDescent="0.2">
      <c r="A37" s="45" t="s">
        <v>13269</v>
      </c>
      <c r="B37" s="45" t="s">
        <v>9</v>
      </c>
      <c r="C37" s="45">
        <v>97645</v>
      </c>
      <c r="D37" s="44" t="str">
        <f>IF(B37="MP-MT",VLOOKUP(C37,'COMPOSIÇÃO DE PREÇO UNITÁRIO'!A:B,2,FALSE),VLOOKUP(C37,'SINAPI_COMPOSIÇÕES 062020'!A:B,2,FALSE))</f>
        <v>REMOÇÃO DE JANELAS, DE FORMA MANUAL, SEM REAPROVEITAMENTO. AF_12/2017</v>
      </c>
      <c r="E37" s="45" t="str">
        <f>IF(B37="MP-MT",VLOOKUP(C37,'COMPOSIÇÃO DE PREÇO UNITÁRIO'!A:H,8,FALSE),VLOOKUP(C37,'SINAPI_COMPOSIÇÕES 062020'!A:C,3,FALSE))</f>
        <v>M2</v>
      </c>
      <c r="F37" s="78">
        <f>(0.6*0.6*1)+(0.6*1.8*1)+(0.6*1.8*4)+(1*0.6*6)+(1.5*0.6*2)+(1.5*0.6*2)+(1.7*0.6*2)+(1.7*1.8*2)+(2*0.6*1)+(2*1*9)+(2.8*1*1)</f>
        <v>43.12</v>
      </c>
      <c r="G37" s="79">
        <f>IF(B37="MP-MT",VLOOKUP(CONCATENATE("TOTAL DO ÍTEM - ",C37),'COMPOSIÇÃO DE PREÇO UNITÁRIO'!A:H,8,FALSE),VLOOKUP(C37,'SINAPI_COMPOSIÇÕES 062020'!A:D,4,FALSE))</f>
        <v>20.84</v>
      </c>
      <c r="H37" s="79">
        <f t="shared" si="4"/>
        <v>26.96</v>
      </c>
      <c r="I37" s="79">
        <f t="shared" si="7"/>
        <v>1162.51</v>
      </c>
    </row>
    <row r="38" spans="1:9" outlineLevel="2" x14ac:dyDescent="0.2">
      <c r="A38" s="45" t="s">
        <v>13270</v>
      </c>
      <c r="B38" s="45" t="s">
        <v>194</v>
      </c>
      <c r="C38" s="45" t="s">
        <v>11914</v>
      </c>
      <c r="D38" s="44" t="str">
        <f>IF(B38="MP-MT",VLOOKUP(C38,'COMPOSIÇÃO DE PREÇO UNITÁRIO'!A:B,2,FALSE),VLOOKUP(C38,'SINAPI_COMPOSIÇÕES 062020'!A:B,2,FALSE))</f>
        <v>REMOÇÃO DE JANELAS, DE FORMA MANUAL, COM REAPROVEITAMENTO</v>
      </c>
      <c r="E38" s="45" t="str">
        <f>IF(B38="MP-MT",VLOOKUP(C38,'COMPOSIÇÃO DE PREÇO UNITÁRIO'!A:H,8,FALSE),VLOOKUP(C38,'SINAPI_COMPOSIÇÕES 062020'!A:C,3,FALSE))</f>
        <v>M2</v>
      </c>
      <c r="F38" s="78">
        <f>1.5*1*2</f>
        <v>3</v>
      </c>
      <c r="G38" s="79">
        <f>IF(B38="MP-MT",VLOOKUP(CONCATENATE("TOTAL DO ÍTEM - ",C38),'COMPOSIÇÃO DE PREÇO UNITÁRIO'!A:H,8,FALSE),VLOOKUP(C38,'SINAPI_COMPOSIÇÕES 062020'!A:D,4,FALSE))</f>
        <v>21.68</v>
      </c>
      <c r="H38" s="79">
        <f t="shared" si="4"/>
        <v>28.05</v>
      </c>
      <c r="I38" s="79">
        <f t="shared" si="7"/>
        <v>84.15</v>
      </c>
    </row>
    <row r="39" spans="1:9" ht="25.5" outlineLevel="2" x14ac:dyDescent="0.2">
      <c r="A39" s="45" t="s">
        <v>13271</v>
      </c>
      <c r="B39" s="45" t="s">
        <v>9</v>
      </c>
      <c r="C39" s="45">
        <v>97665</v>
      </c>
      <c r="D39" s="44" t="str">
        <f>IF(B39="MP-MT",VLOOKUP(C39,'COMPOSIÇÃO DE PREÇO UNITÁRIO'!A:B,2,FALSE),VLOOKUP(C39,'SINAPI_COMPOSIÇÕES 062020'!A:B,2,FALSE))</f>
        <v>REMOÇÃO DE LUMINÁRIAS, DE FORMA MANUAL, SEM REAPROVEITAMENTO. AF_12/2017</v>
      </c>
      <c r="E39" s="45" t="str">
        <f>IF(B39="MP-MT",VLOOKUP(C39,'COMPOSIÇÃO DE PREÇO UNITÁRIO'!A:H,8,FALSE),VLOOKUP(C39,'SINAPI_COMPOSIÇÕES 062020'!A:C,3,FALSE))</f>
        <v>UN</v>
      </c>
      <c r="F39" s="78">
        <v>82</v>
      </c>
      <c r="G39" s="79">
        <f>IF(B39="MP-MT",VLOOKUP(CONCATENATE("TOTAL DO ÍTEM - ",C39),'COMPOSIÇÃO DE PREÇO UNITÁRIO'!A:H,8,FALSE),VLOOKUP(C39,'SINAPI_COMPOSIÇÕES 062020'!A:D,4,FALSE))</f>
        <v>0.84</v>
      </c>
      <c r="H39" s="79">
        <f t="shared" si="4"/>
        <v>1.08</v>
      </c>
      <c r="I39" s="79">
        <f t="shared" si="7"/>
        <v>88.56</v>
      </c>
    </row>
    <row r="40" spans="1:9" ht="25.5" outlineLevel="2" x14ac:dyDescent="0.2">
      <c r="A40" s="45" t="s">
        <v>13272</v>
      </c>
      <c r="B40" s="45" t="s">
        <v>9</v>
      </c>
      <c r="C40" s="45">
        <v>97644</v>
      </c>
      <c r="D40" s="44" t="str">
        <f>IF(B40="MP-MT",VLOOKUP(C40,'COMPOSIÇÃO DE PREÇO UNITÁRIO'!A:B,2,FALSE),VLOOKUP(C40,'SINAPI_COMPOSIÇÕES 062020'!A:B,2,FALSE))</f>
        <v>REMOÇÃO DE PORTAS, DE FORMA MANUAL, SEM REAPROVEITAMENTO. AF_12/2017</v>
      </c>
      <c r="E40" s="45" t="str">
        <f>IF(B40="MP-MT",VLOOKUP(C40,'COMPOSIÇÃO DE PREÇO UNITÁRIO'!A:H,8,FALSE),VLOOKUP(C40,'SINAPI_COMPOSIÇÕES 062020'!A:C,3,FALSE))</f>
        <v>M2</v>
      </c>
      <c r="F40" s="78">
        <f>(0.9*2.1*1)+(0.6*2.1*2)+(2*2.1*1)+(2*2.1*1)+(2*2.1*1)+(0.8*2.1*2)</f>
        <v>20.369999999999997</v>
      </c>
      <c r="G40" s="79">
        <f>IF(B40="MP-MT",VLOOKUP(CONCATENATE("TOTAL DO ÍTEM - ",C40),'COMPOSIÇÃO DE PREÇO UNITÁRIO'!A:H,8,FALSE),VLOOKUP(C40,'SINAPI_COMPOSIÇÕES 062020'!A:D,4,FALSE))</f>
        <v>6.04</v>
      </c>
      <c r="H40" s="79">
        <f t="shared" si="4"/>
        <v>7.81</v>
      </c>
      <c r="I40" s="79">
        <f t="shared" si="7"/>
        <v>159.08000000000001</v>
      </c>
    </row>
    <row r="41" spans="1:9" outlineLevel="2" x14ac:dyDescent="0.2">
      <c r="A41" s="45" t="s">
        <v>13273</v>
      </c>
      <c r="B41" s="45" t="s">
        <v>194</v>
      </c>
      <c r="C41" s="45" t="s">
        <v>11918</v>
      </c>
      <c r="D41" s="44" t="str">
        <f>IF(B41="MP-MT",VLOOKUP(C41,'COMPOSIÇÃO DE PREÇO UNITÁRIO'!A:B,2,FALSE),VLOOKUP(C41,'SINAPI_COMPOSIÇÕES 062020'!A:B,2,FALSE))</f>
        <v>REMOÇÃO DE JANELAS, DE FORMA MANUAL, COM REAPROVEITAMENTO</v>
      </c>
      <c r="E41" s="45" t="str">
        <f>IF(B41="MP-MT",VLOOKUP(C41,'COMPOSIÇÃO DE PREÇO UNITÁRIO'!A:H,8,FALSE),VLOOKUP(C41,'SINAPI_COMPOSIÇÕES 062020'!A:C,3,FALSE))</f>
        <v>M2</v>
      </c>
      <c r="F41" s="78">
        <f>(0.6*1.8*12)+(0.6*2.1*5)+(0.8*2.1*16)+(0.8*2.1*2)+(1.2*2.1*1)+(1.6*2.1*1)+(0.9*2.1*1)</f>
        <v>57.27</v>
      </c>
      <c r="G41" s="79">
        <f>IF(B41="MP-MT",VLOOKUP(CONCATENATE("TOTAL DO ÍTEM - ",C41),'COMPOSIÇÃO DE PREÇO UNITÁRIO'!A:H,8,FALSE),VLOOKUP(C41,'SINAPI_COMPOSIÇÕES 062020'!A:D,4,FALSE))</f>
        <v>6.34</v>
      </c>
      <c r="H41" s="79">
        <f t="shared" si="4"/>
        <v>8.1999999999999993</v>
      </c>
      <c r="I41" s="79">
        <f t="shared" si="7"/>
        <v>469.61</v>
      </c>
    </row>
    <row r="42" spans="1:9" outlineLevel="2" x14ac:dyDescent="0.2">
      <c r="A42" s="45" t="s">
        <v>13274</v>
      </c>
      <c r="B42" s="45" t="s">
        <v>194</v>
      </c>
      <c r="C42" s="45" t="s">
        <v>11921</v>
      </c>
      <c r="D42" s="44" t="str">
        <f>IF(B42="MP-MT",VLOOKUP(C42,'COMPOSIÇÃO DE PREÇO UNITÁRIO'!A:B,2,FALSE),VLOOKUP(C42,'SINAPI_COMPOSIÇÕES 062020'!A:B,2,FALSE))</f>
        <v>RETIRADA DE PORTÃO METÁLICO</v>
      </c>
      <c r="E42" s="45" t="str">
        <f>IF(B42="MP-MT",VLOOKUP(C42,'COMPOSIÇÃO DE PREÇO UNITÁRIO'!A:H,8,FALSE),VLOOKUP(C42,'SINAPI_COMPOSIÇÕES 062020'!A:C,3,FALSE))</f>
        <v>M2</v>
      </c>
      <c r="F42" s="78">
        <f>4*2.45</f>
        <v>9.8000000000000007</v>
      </c>
      <c r="G42" s="79">
        <f>IF(B42="MP-MT",VLOOKUP(CONCATENATE("TOTAL DO ÍTEM - ",C42),'COMPOSIÇÃO DE PREÇO UNITÁRIO'!A:H,8,FALSE),VLOOKUP(C42,'SINAPI_COMPOSIÇÕES 062020'!A:D,4,FALSE))</f>
        <v>16.059999999999999</v>
      </c>
      <c r="H42" s="79">
        <f t="shared" si="4"/>
        <v>20.77</v>
      </c>
      <c r="I42" s="79">
        <f t="shared" si="7"/>
        <v>203.54</v>
      </c>
    </row>
    <row r="43" spans="1:9" ht="25.5" outlineLevel="2" x14ac:dyDescent="0.2">
      <c r="A43" s="45" t="s">
        <v>13275</v>
      </c>
      <c r="B43" s="45" t="s">
        <v>194</v>
      </c>
      <c r="C43" s="45" t="s">
        <v>11925</v>
      </c>
      <c r="D43" s="44" t="str">
        <f>IF(B43="MP-MT",VLOOKUP(C43,'COMPOSIÇÃO DE PREÇO UNITÁRIO'!A:B,2,FALSE),VLOOKUP(C43,'SINAPI_COMPOSIÇÕES 062020'!A:B,2,FALSE))</f>
        <v>RETIRADA E REMOCAO DE EQUIPAMENTOS DE AR CONDICIONADO, EVAPORADORA OU CONDENSADORA</v>
      </c>
      <c r="E43" s="45" t="str">
        <f>IF(B43="MP-MT",VLOOKUP(C43,'COMPOSIÇÃO DE PREÇO UNITÁRIO'!A:H,8,FALSE),VLOOKUP(C43,'SINAPI_COMPOSIÇÕES 062020'!A:C,3,FALSE))</f>
        <v>UND</v>
      </c>
      <c r="F43" s="78">
        <v>23</v>
      </c>
      <c r="G43" s="79">
        <f>IF(B43="MP-MT",VLOOKUP(CONCATENATE("TOTAL DO ÍTEM - ",C43),'COMPOSIÇÃO DE PREÇO UNITÁRIO'!A:H,8,FALSE),VLOOKUP(C43,'SINAPI_COMPOSIÇÕES 062020'!A:D,4,FALSE))</f>
        <v>49.12</v>
      </c>
      <c r="H43" s="79">
        <f t="shared" si="4"/>
        <v>63.55</v>
      </c>
      <c r="I43" s="79">
        <f t="shared" si="7"/>
        <v>1461.65</v>
      </c>
    </row>
    <row r="44" spans="1:9" ht="25.5" outlineLevel="2" x14ac:dyDescent="0.2">
      <c r="A44" s="45" t="s">
        <v>13276</v>
      </c>
      <c r="B44" s="45" t="s">
        <v>194</v>
      </c>
      <c r="C44" s="45" t="s">
        <v>11929</v>
      </c>
      <c r="D44" s="44" t="str">
        <f>IF(B44="MP-MT",VLOOKUP(C44,'COMPOSIÇÃO DE PREÇO UNITÁRIO'!A:B,2,FALSE),VLOOKUP(C44,'SINAPI_COMPOSIÇÕES 062020'!A:B,2,FALSE))</f>
        <v>REMOÇÃO DE ESTRUTURA METALICA PARA REVESTIMENTO EM ACM, INCLUSIVE PLACAS DE ACM</v>
      </c>
      <c r="E44" s="45" t="str">
        <f>IF(B44="MP-MT",VLOOKUP(C44,'COMPOSIÇÃO DE PREÇO UNITÁRIO'!A:H,8,FALSE),VLOOKUP(C44,'SINAPI_COMPOSIÇÕES 062020'!A:C,3,FALSE))</f>
        <v>M2</v>
      </c>
      <c r="F44" s="78">
        <v>12.08</v>
      </c>
      <c r="G44" s="79">
        <f>IF(B44="MP-MT",VLOOKUP(CONCATENATE("TOTAL DO ÍTEM - ",C44),'COMPOSIÇÃO DE PREÇO UNITÁRIO'!A:H,8,FALSE),VLOOKUP(C44,'SINAPI_COMPOSIÇÕES 062020'!A:D,4,FALSE))</f>
        <v>26.94</v>
      </c>
      <c r="H44" s="79">
        <f t="shared" si="4"/>
        <v>34.85</v>
      </c>
      <c r="I44" s="79">
        <f t="shared" si="7"/>
        <v>420.98</v>
      </c>
    </row>
    <row r="45" spans="1:9" ht="25.5" outlineLevel="2" x14ac:dyDescent="0.2">
      <c r="A45" s="45" t="s">
        <v>13277</v>
      </c>
      <c r="B45" s="45" t="s">
        <v>9</v>
      </c>
      <c r="C45" s="45">
        <v>97650</v>
      </c>
      <c r="D45" s="44" t="str">
        <f>IF(B45="MP-MT",VLOOKUP(C45,'COMPOSIÇÃO DE PREÇO UNITÁRIO'!A:B,2,FALSE),VLOOKUP(C45,'SINAPI_COMPOSIÇÕES 062020'!A:B,2,FALSE))</f>
        <v>REMOÇÃO DE TRAMA DE MADEIRA PARA COBERTURA, DE FORMA MANUAL, SEM REAPROVEITAMENTO. AF_12/2017</v>
      </c>
      <c r="E45" s="45" t="str">
        <f>IF(B45="MP-MT",VLOOKUP(C45,'COMPOSIÇÃO DE PREÇO UNITÁRIO'!A:H,8,FALSE),VLOOKUP(C45,'SINAPI_COMPOSIÇÕES 062020'!A:C,3,FALSE))</f>
        <v>M2</v>
      </c>
      <c r="F45" s="78">
        <v>521.17999999999995</v>
      </c>
      <c r="G45" s="79">
        <f>IF(B45="MP-MT",VLOOKUP(CONCATENATE("TOTAL DO ÍTEM - ",C45),'COMPOSIÇÃO DE PREÇO UNITÁRIO'!A:H,8,FALSE),VLOOKUP(C45,'SINAPI_COMPOSIÇÕES 062020'!A:D,4,FALSE))</f>
        <v>4.9800000000000004</v>
      </c>
      <c r="H45" s="79">
        <f t="shared" si="4"/>
        <v>6.44</v>
      </c>
      <c r="I45" s="79">
        <f t="shared" si="7"/>
        <v>3356.39</v>
      </c>
    </row>
    <row r="46" spans="1:9" ht="25.5" outlineLevel="2" x14ac:dyDescent="0.2">
      <c r="A46" s="45" t="s">
        <v>13278</v>
      </c>
      <c r="B46" s="45" t="s">
        <v>9</v>
      </c>
      <c r="C46" s="45">
        <v>97651</v>
      </c>
      <c r="D46" s="44" t="str">
        <f>IF(B46="MP-MT",VLOOKUP(C46,'COMPOSIÇÃO DE PREÇO UNITÁRIO'!A:B,2,FALSE),VLOOKUP(C46,'SINAPI_COMPOSIÇÕES 062020'!A:B,2,FALSE))</f>
        <v>REMOÇÃO DE TESOURAS DE MADEIRA, COM VÃO MENOR QUE 8M, DE FORMA MANUAL, SEM REAPROVEITAMENTO. AF_12/2017</v>
      </c>
      <c r="E46" s="45" t="str">
        <f>IF(B46="MP-MT",VLOOKUP(C46,'COMPOSIÇÃO DE PREÇO UNITÁRIO'!A:H,8,FALSE),VLOOKUP(C46,'SINAPI_COMPOSIÇÕES 062020'!A:C,3,FALSE))</f>
        <v>UN</v>
      </c>
      <c r="F46" s="78">
        <f>6+2+1+1+2</f>
        <v>12</v>
      </c>
      <c r="G46" s="79">
        <f>IF(B46="MP-MT",VLOOKUP(CONCATENATE("TOTAL DO ÍTEM - ",C46),'COMPOSIÇÃO DE PREÇO UNITÁRIO'!A:H,8,FALSE),VLOOKUP(C46,'SINAPI_COMPOSIÇÕES 062020'!A:D,4,FALSE))</f>
        <v>55.23</v>
      </c>
      <c r="H46" s="79">
        <f t="shared" si="4"/>
        <v>71.45</v>
      </c>
      <c r="I46" s="79">
        <f t="shared" si="7"/>
        <v>857.4</v>
      </c>
    </row>
    <row r="47" spans="1:9" ht="25.5" outlineLevel="2" x14ac:dyDescent="0.2">
      <c r="A47" s="45" t="s">
        <v>13279</v>
      </c>
      <c r="B47" s="45" t="s">
        <v>9</v>
      </c>
      <c r="C47" s="45">
        <v>97652</v>
      </c>
      <c r="D47" s="44" t="str">
        <f>IF(B47="MP-MT",VLOOKUP(C47,'COMPOSIÇÃO DE PREÇO UNITÁRIO'!A:B,2,FALSE),VLOOKUP(C47,'SINAPI_COMPOSIÇÕES 062020'!A:B,2,FALSE))</f>
        <v>REMOÇÃO DE TESOURAS DE MADEIRA, COM VÃO MAIOR OU IGUAL A 8M, DE FORMA MANUAL, SEM REAPROVEITAMENTO. AF_12/2017</v>
      </c>
      <c r="E47" s="45" t="str">
        <f>IF(B47="MP-MT",VLOOKUP(C47,'COMPOSIÇÃO DE PREÇO UNITÁRIO'!A:H,8,FALSE),VLOOKUP(C47,'SINAPI_COMPOSIÇÕES 062020'!A:C,3,FALSE))</f>
        <v>UN</v>
      </c>
      <c r="F47" s="78">
        <v>11</v>
      </c>
      <c r="G47" s="79">
        <f>IF(B47="MP-MT",VLOOKUP(CONCATENATE("TOTAL DO ÍTEM - ",C47),'COMPOSIÇÃO DE PREÇO UNITÁRIO'!A:H,8,FALSE),VLOOKUP(C47,'SINAPI_COMPOSIÇÕES 062020'!A:D,4,FALSE))</f>
        <v>125.22</v>
      </c>
      <c r="H47" s="79">
        <f t="shared" si="4"/>
        <v>162.01</v>
      </c>
      <c r="I47" s="79">
        <f t="shared" si="7"/>
        <v>1782.11</v>
      </c>
    </row>
    <row r="48" spans="1:9" ht="25.5" outlineLevel="2" x14ac:dyDescent="0.2">
      <c r="A48" s="45" t="s">
        <v>13280</v>
      </c>
      <c r="B48" s="45" t="s">
        <v>9</v>
      </c>
      <c r="C48" s="45">
        <v>97662</v>
      </c>
      <c r="D48" s="44" t="str">
        <f>IF(B48="MP-MT",VLOOKUP(C48,'COMPOSIÇÃO DE PREÇO UNITÁRIO'!A:B,2,FALSE),VLOOKUP(C48,'SINAPI_COMPOSIÇÕES 062020'!A:B,2,FALSE))</f>
        <v>REMOÇÃO DE TUBULAÇÕES (TUBOS E CONEXÕES) DE ÁGUA FRIA, DE FORMA MANUAL, SEM REAPROVEITAMENTO. AF_12/2017</v>
      </c>
      <c r="E48" s="45" t="str">
        <f>IF(B48="MP-MT",VLOOKUP(C48,'COMPOSIÇÃO DE PREÇO UNITÁRIO'!A:H,8,FALSE),VLOOKUP(C48,'SINAPI_COMPOSIÇÕES 062020'!A:C,3,FALSE))</f>
        <v>M</v>
      </c>
      <c r="F48" s="78">
        <v>26.4</v>
      </c>
      <c r="G48" s="79">
        <f>IF(B48="MP-MT",VLOOKUP(CONCATENATE("TOTAL DO ÍTEM - ",C48),'COMPOSIÇÃO DE PREÇO UNITÁRIO'!A:H,8,FALSE),VLOOKUP(C48,'SINAPI_COMPOSIÇÕES 062020'!A:D,4,FALSE))</f>
        <v>0.32</v>
      </c>
      <c r="H48" s="79">
        <f t="shared" si="4"/>
        <v>0.41</v>
      </c>
      <c r="I48" s="79">
        <f t="shared" si="7"/>
        <v>10.82</v>
      </c>
    </row>
    <row r="49" spans="1:9" ht="25.5" outlineLevel="2" x14ac:dyDescent="0.2">
      <c r="A49" s="45" t="s">
        <v>13281</v>
      </c>
      <c r="B49" s="45" t="s">
        <v>194</v>
      </c>
      <c r="C49" s="45" t="s">
        <v>12622</v>
      </c>
      <c r="D49" s="44" t="str">
        <f>IF(B49="MP-MT",VLOOKUP(C49,'COMPOSIÇÃO DE PREÇO UNITÁRIO'!A:B,2,FALSE),VLOOKUP(C49,'SINAPI_COMPOSIÇÕES 062020'!A:B,2,FALSE))</f>
        <v>REMOÇÃO MANUAL DE CERCA ELÉTRICA, SEM REAPROVEITAMENTO, INCLUSIVE ACESSÓRIOS</v>
      </c>
      <c r="E49" s="45" t="str">
        <f>IF(B49="MP-MT",VLOOKUP(C49,'COMPOSIÇÃO DE PREÇO UNITÁRIO'!A:H,8,FALSE),VLOOKUP(C49,'SINAPI_COMPOSIÇÕES 062020'!A:C,3,FALSE))</f>
        <v>M</v>
      </c>
      <c r="F49" s="78">
        <v>56.5</v>
      </c>
      <c r="G49" s="79">
        <f>IF(B49="MP-MT",VLOOKUP(CONCATENATE("TOTAL DO ÍTEM - ",C49),'COMPOSIÇÃO DE PREÇO UNITÁRIO'!A:H,8,FALSE),VLOOKUP(C49,'SINAPI_COMPOSIÇÕES 062020'!A:D,4,FALSE))</f>
        <v>5.73</v>
      </c>
      <c r="H49" s="79">
        <f t="shared" si="4"/>
        <v>7.41</v>
      </c>
      <c r="I49" s="79">
        <f t="shared" si="7"/>
        <v>418.66</v>
      </c>
    </row>
    <row r="50" spans="1:9" outlineLevel="2" x14ac:dyDescent="0.2">
      <c r="A50" s="45" t="s">
        <v>13282</v>
      </c>
      <c r="B50" s="45" t="s">
        <v>194</v>
      </c>
      <c r="C50" s="45" t="s">
        <v>12624</v>
      </c>
      <c r="D50" s="44" t="str">
        <f>IF(B50="MP-MT",VLOOKUP(C50,'COMPOSIÇÃO DE PREÇO UNITÁRIO'!A:B,2,FALSE),VLOOKUP(C50,'SINAPI_COMPOSIÇÕES 062020'!A:B,2,FALSE))</f>
        <v>EXECUÇÃO DE PLANO DE CORTE EM GRANITO</v>
      </c>
      <c r="E50" s="45" t="str">
        <f>IF(B50="MP-MT",VLOOKUP(C50,'COMPOSIÇÃO DE PREÇO UNITÁRIO'!A:H,8,FALSE),VLOOKUP(C50,'SINAPI_COMPOSIÇÕES 062020'!A:C,3,FALSE))</f>
        <v>M2</v>
      </c>
      <c r="F50" s="78">
        <f>3.23+3.9</f>
        <v>7.13</v>
      </c>
      <c r="G50" s="79">
        <f>IF(B50="MP-MT",VLOOKUP(CONCATENATE("TOTAL DO ÍTEM - ",C50),'COMPOSIÇÃO DE PREÇO UNITÁRIO'!A:H,8,FALSE),VLOOKUP(C50,'SINAPI_COMPOSIÇÕES 062020'!A:D,4,FALSE))</f>
        <v>19.399999999999999</v>
      </c>
      <c r="H50" s="79">
        <f t="shared" si="4"/>
        <v>25.1</v>
      </c>
      <c r="I50" s="79">
        <f t="shared" si="7"/>
        <v>178.96</v>
      </c>
    </row>
    <row r="51" spans="1:9" ht="25.5" outlineLevel="2" x14ac:dyDescent="0.2">
      <c r="A51" s="45" t="s">
        <v>13283</v>
      </c>
      <c r="B51" s="45" t="s">
        <v>194</v>
      </c>
      <c r="C51" s="45" t="s">
        <v>12948</v>
      </c>
      <c r="D51" s="44" t="str">
        <f>IF(B51="MP-MT",VLOOKUP(C51,'COMPOSIÇÃO DE PREÇO UNITÁRIO'!A:B,2,FALSE),VLOOKUP(C51,'SINAPI_COMPOSIÇÕES 062020'!A:B,2,FALSE))</f>
        <v>RETIRADA DE LIXEIRA METALICA, CHUMBADA EM PASSEIO OU BASE DE CONCRETO</v>
      </c>
      <c r="E51" s="45" t="str">
        <f>IF(B51="MP-MT",VLOOKUP(C51,'COMPOSIÇÃO DE PREÇO UNITÁRIO'!A:H,8,FALSE),VLOOKUP(C51,'SINAPI_COMPOSIÇÕES 062020'!A:C,3,FALSE))</f>
        <v>UND</v>
      </c>
      <c r="F51" s="78">
        <v>1</v>
      </c>
      <c r="G51" s="79">
        <f>IF(B51="MP-MT",VLOOKUP(CONCATENATE("TOTAL DO ÍTEM - ",C51),'COMPOSIÇÃO DE PREÇO UNITÁRIO'!A:H,8,FALSE),VLOOKUP(C51,'SINAPI_COMPOSIÇÕES 062020'!A:D,4,FALSE))</f>
        <v>11.49</v>
      </c>
      <c r="H51" s="79">
        <f t="shared" si="4"/>
        <v>14.86</v>
      </c>
      <c r="I51" s="79">
        <f t="shared" si="7"/>
        <v>14.86</v>
      </c>
    </row>
    <row r="52" spans="1:9" ht="25.5" outlineLevel="2" x14ac:dyDescent="0.2">
      <c r="A52" s="45" t="s">
        <v>13284</v>
      </c>
      <c r="B52" s="45" t="s">
        <v>194</v>
      </c>
      <c r="C52" s="45" t="s">
        <v>13020</v>
      </c>
      <c r="D52" s="44" t="str">
        <f>IF(B52="MP-MT",VLOOKUP(C52,'COMPOSIÇÃO DE PREÇO UNITÁRIO'!A:B,2,FALSE),VLOOKUP(C52,'SINAPI_COMPOSIÇÕES 062020'!A:B,2,FALSE))</f>
        <v>DESMONTAGEM E REMOÇÃO DE MOTOR PARA PORTÃO ELETRÔNICO, INCLUSIVE CREMALHEIRAS E SENSORES</v>
      </c>
      <c r="E52" s="45" t="str">
        <f>IF(B52="MP-MT",VLOOKUP(C52,'COMPOSIÇÃO DE PREÇO UNITÁRIO'!A:H,8,FALSE),VLOOKUP(C52,'SINAPI_COMPOSIÇÕES 062020'!A:C,3,FALSE))</f>
        <v>UND</v>
      </c>
      <c r="F52" s="78">
        <v>1</v>
      </c>
      <c r="G52" s="79">
        <f>IF(B52="MP-MT",VLOOKUP(CONCATENATE("TOTAL DO ÍTEM - ",C52),'COMPOSIÇÃO DE PREÇO UNITÁRIO'!A:H,8,FALSE),VLOOKUP(C52,'SINAPI_COMPOSIÇÕES 062020'!A:D,4,FALSE))</f>
        <v>65.42</v>
      </c>
      <c r="H52" s="79">
        <f t="shared" si="4"/>
        <v>84.64</v>
      </c>
      <c r="I52" s="79">
        <f t="shared" si="7"/>
        <v>84.64</v>
      </c>
    </row>
    <row r="53" spans="1:9" outlineLevel="1" x14ac:dyDescent="0.2">
      <c r="A53" s="76"/>
      <c r="B53" s="76"/>
      <c r="C53" s="76"/>
      <c r="D53" s="91" t="str">
        <f>CONCATENATE("TOTAL DO ITEM - ",A21)</f>
        <v>TOTAL DO ITEM - 3.0</v>
      </c>
      <c r="E53" s="76"/>
      <c r="F53" s="92"/>
      <c r="G53" s="93"/>
      <c r="H53" s="93"/>
      <c r="I53" s="93">
        <f>SUM(I22:I52)</f>
        <v>37289.48000000001</v>
      </c>
    </row>
    <row r="54" spans="1:9" outlineLevel="1" x14ac:dyDescent="0.2">
      <c r="A54" s="182" t="s">
        <v>10536</v>
      </c>
      <c r="B54" s="182"/>
      <c r="C54" s="182"/>
      <c r="D54" s="88" t="s">
        <v>11933</v>
      </c>
      <c r="E54" s="182"/>
      <c r="F54" s="89"/>
      <c r="G54" s="90"/>
      <c r="H54" s="90"/>
      <c r="I54" s="90"/>
    </row>
    <row r="55" spans="1:9" ht="25.5" outlineLevel="2" x14ac:dyDescent="0.2">
      <c r="A55" s="45" t="s">
        <v>13255</v>
      </c>
      <c r="B55" s="45" t="s">
        <v>9</v>
      </c>
      <c r="C55" s="45">
        <v>96523</v>
      </c>
      <c r="D55" s="44" t="str">
        <f>IF(B55="MP-MT",VLOOKUP(C55,'COMPOSIÇÃO DE PREÇO UNITÁRIO'!A:B,2,FALSE),VLOOKUP(C55,'SINAPI_COMPOSIÇÕES 062020'!A:B,2,FALSE))</f>
        <v>ESCAVAÇÃO MANUAL PARA BLOCO DE COROAMENTO OU SAPATA, COM PREVISÃO DE FÔRMA. AF_06/2017</v>
      </c>
      <c r="E55" s="45" t="str">
        <f>IF(B55="MP-MT",VLOOKUP(C55,'COMPOSIÇÃO DE PREÇO UNITÁRIO'!A:H,8,FALSE),VLOOKUP(C55,'SINAPI_COMPOSIÇÕES 062020'!A:C,3,FALSE))</f>
        <v>M3</v>
      </c>
      <c r="F55" s="78">
        <f>9.69*1.2</f>
        <v>11.627999999999998</v>
      </c>
      <c r="G55" s="79">
        <f>IF(B55="MP-MT",VLOOKUP(CONCATENATE("TOTAL DO ÍTEM - ",C55),'COMPOSIÇÃO DE PREÇO UNITÁRIO'!A:H,8,FALSE),VLOOKUP(C55,'SINAPI_COMPOSIÇÕES 062020'!A:D,4,FALSE))</f>
        <v>64.98</v>
      </c>
      <c r="H55" s="79">
        <f t="shared" ref="H55:H68" si="9">TRUNC(G55*(1+$F$1),2)</f>
        <v>84.07</v>
      </c>
      <c r="I55" s="79">
        <f t="shared" ref="I55" si="10">TRUNC(H55*F55,2)</f>
        <v>977.56</v>
      </c>
    </row>
    <row r="56" spans="1:9" ht="25.5" outlineLevel="2" x14ac:dyDescent="0.2">
      <c r="A56" s="45" t="s">
        <v>13286</v>
      </c>
      <c r="B56" s="45" t="s">
        <v>9</v>
      </c>
      <c r="C56" s="45">
        <v>96527</v>
      </c>
      <c r="D56" s="44" t="str">
        <f>IF(B56="MP-MT",VLOOKUP(C56,'COMPOSIÇÃO DE PREÇO UNITÁRIO'!A:B,2,FALSE),VLOOKUP(C56,'SINAPI_COMPOSIÇÕES 062020'!A:B,2,FALSE))</f>
        <v>ESCAVAÇÃO MANUAL DE VALA PARA VIGA BALDRAME, COM PREVISÃO DE FÔRMA. AF_06/2017</v>
      </c>
      <c r="E56" s="45" t="str">
        <f>IF(B56="MP-MT",VLOOKUP(C56,'COMPOSIÇÃO DE PREÇO UNITÁRIO'!A:H,8,FALSE),VLOOKUP(C56,'SINAPI_COMPOSIÇÕES 062020'!A:C,3,FALSE))</f>
        <v>M3</v>
      </c>
      <c r="F56" s="78">
        <f>8.37*1.2</f>
        <v>10.043999999999999</v>
      </c>
      <c r="G56" s="79">
        <f>IF(B56="MP-MT",VLOOKUP(CONCATENATE("TOTAL DO ÍTEM - ",C56),'COMPOSIÇÃO DE PREÇO UNITÁRIO'!A:H,8,FALSE),VLOOKUP(C56,'SINAPI_COMPOSIÇÕES 062020'!A:D,4,FALSE))</f>
        <v>85.37</v>
      </c>
      <c r="H56" s="79">
        <f t="shared" si="9"/>
        <v>110.45</v>
      </c>
      <c r="I56" s="79">
        <f t="shared" ref="I56:I68" si="11">TRUNC(H56*F56,2)</f>
        <v>1109.3499999999999</v>
      </c>
    </row>
    <row r="57" spans="1:9" ht="25.5" outlineLevel="2" x14ac:dyDescent="0.2">
      <c r="A57" s="45" t="s">
        <v>13287</v>
      </c>
      <c r="B57" s="45" t="s">
        <v>9</v>
      </c>
      <c r="C57" s="45">
        <v>96619</v>
      </c>
      <c r="D57" s="44" t="str">
        <f>IF(B57="MP-MT",VLOOKUP(C57,'COMPOSIÇÃO DE PREÇO UNITÁRIO'!A:B,2,FALSE),VLOOKUP(C57,'SINAPI_COMPOSIÇÕES 062020'!A:B,2,FALSE))</f>
        <v>LASTRO DE CONCRETO MAGRO, APLICADO EM BLOCOS DE COROAMENTO OU SAPATAS, ESPESSURA DE 5 CM. AF_08/2017</v>
      </c>
      <c r="E57" s="45" t="str">
        <f>IF(B57="MP-MT",VLOOKUP(C57,'COMPOSIÇÃO DE PREÇO UNITÁRIO'!A:H,8,FALSE),VLOOKUP(C57,'SINAPI_COMPOSIÇÕES 062020'!A:C,3,FALSE))</f>
        <v>M2</v>
      </c>
      <c r="F57" s="78">
        <f>((1.2204+1.2276+1.5504+0.78+0.6119+1.5504+1.2276+1.2204+1.5504+1.5504+0.804+0.402+0.7632+1.2276+0.804+1.1946+2.6452+1.956+1.9488+0.9864+0.948+0.9312+0.972+0.948+0.9696+2.256+2.256+0.9696+1.128+1.128+0.9696+2.352+2.352+0.9696+0.9696+0.9696+0.8784+0.8784+1.1472+1.1472+0.7104+0.6048+1.9968+0.6048+0.7104+1.9881+0.6336+0.6624+0.7632+0.744+0.5436+1.0327+0.9081+0.1932+1.4232+0.6912+2.3424+1.4544+1.368+0.816+0.9024+0.7128+0.7488+0.7704+0.444+0.9384+1.3896+1.3896+0.9312+0.924+1.056+1.056+0.9264+1.9056+1.128+1.9056+1.848+1.7664+1.396+1.0944+0.4296+1.152+1.404+1.9488+1.0032+1.0032+1.0056+0.7704+1.2288+1.2288)/4)+(0.85*1*5)+(0.7*0.9*3)+(0.65*0.8*23)+(0.8*0.65*2)+(0.85*1*10)</f>
        <v>53.88015</v>
      </c>
      <c r="G57" s="79">
        <f>IF(B57="MP-MT",VLOOKUP(CONCATENATE("TOTAL DO ÍTEM - ",C57),'COMPOSIÇÃO DE PREÇO UNITÁRIO'!A:H,8,FALSE),VLOOKUP(C57,'SINAPI_COMPOSIÇÕES 062020'!A:D,4,FALSE))</f>
        <v>21.07</v>
      </c>
      <c r="H57" s="79">
        <f t="shared" si="9"/>
        <v>27.26</v>
      </c>
      <c r="I57" s="79">
        <f t="shared" si="11"/>
        <v>1468.77</v>
      </c>
    </row>
    <row r="58" spans="1:9" ht="25.5" outlineLevel="2" x14ac:dyDescent="0.2">
      <c r="A58" s="45" t="s">
        <v>13288</v>
      </c>
      <c r="B58" s="45" t="s">
        <v>9</v>
      </c>
      <c r="C58" s="45">
        <v>96535</v>
      </c>
      <c r="D58" s="44" t="str">
        <f>IF(B58="MP-MT",VLOOKUP(C58,'COMPOSIÇÃO DE PREÇO UNITÁRIO'!A:B,2,FALSE),VLOOKUP(C58,'SINAPI_COMPOSIÇÕES 062020'!A:B,2,FALSE))</f>
        <v>FABRICAÇÃO, MONTAGEM E DESMONTAGEM DE FÔRMA PARA SAPATA, EM MADEIRA SERRADA, E=25 MM, 4 UTILIZAÇÕES. AF_06/2017</v>
      </c>
      <c r="E58" s="45" t="str">
        <f>IF(B58="MP-MT",VLOOKUP(C58,'COMPOSIÇÃO DE PREÇO UNITÁRIO'!A:H,8,FALSE),VLOOKUP(C58,'SINAPI_COMPOSIÇÕES 062020'!A:C,3,FALSE))</f>
        <v>M2</v>
      </c>
      <c r="F58" s="78">
        <f>34.34+54.18</f>
        <v>88.52000000000001</v>
      </c>
      <c r="G58" s="79">
        <f>IF(B58="MP-MT",VLOOKUP(CONCATENATE("TOTAL DO ÍTEM - ",C58),'COMPOSIÇÃO DE PREÇO UNITÁRIO'!A:H,8,FALSE),VLOOKUP(C58,'SINAPI_COMPOSIÇÕES 062020'!A:D,4,FALSE))</f>
        <v>88.14</v>
      </c>
      <c r="H58" s="79">
        <f t="shared" si="9"/>
        <v>114.04</v>
      </c>
      <c r="I58" s="79">
        <f t="shared" si="11"/>
        <v>10094.82</v>
      </c>
    </row>
    <row r="59" spans="1:9" ht="25.5" outlineLevel="2" x14ac:dyDescent="0.2">
      <c r="A59" s="45" t="s">
        <v>13289</v>
      </c>
      <c r="B59" s="45" t="s">
        <v>9</v>
      </c>
      <c r="C59" s="45">
        <v>96536</v>
      </c>
      <c r="D59" s="44" t="str">
        <f>IF(B59="MP-MT",VLOOKUP(C59,'COMPOSIÇÃO DE PREÇO UNITÁRIO'!A:B,2,FALSE),VLOOKUP(C59,'SINAPI_COMPOSIÇÕES 062020'!A:B,2,FALSE))</f>
        <v>FABRICAÇÃO, MONTAGEM E DESMONTAGEM DE FÔRMA PARA VIGA BALDRAME, EM MADEIRA SERRADA, E=25 MM, 4 UTILIZAÇÕES. AF_06/2017</v>
      </c>
      <c r="E59" s="45" t="str">
        <f>IF(B59="MP-MT",VLOOKUP(C59,'COMPOSIÇÃO DE PREÇO UNITÁRIO'!A:H,8,FALSE),VLOOKUP(C59,'SINAPI_COMPOSIÇÕES 062020'!A:C,3,FALSE))</f>
        <v>M2</v>
      </c>
      <c r="F59" s="78">
        <f>138.25+29.11</f>
        <v>167.36</v>
      </c>
      <c r="G59" s="79">
        <f>IF(B59="MP-MT",VLOOKUP(CONCATENATE("TOTAL DO ÍTEM - ",C59),'COMPOSIÇÃO DE PREÇO UNITÁRIO'!A:H,8,FALSE),VLOOKUP(C59,'SINAPI_COMPOSIÇÕES 062020'!A:D,4,FALSE))</f>
        <v>41.8</v>
      </c>
      <c r="H59" s="79">
        <f t="shared" si="9"/>
        <v>54.08</v>
      </c>
      <c r="I59" s="79">
        <f t="shared" si="11"/>
        <v>9050.82</v>
      </c>
    </row>
    <row r="60" spans="1:9" ht="25.5" outlineLevel="2" x14ac:dyDescent="0.2">
      <c r="A60" s="45" t="s">
        <v>13290</v>
      </c>
      <c r="B60" s="45" t="s">
        <v>9</v>
      </c>
      <c r="C60" s="45">
        <v>96543</v>
      </c>
      <c r="D60" s="44" t="str">
        <f>IF(B60="MP-MT",VLOOKUP(C60,'COMPOSIÇÃO DE PREÇO UNITÁRIO'!A:B,2,FALSE),VLOOKUP(C60,'SINAPI_COMPOSIÇÕES 062020'!A:B,2,FALSE))</f>
        <v>ARMAÇÃO DE BLOCO, VIGA BALDRAME E SAPATA UTILIZANDO AÇO CA-60 DE 5 MM - MONTAGEM. AF_06/2017</v>
      </c>
      <c r="E60" s="45" t="str">
        <f>IF(B60="MP-MT",VLOOKUP(C60,'COMPOSIÇÃO DE PREÇO UNITÁRIO'!A:H,8,FALSE),VLOOKUP(C60,'SINAPI_COMPOSIÇÕES 062020'!A:C,3,FALSE))</f>
        <v>KG</v>
      </c>
      <c r="F60" s="78">
        <f>66.4+137.1+28.7</f>
        <v>232.2</v>
      </c>
      <c r="G60" s="79">
        <f>IF(B60="MP-MT",VLOOKUP(CONCATENATE("TOTAL DO ÍTEM - ",C60),'COMPOSIÇÃO DE PREÇO UNITÁRIO'!A:H,8,FALSE),VLOOKUP(C60,'SINAPI_COMPOSIÇÕES 062020'!A:D,4,FALSE))</f>
        <v>11.65</v>
      </c>
      <c r="H60" s="79">
        <f t="shared" si="9"/>
        <v>15.07</v>
      </c>
      <c r="I60" s="79">
        <f t="shared" si="11"/>
        <v>3499.25</v>
      </c>
    </row>
    <row r="61" spans="1:9" ht="25.5" outlineLevel="2" x14ac:dyDescent="0.2">
      <c r="A61" s="45" t="s">
        <v>13291</v>
      </c>
      <c r="B61" s="45" t="s">
        <v>9</v>
      </c>
      <c r="C61" s="45">
        <v>96544</v>
      </c>
      <c r="D61" s="44" t="str">
        <f>IF(B61="MP-MT",VLOOKUP(C61,'COMPOSIÇÃO DE PREÇO UNITÁRIO'!A:B,2,FALSE),VLOOKUP(C61,'SINAPI_COMPOSIÇÕES 062020'!A:B,2,FALSE))</f>
        <v>ARMAÇÃO DE BLOCO, VIGA BALDRAME OU SAPATA UTILIZANDO AÇO CA-50 DE 6,3 MM - MONTAGEM. AF_06/2017</v>
      </c>
      <c r="E61" s="45" t="str">
        <f>IF(B61="MP-MT",VLOOKUP(C61,'COMPOSIÇÃO DE PREÇO UNITÁRIO'!A:H,8,FALSE),VLOOKUP(C61,'SINAPI_COMPOSIÇÕES 062020'!A:C,3,FALSE))</f>
        <v>KG</v>
      </c>
      <c r="F61" s="78">
        <f>3.7+0.7</f>
        <v>4.4000000000000004</v>
      </c>
      <c r="G61" s="79">
        <f>IF(B61="MP-MT",VLOOKUP(CONCATENATE("TOTAL DO ÍTEM - ",C61),'COMPOSIÇÃO DE PREÇO UNITÁRIO'!A:H,8,FALSE),VLOOKUP(C61,'SINAPI_COMPOSIÇÕES 062020'!A:D,4,FALSE))</f>
        <v>10.51</v>
      </c>
      <c r="H61" s="79">
        <f t="shared" ref="H61" si="12">TRUNC(G61*(1+$F$1),2)</f>
        <v>13.59</v>
      </c>
      <c r="I61" s="79">
        <f t="shared" ref="I61" si="13">TRUNC(H61*F61,2)</f>
        <v>59.79</v>
      </c>
    </row>
    <row r="62" spans="1:9" ht="25.5" outlineLevel="2" x14ac:dyDescent="0.2">
      <c r="A62" s="45" t="s">
        <v>13292</v>
      </c>
      <c r="B62" s="45" t="s">
        <v>9</v>
      </c>
      <c r="C62" s="45">
        <v>96545</v>
      </c>
      <c r="D62" s="44" t="str">
        <f>IF(B62="MP-MT",VLOOKUP(C62,'COMPOSIÇÃO DE PREÇO UNITÁRIO'!A:B,2,FALSE),VLOOKUP(C62,'SINAPI_COMPOSIÇÕES 062020'!A:B,2,FALSE))</f>
        <v>ARMAÇÃO DE BLOCO, VIGA BALDRAME OU SAPATA UTILIZANDO AÇO CA-50 DE 8 MM - MONTAGEM. AF_06/2017</v>
      </c>
      <c r="E62" s="45" t="str">
        <f>IF(B62="MP-MT",VLOOKUP(C62,'COMPOSIÇÃO DE PREÇO UNITÁRIO'!A:H,8,FALSE),VLOOKUP(C62,'SINAPI_COMPOSIÇÕES 062020'!A:C,3,FALSE))</f>
        <v>KG</v>
      </c>
      <c r="F62" s="78">
        <f>146.1+177.4+65.1</f>
        <v>388.6</v>
      </c>
      <c r="G62" s="79">
        <f>IF(B62="MP-MT",VLOOKUP(CONCATENATE("TOTAL DO ÍTEM - ",C62),'COMPOSIÇÃO DE PREÇO UNITÁRIO'!A:H,8,FALSE),VLOOKUP(C62,'SINAPI_COMPOSIÇÕES 062020'!A:D,4,FALSE))</f>
        <v>9.5299999999999994</v>
      </c>
      <c r="H62" s="79">
        <f t="shared" si="9"/>
        <v>12.33</v>
      </c>
      <c r="I62" s="79">
        <f t="shared" si="11"/>
        <v>4791.43</v>
      </c>
    </row>
    <row r="63" spans="1:9" ht="25.5" outlineLevel="2" x14ac:dyDescent="0.2">
      <c r="A63" s="45" t="s">
        <v>13293</v>
      </c>
      <c r="B63" s="45" t="s">
        <v>9</v>
      </c>
      <c r="C63" s="45">
        <v>96546</v>
      </c>
      <c r="D63" s="44" t="str">
        <f>IF(B63="MP-MT",VLOOKUP(C63,'COMPOSIÇÃO DE PREÇO UNITÁRIO'!A:B,2,FALSE),VLOOKUP(C63,'SINAPI_COMPOSIÇÕES 062020'!A:B,2,FALSE))</f>
        <v>ARMAÇÃO DE BLOCO, VIGA BALDRAME OU SAPATA UTILIZANDO AÇO CA-50 DE 10 MM - MONTAGEM. AF_06/2017</v>
      </c>
      <c r="E63" s="45" t="str">
        <f>IF(B63="MP-MT",VLOOKUP(C63,'COMPOSIÇÃO DE PREÇO UNITÁRIO'!A:H,8,FALSE),VLOOKUP(C63,'SINAPI_COMPOSIÇÕES 062020'!A:C,3,FALSE))</f>
        <v>KG</v>
      </c>
      <c r="F63" s="78">
        <f>113.8+197.7+177.4</f>
        <v>488.9</v>
      </c>
      <c r="G63" s="79">
        <f>IF(B63="MP-MT",VLOOKUP(CONCATENATE("TOTAL DO ÍTEM - ",C63),'COMPOSIÇÃO DE PREÇO UNITÁRIO'!A:H,8,FALSE),VLOOKUP(C63,'SINAPI_COMPOSIÇÕES 062020'!A:D,4,FALSE))</f>
        <v>8.3800000000000008</v>
      </c>
      <c r="H63" s="79">
        <f t="shared" si="9"/>
        <v>10.84</v>
      </c>
      <c r="I63" s="79">
        <f t="shared" si="11"/>
        <v>5299.67</v>
      </c>
    </row>
    <row r="64" spans="1:9" ht="25.5" outlineLevel="2" x14ac:dyDescent="0.2">
      <c r="A64" s="45" t="s">
        <v>13294</v>
      </c>
      <c r="B64" s="45" t="s">
        <v>9</v>
      </c>
      <c r="C64" s="45">
        <v>96547</v>
      </c>
      <c r="D64" s="44" t="str">
        <f>IF(B64="MP-MT",VLOOKUP(C64,'COMPOSIÇÃO DE PREÇO UNITÁRIO'!A:B,2,FALSE),VLOOKUP(C64,'SINAPI_COMPOSIÇÕES 062020'!A:B,2,FALSE))</f>
        <v>ARMAÇÃO DE BLOCO, VIGA BALDRAME OU SAPATA UTILIZANDO AÇO CA-50 DE 12,5 MM - MONTAGEM. AF_06/2017</v>
      </c>
      <c r="E64" s="45" t="str">
        <f>IF(B64="MP-MT",VLOOKUP(C64,'COMPOSIÇÃO DE PREÇO UNITÁRIO'!A:H,8,FALSE),VLOOKUP(C64,'SINAPI_COMPOSIÇÕES 062020'!A:C,3,FALSE))</f>
        <v>KG</v>
      </c>
      <c r="F64" s="78">
        <v>49.1</v>
      </c>
      <c r="G64" s="79">
        <f>IF(B64="MP-MT",VLOOKUP(CONCATENATE("TOTAL DO ÍTEM - ",C64),'COMPOSIÇÃO DE PREÇO UNITÁRIO'!A:H,8,FALSE),VLOOKUP(C64,'SINAPI_COMPOSIÇÕES 062020'!A:D,4,FALSE))</f>
        <v>7</v>
      </c>
      <c r="H64" s="79">
        <f t="shared" si="9"/>
        <v>9.0500000000000007</v>
      </c>
      <c r="I64" s="79">
        <f t="shared" si="11"/>
        <v>444.35</v>
      </c>
    </row>
    <row r="65" spans="1:9" ht="25.5" outlineLevel="2" x14ac:dyDescent="0.2">
      <c r="A65" s="45" t="s">
        <v>13295</v>
      </c>
      <c r="B65" s="45" t="s">
        <v>9</v>
      </c>
      <c r="C65" s="45">
        <v>96558</v>
      </c>
      <c r="D65" s="44" t="str">
        <f>IF(B65="MP-MT",VLOOKUP(C65,'COMPOSIÇÃO DE PREÇO UNITÁRIO'!A:B,2,FALSE),VLOOKUP(C65,'SINAPI_COMPOSIÇÕES 062020'!A:B,2,FALSE))</f>
        <v>CONCRETAGEM DE SAPATAS, FCK 30 MPA, COM USO DE BOMBA  LANÇAMENTO, ADENSAMENTO E ACABAMENTO. AF_11/2016</v>
      </c>
      <c r="E65" s="45" t="str">
        <f>IF(B65="MP-MT",VLOOKUP(C65,'COMPOSIÇÃO DE PREÇO UNITÁRIO'!A:H,8,FALSE),VLOOKUP(C65,'SINAPI_COMPOSIÇÕES 062020'!A:C,3,FALSE))</f>
        <v>M3</v>
      </c>
      <c r="F65" s="78">
        <f>7.37+2.32</f>
        <v>9.69</v>
      </c>
      <c r="G65" s="79">
        <f>IF(B65="MP-MT",VLOOKUP(CONCATENATE("TOTAL DO ÍTEM - ",C65),'COMPOSIÇÃO DE PREÇO UNITÁRIO'!A:H,8,FALSE),VLOOKUP(C65,'SINAPI_COMPOSIÇÕES 062020'!A:D,4,FALSE))</f>
        <v>503.92</v>
      </c>
      <c r="H65" s="79">
        <f t="shared" si="9"/>
        <v>651.99</v>
      </c>
      <c r="I65" s="79">
        <f t="shared" si="11"/>
        <v>6317.78</v>
      </c>
    </row>
    <row r="66" spans="1:9" ht="38.25" outlineLevel="2" x14ac:dyDescent="0.2">
      <c r="A66" s="45" t="s">
        <v>13296</v>
      </c>
      <c r="B66" s="45" t="s">
        <v>9</v>
      </c>
      <c r="C66" s="45">
        <v>96557</v>
      </c>
      <c r="D66" s="44" t="str">
        <f>IF(B66="MP-MT",VLOOKUP(C66,'COMPOSIÇÃO DE PREÇO UNITÁRIO'!A:B,2,FALSE),VLOOKUP(C66,'SINAPI_COMPOSIÇÕES 062020'!A:B,2,FALSE))</f>
        <v>CONCRETAGEM DE BLOCOS DE COROAMENTO E VIGAS BALDRAMES, FCK 30 MPA, COM USO DE BOMBA  LANÇAMENTO, ADENSAMENTO E ACABAMENTO. AF_06/2017</v>
      </c>
      <c r="E66" s="45" t="str">
        <f>IF(B66="MP-MT",VLOOKUP(C66,'COMPOSIÇÃO DE PREÇO UNITÁRIO'!A:H,8,FALSE),VLOOKUP(C66,'SINAPI_COMPOSIÇÕES 062020'!A:C,3,FALSE))</f>
        <v>M3</v>
      </c>
      <c r="F66" s="78">
        <f>6.91+1.46</f>
        <v>8.370000000000001</v>
      </c>
      <c r="G66" s="79">
        <f>IF(B66="MP-MT",VLOOKUP(CONCATENATE("TOTAL DO ÍTEM - ",C66),'COMPOSIÇÃO DE PREÇO UNITÁRIO'!A:H,8,FALSE),VLOOKUP(C66,'SINAPI_COMPOSIÇÕES 062020'!A:D,4,FALSE))</f>
        <v>498.72</v>
      </c>
      <c r="H66" s="79">
        <f t="shared" si="9"/>
        <v>645.26</v>
      </c>
      <c r="I66" s="79">
        <f t="shared" si="11"/>
        <v>5400.82</v>
      </c>
    </row>
    <row r="67" spans="1:9" outlineLevel="2" x14ac:dyDescent="0.2">
      <c r="A67" s="45" t="s">
        <v>13297</v>
      </c>
      <c r="B67" s="45" t="s">
        <v>9</v>
      </c>
      <c r="C67" s="45">
        <v>96995</v>
      </c>
      <c r="D67" s="44" t="str">
        <f>IF(B67="MP-MT",VLOOKUP(C67,'COMPOSIÇÃO DE PREÇO UNITÁRIO'!A:B,2,FALSE),VLOOKUP(C67,'SINAPI_COMPOSIÇÕES 062020'!A:B,2,FALSE))</f>
        <v>REATERRO MANUAL APILOADO COM SOQUETE. AF_10/2017</v>
      </c>
      <c r="E67" s="45" t="str">
        <f>IF(B67="MP-MT",VLOOKUP(C67,'COMPOSIÇÃO DE PREÇO UNITÁRIO'!A:H,8,FALSE),VLOOKUP(C67,'SINAPI_COMPOSIÇÕES 062020'!A:C,3,FALSE))</f>
        <v>M3</v>
      </c>
      <c r="F67" s="78">
        <f>((F55+F56)-(F65+F66))*1.25</f>
        <v>4.5149999999999935</v>
      </c>
      <c r="G67" s="79">
        <f>IF(B67="MP-MT",VLOOKUP(CONCATENATE("TOTAL DO ÍTEM - ",C67),'COMPOSIÇÃO DE PREÇO UNITÁRIO'!A:H,8,FALSE),VLOOKUP(C67,'SINAPI_COMPOSIÇÕES 062020'!A:D,4,FALSE))</f>
        <v>34.46</v>
      </c>
      <c r="H67" s="79">
        <f t="shared" si="9"/>
        <v>44.58</v>
      </c>
      <c r="I67" s="79">
        <f t="shared" si="11"/>
        <v>201.27</v>
      </c>
    </row>
    <row r="68" spans="1:9" ht="25.5" outlineLevel="2" x14ac:dyDescent="0.2">
      <c r="A68" s="45" t="s">
        <v>13298</v>
      </c>
      <c r="B68" s="45" t="s">
        <v>9</v>
      </c>
      <c r="C68" s="45">
        <v>98557</v>
      </c>
      <c r="D68" s="44" t="str">
        <f>IF(B68="MP-MT",VLOOKUP(C68,'COMPOSIÇÃO DE PREÇO UNITÁRIO'!A:B,2,FALSE),VLOOKUP(C68,'SINAPI_COMPOSIÇÕES 062020'!A:B,2,FALSE))</f>
        <v>IMPERMEABILIZAÇÃO DE SUPERFÍCIE COM EMULSÃO ASFÁLTICA, 2 DEMÃOS AF_06/2018</v>
      </c>
      <c r="E68" s="45" t="str">
        <f>IF(B68="MP-MT",VLOOKUP(C68,'COMPOSIÇÃO DE PREÇO UNITÁRIO'!A:H,8,FALSE),VLOOKUP(C68,'SINAPI_COMPOSIÇÕES 062020'!A:C,3,FALSE))</f>
        <v>M2</v>
      </c>
      <c r="F68" s="78">
        <f>218.67*0.72</f>
        <v>157.44239999999999</v>
      </c>
      <c r="G68" s="79">
        <f>IF(B68="MP-MT",VLOOKUP(CONCATENATE("TOTAL DO ÍTEM - ",C68),'COMPOSIÇÃO DE PREÇO UNITÁRIO'!A:H,8,FALSE),VLOOKUP(C68,'SINAPI_COMPOSIÇÕES 062020'!A:D,4,FALSE))</f>
        <v>23.61</v>
      </c>
      <c r="H68" s="79">
        <f t="shared" si="9"/>
        <v>30.54</v>
      </c>
      <c r="I68" s="79">
        <f t="shared" si="11"/>
        <v>4808.29</v>
      </c>
    </row>
    <row r="69" spans="1:9" outlineLevel="1" x14ac:dyDescent="0.2">
      <c r="A69" s="76"/>
      <c r="B69" s="76"/>
      <c r="C69" s="76"/>
      <c r="D69" s="91" t="str">
        <f>CONCATENATE("TOTAL DO ITEM - ",A54)</f>
        <v>TOTAL DO ITEM - 4.0</v>
      </c>
      <c r="E69" s="76"/>
      <c r="F69" s="92"/>
      <c r="G69" s="93"/>
      <c r="H69" s="93"/>
      <c r="I69" s="93">
        <f>SUM(I55:I68)</f>
        <v>53523.969999999994</v>
      </c>
    </row>
    <row r="70" spans="1:9" outlineLevel="1" x14ac:dyDescent="0.2">
      <c r="A70" s="87" t="s">
        <v>32</v>
      </c>
      <c r="B70" s="87"/>
      <c r="C70" s="87"/>
      <c r="D70" s="88" t="s">
        <v>11934</v>
      </c>
      <c r="E70" s="87"/>
      <c r="F70" s="89"/>
      <c r="G70" s="90"/>
      <c r="H70" s="90"/>
      <c r="I70" s="90"/>
    </row>
    <row r="71" spans="1:9" ht="51" outlineLevel="2" x14ac:dyDescent="0.2">
      <c r="A71" s="77" t="s">
        <v>13285</v>
      </c>
      <c r="B71" s="77" t="s">
        <v>9</v>
      </c>
      <c r="C71" s="77">
        <v>92414</v>
      </c>
      <c r="D71" s="44" t="str">
        <f>IF(B71="MP-MT",VLOOKUP(C71,'COMPOSIÇÃO DE PREÇO UNITÁRIO'!A:B,2,FALSE),VLOOKUP(C71,'SINAPI_COMPOSIÇÕES 062020'!A:B,2,FALSE))</f>
        <v>MONTAGEM E DESMONTAGEM DE FÔRMA DE PILARES RETANGULARES E ESTRUTURAS SIMILARES COM ÁREA MÉDIA DAS SEÇÕES MENOR OU IGUAL A 0,25 M², PÉ-DIREITO SIMPLES, EM CHAPA DE MADEIRA COMPENSADA RESINADA, 2 UTILIZAÇÕES. AF_12/2015</v>
      </c>
      <c r="E71" s="45" t="str">
        <f>IF(B71="MP-MT",VLOOKUP(C71,'COMPOSIÇÃO DE PREÇO UNITÁRIO'!A:H,8,FALSE),VLOOKUP(C71,'SINAPI_COMPOSIÇÕES 062020'!A:C,3,FALSE))</f>
        <v>M2</v>
      </c>
      <c r="F71" s="78">
        <f>103.78+8.65+65.86</f>
        <v>178.29000000000002</v>
      </c>
      <c r="G71" s="79">
        <f>IF(B71="MP-MT",VLOOKUP(CONCATENATE("TOTAL DO ÍTEM - ",C71),'COMPOSIÇÃO DE PREÇO UNITÁRIO'!A:H,8,FALSE),VLOOKUP(C71,'SINAPI_COMPOSIÇÕES 062020'!A:D,4,FALSE))</f>
        <v>94.02</v>
      </c>
      <c r="H71" s="79">
        <f t="shared" ref="H71:H79" si="14">TRUNC(G71*(1+$F$1),2)</f>
        <v>121.64</v>
      </c>
      <c r="I71" s="79">
        <f t="shared" ref="I71:I79" si="15">TRUNC(H71*F71,2)</f>
        <v>21687.19</v>
      </c>
    </row>
    <row r="72" spans="1:9" ht="38.25" outlineLevel="2" x14ac:dyDescent="0.2">
      <c r="A72" s="77" t="s">
        <v>13299</v>
      </c>
      <c r="B72" s="45" t="s">
        <v>9</v>
      </c>
      <c r="C72" s="45">
        <v>92452</v>
      </c>
      <c r="D72" s="44" t="str">
        <f>IF(B72="MP-MT",VLOOKUP(C72,'COMPOSIÇÃO DE PREÇO UNITÁRIO'!A:B,2,FALSE),VLOOKUP(C72,'SINAPI_COMPOSIÇÕES 062020'!A:B,2,FALSE))</f>
        <v>MONTAGEM E DESMONTAGEM DE FÔRMA DE VIGA, ESCORAMENTO METÁLICO, PÉ-DIREITO SIMPLES, EM CHAPA DE MADEIRA RESINADA, 2 UTILIZAÇÕES. AF_12/2015</v>
      </c>
      <c r="E72" s="45" t="str">
        <f>IF(B72="MP-MT",VLOOKUP(C72,'COMPOSIÇÃO DE PREÇO UNITÁRIO'!A:H,8,FALSE),VLOOKUP(C72,'SINAPI_COMPOSIÇÕES 062020'!A:C,3,FALSE))</f>
        <v>M2</v>
      </c>
      <c r="F72" s="78">
        <f>155.48+77.62+69.63</f>
        <v>302.73</v>
      </c>
      <c r="G72" s="79">
        <f>IF(B72="MP-MT",VLOOKUP(CONCATENATE("TOTAL DO ÍTEM - ",C72),'COMPOSIÇÃO DE PREÇO UNITÁRIO'!A:H,8,FALSE),VLOOKUP(C72,'SINAPI_COMPOSIÇÕES 062020'!A:D,4,FALSE))</f>
        <v>108.31</v>
      </c>
      <c r="H72" s="79">
        <f t="shared" si="14"/>
        <v>140.13</v>
      </c>
      <c r="I72" s="79">
        <f t="shared" si="15"/>
        <v>42421.55</v>
      </c>
    </row>
    <row r="73" spans="1:9" ht="38.25" outlineLevel="2" x14ac:dyDescent="0.2">
      <c r="A73" s="77" t="s">
        <v>13300</v>
      </c>
      <c r="B73" s="45" t="s">
        <v>9</v>
      </c>
      <c r="C73" s="45">
        <v>92775</v>
      </c>
      <c r="D73" s="44" t="str">
        <f>IF(B73="MP-MT",VLOOKUP(C73,'COMPOSIÇÃO DE PREÇO UNITÁRIO'!A:B,2,FALSE),VLOOKUP(C73,'SINAPI_COMPOSIÇÕES 062020'!A:B,2,FALSE))</f>
        <v>ARMAÇÃO DE PILAR OU VIGA DE UMA ESTRUTURA CONVENCIONAL DE CONCRETO ARMADO EM UMA EDIFICAÇÃO TÉRREA OU SOBRADO UTILIZANDO AÇO CA-60 DE 5,0 MM - MONTAGEM. AF_12/2015</v>
      </c>
      <c r="E73" s="45" t="str">
        <f>IF(B73="MP-MT",VLOOKUP(C73,'COMPOSIÇÃO DE PREÇO UNITÁRIO'!A:H,8,FALSE),VLOOKUP(C73,'SINAPI_COMPOSIÇÕES 062020'!A:C,3,FALSE))</f>
        <v>KG</v>
      </c>
      <c r="F73" s="78">
        <f>124.1+10.7+79.7+110.6+55.3+57.6+41.2</f>
        <v>479.20000000000005</v>
      </c>
      <c r="G73" s="79">
        <f>IF(B73="MP-MT",VLOOKUP(CONCATENATE("TOTAL DO ÍTEM - ",C73),'COMPOSIÇÃO DE PREÇO UNITÁRIO'!A:H,8,FALSE),VLOOKUP(C73,'SINAPI_COMPOSIÇÕES 062020'!A:D,4,FALSE))</f>
        <v>11.71</v>
      </c>
      <c r="H73" s="79">
        <f t="shared" si="14"/>
        <v>15.15</v>
      </c>
      <c r="I73" s="79">
        <f t="shared" si="15"/>
        <v>7259.88</v>
      </c>
    </row>
    <row r="74" spans="1:9" ht="38.25" outlineLevel="2" x14ac:dyDescent="0.2">
      <c r="A74" s="77" t="s">
        <v>13301</v>
      </c>
      <c r="B74" s="45" t="s">
        <v>9</v>
      </c>
      <c r="C74" s="45">
        <v>92776</v>
      </c>
      <c r="D74" s="44" t="str">
        <f>IF(B74="MP-MT",VLOOKUP(C74,'COMPOSIÇÃO DE PREÇO UNITÁRIO'!A:B,2,FALSE),VLOOKUP(C74,'SINAPI_COMPOSIÇÕES 062020'!A:B,2,FALSE))</f>
        <v>ARMAÇÃO DE PILAR OU VIGA DE UMA ESTRUTURA CONVENCIONAL DE CONCRETO ARMADO EM UMA EDIFICAÇÃO TÉRREA OU SOBRADO UTILIZANDO AÇO CA-50 DE 6,3 MM - MONTAGEM. AF_12/2015</v>
      </c>
      <c r="E74" s="45" t="str">
        <f>IF(B74="MP-MT",VLOOKUP(C74,'COMPOSIÇÃO DE PREÇO UNITÁRIO'!A:H,8,FALSE),VLOOKUP(C74,'SINAPI_COMPOSIÇÕES 062020'!A:C,3,FALSE))</f>
        <v>KG</v>
      </c>
      <c r="F74" s="78">
        <f>3.7+4.8+1.9+1.6</f>
        <v>12</v>
      </c>
      <c r="G74" s="79">
        <f>IF(B74="MP-MT",VLOOKUP(CONCATENATE("TOTAL DO ÍTEM - ",C74),'COMPOSIÇÃO DE PREÇO UNITÁRIO'!A:H,8,FALSE),VLOOKUP(C74,'SINAPI_COMPOSIÇÕES 062020'!A:D,4,FALSE))</f>
        <v>10.55</v>
      </c>
      <c r="H74" s="79">
        <f t="shared" si="14"/>
        <v>13.65</v>
      </c>
      <c r="I74" s="79">
        <f t="shared" si="15"/>
        <v>163.80000000000001</v>
      </c>
    </row>
    <row r="75" spans="1:9" ht="38.25" outlineLevel="2" x14ac:dyDescent="0.2">
      <c r="A75" s="77" t="s">
        <v>13302</v>
      </c>
      <c r="B75" s="45" t="s">
        <v>9</v>
      </c>
      <c r="C75" s="45">
        <v>92777</v>
      </c>
      <c r="D75" s="44" t="str">
        <f>IF(B75="MP-MT",VLOOKUP(C75,'COMPOSIÇÃO DE PREÇO UNITÁRIO'!A:B,2,FALSE),VLOOKUP(C75,'SINAPI_COMPOSIÇÕES 062020'!A:B,2,FALSE))</f>
        <v>ARMAÇÃO DE PILAR OU VIGA DE UMA ESTRUTURA CONVENCIONAL DE CONCRETO ARMADO EM UMA EDIFICAÇÃO TÉRREA OU SOBRADO UTILIZANDO AÇO CA-50 DE 8,0 MM - MONTAGEM. AF_12/2015</v>
      </c>
      <c r="E75" s="45" t="str">
        <f>IF(B75="MP-MT",VLOOKUP(C75,'COMPOSIÇÃO DE PREÇO UNITÁRIO'!A:H,8,FALSE),VLOOKUP(C75,'SINAPI_COMPOSIÇÕES 062020'!A:C,3,FALSE))</f>
        <v>KG</v>
      </c>
      <c r="F75" s="78">
        <f>27.9+1.6+5.6+6.4</f>
        <v>41.5</v>
      </c>
      <c r="G75" s="79">
        <f>IF(B75="MP-MT",VLOOKUP(CONCATENATE("TOTAL DO ÍTEM - ",C75),'COMPOSIÇÃO DE PREÇO UNITÁRIO'!A:H,8,FALSE),VLOOKUP(C75,'SINAPI_COMPOSIÇÕES 062020'!A:D,4,FALSE))</f>
        <v>9.51</v>
      </c>
      <c r="H75" s="79">
        <f t="shared" si="14"/>
        <v>12.3</v>
      </c>
      <c r="I75" s="79">
        <f t="shared" si="15"/>
        <v>510.45</v>
      </c>
    </row>
    <row r="76" spans="1:9" ht="38.25" outlineLevel="2" x14ac:dyDescent="0.2">
      <c r="A76" s="77" t="s">
        <v>13303</v>
      </c>
      <c r="B76" s="45" t="s">
        <v>9</v>
      </c>
      <c r="C76" s="45">
        <v>92778</v>
      </c>
      <c r="D76" s="44" t="str">
        <f>IF(B76="MP-MT",VLOOKUP(C76,'COMPOSIÇÃO DE PREÇO UNITÁRIO'!A:B,2,FALSE),VLOOKUP(C76,'SINAPI_COMPOSIÇÕES 062020'!A:B,2,FALSE))</f>
        <v>ARMAÇÃO DE PILAR OU VIGA DE UMA ESTRUTURA CONVENCIONAL DE CONCRETO ARMADO EM UMA EDIFICAÇÃO TÉRREA OU SOBRADO UTILIZANDO AÇO CA-50 DE 10,0 MM - MONTAGEM. AF_12/2015</v>
      </c>
      <c r="E76" s="45" t="str">
        <f>IF(B76="MP-MT",VLOOKUP(C76,'COMPOSIÇÃO DE PREÇO UNITÁRIO'!A:H,8,FALSE),VLOOKUP(C76,'SINAPI_COMPOSIÇÕES 062020'!A:C,3,FALSE))</f>
        <v>KG</v>
      </c>
      <c r="F76" s="78">
        <f>303.1+34.3+227.6+347.3+158.5+134.4+146.2</f>
        <v>1351.4</v>
      </c>
      <c r="G76" s="79">
        <f>IF(B76="MP-MT",VLOOKUP(CONCATENATE("TOTAL DO ÍTEM - ",C76),'COMPOSIÇÃO DE PREÇO UNITÁRIO'!A:H,8,FALSE),VLOOKUP(C76,'SINAPI_COMPOSIÇÕES 062020'!A:D,4,FALSE))</f>
        <v>8.33</v>
      </c>
      <c r="H76" s="79">
        <f t="shared" si="14"/>
        <v>10.77</v>
      </c>
      <c r="I76" s="79">
        <f t="shared" si="15"/>
        <v>14554.57</v>
      </c>
    </row>
    <row r="77" spans="1:9" ht="38.25" outlineLevel="2" x14ac:dyDescent="0.2">
      <c r="A77" s="77" t="s">
        <v>13304</v>
      </c>
      <c r="B77" s="45" t="s">
        <v>9</v>
      </c>
      <c r="C77" s="45">
        <v>92779</v>
      </c>
      <c r="D77" s="44" t="str">
        <f>IF(B77="MP-MT",VLOOKUP(C77,'COMPOSIÇÃO DE PREÇO UNITÁRIO'!A:B,2,FALSE),VLOOKUP(C77,'SINAPI_COMPOSIÇÕES 062020'!A:B,2,FALSE))</f>
        <v>ARMAÇÃO DE PILAR OU VIGA DE UMA ESTRUTURA CONVENCIONAL DE CONCRETO ARMADO EM UMA EDIFICAÇÃO TÉRREA OU SOBRADO UTILIZANDO AÇO CA-50 DE 12,5 MM - MONTAGEM. AF_12/2015</v>
      </c>
      <c r="E77" s="45" t="str">
        <f>IF(B77="MP-MT",VLOOKUP(C77,'COMPOSIÇÃO DE PREÇO UNITÁRIO'!A:H,8,FALSE),VLOOKUP(C77,'SINAPI_COMPOSIÇÕES 062020'!A:C,3,FALSE))</f>
        <v>KG</v>
      </c>
      <c r="F77" s="78">
        <f>25.7+179.9+129+138.1</f>
        <v>472.70000000000005</v>
      </c>
      <c r="G77" s="79">
        <f>IF(B77="MP-MT",VLOOKUP(CONCATENATE("TOTAL DO ÍTEM - ",C77),'COMPOSIÇÃO DE PREÇO UNITÁRIO'!A:H,8,FALSE),VLOOKUP(C77,'SINAPI_COMPOSIÇÕES 062020'!A:D,4,FALSE))</f>
        <v>6.89</v>
      </c>
      <c r="H77" s="79">
        <f t="shared" si="14"/>
        <v>8.91</v>
      </c>
      <c r="I77" s="79">
        <f t="shared" si="15"/>
        <v>4211.75</v>
      </c>
    </row>
    <row r="78" spans="1:9" ht="38.25" outlineLevel="2" x14ac:dyDescent="0.2">
      <c r="A78" s="77" t="s">
        <v>13305</v>
      </c>
      <c r="B78" s="45" t="s">
        <v>194</v>
      </c>
      <c r="C78" s="45" t="s">
        <v>11941</v>
      </c>
      <c r="D78" s="44" t="str">
        <f>IF(B78="MP-MT",VLOOKUP(C78,'COMPOSIÇÃO DE PREÇO UNITÁRIO'!A:B,2,FALSE),VLOOKUP(C78,'SINAPI_COMPOSIÇÕES 062020'!A:B,2,FALSE))</f>
        <v>CONCRETAGEM DE PILARES, FCK = 30 MPA, COM USO DE BOMBA EM EDIFICAÇÃO COM SEÇÃO MÉDIA DE PILARES MENOR OU IGUAL A 0,25 M² - LANÇAMENTO, ADENSAMENTO E ACABAMENTO</v>
      </c>
      <c r="E78" s="45" t="str">
        <f>IF(B78="MP-MT",VLOOKUP(C78,'COMPOSIÇÃO DE PREÇO UNITÁRIO'!A:H,8,FALSE),VLOOKUP(C78,'SINAPI_COMPOSIÇÕES 062020'!A:C,3,FALSE))</f>
        <v>M3</v>
      </c>
      <c r="F78" s="78">
        <f>4.45+0.37+3.26</f>
        <v>8.08</v>
      </c>
      <c r="G78" s="79">
        <f>IF(B78="MP-MT",VLOOKUP(CONCATENATE("TOTAL DO ÍTEM - ",C78),'COMPOSIÇÃO DE PREÇO UNITÁRIO'!A:H,8,FALSE),VLOOKUP(C78,'SINAPI_COMPOSIÇÕES 062020'!A:D,4,FALSE))</f>
        <v>488.81</v>
      </c>
      <c r="H78" s="79">
        <f t="shared" si="14"/>
        <v>632.44000000000005</v>
      </c>
      <c r="I78" s="79">
        <f t="shared" si="15"/>
        <v>5110.1099999999997</v>
      </c>
    </row>
    <row r="79" spans="1:9" ht="38.25" outlineLevel="2" x14ac:dyDescent="0.2">
      <c r="A79" s="77" t="s">
        <v>13306</v>
      </c>
      <c r="B79" s="45" t="s">
        <v>194</v>
      </c>
      <c r="C79" s="45" t="s">
        <v>11945</v>
      </c>
      <c r="D79" s="44" t="str">
        <f>IF(B79="MP-MT",VLOOKUP(C79,'COMPOSIÇÃO DE PREÇO UNITÁRIO'!A:B,2,FALSE),VLOOKUP(C79,'SINAPI_COMPOSIÇÕES 062020'!A:B,2,FALSE))</f>
        <v>CONCRETAGEM DE VIGAS E LAJES, FCK=30 MPA, PARA LAJES MACIÇAS OU NERVURADAS COM USO DE BOMBA EM EDIFICAÇÃO COM ÁREA MÉDIA DE LAJES MAIOR QUE 20 M² - LANÇAMENTO, ADENSAMENTO E ACABAMENTO</v>
      </c>
      <c r="E79" s="45" t="str">
        <f>IF(B79="MP-MT",VLOOKUP(C79,'COMPOSIÇÃO DE PREÇO UNITÁRIO'!A:H,8,FALSE),VLOOKUP(C79,'SINAPI_COMPOSIÇÕES 062020'!A:C,3,FALSE))</f>
        <v>M3</v>
      </c>
      <c r="F79" s="78">
        <f>8.11+4.05+3.6</f>
        <v>15.76</v>
      </c>
      <c r="G79" s="79">
        <f>IF(B79="MP-MT",VLOOKUP(CONCATENATE("TOTAL DO ÍTEM - ",C79),'COMPOSIÇÃO DE PREÇO UNITÁRIO'!A:H,8,FALSE),VLOOKUP(C79,'SINAPI_COMPOSIÇÕES 062020'!A:D,4,FALSE))</f>
        <v>483.61</v>
      </c>
      <c r="H79" s="79">
        <f t="shared" si="14"/>
        <v>625.71</v>
      </c>
      <c r="I79" s="79">
        <f t="shared" si="15"/>
        <v>9861.18</v>
      </c>
    </row>
    <row r="80" spans="1:9" outlineLevel="1" x14ac:dyDescent="0.2">
      <c r="A80" s="76"/>
      <c r="B80" s="76"/>
      <c r="C80" s="76"/>
      <c r="D80" s="91" t="str">
        <f>CONCATENATE("TOTAL DO ITEM - ",A70)</f>
        <v>TOTAL DO ITEM - 5.0</v>
      </c>
      <c r="E80" s="76"/>
      <c r="F80" s="92"/>
      <c r="G80" s="93"/>
      <c r="H80" s="93"/>
      <c r="I80" s="93">
        <f>SUM(I71:I79)</f>
        <v>105780.48000000001</v>
      </c>
    </row>
    <row r="81" spans="1:9" outlineLevel="1" x14ac:dyDescent="0.2">
      <c r="A81" s="87" t="s">
        <v>33</v>
      </c>
      <c r="B81" s="87"/>
      <c r="C81" s="87"/>
      <c r="D81" s="88" t="s">
        <v>11935</v>
      </c>
      <c r="E81" s="87"/>
      <c r="F81" s="89"/>
      <c r="G81" s="90"/>
      <c r="H81" s="90"/>
      <c r="I81" s="90"/>
    </row>
    <row r="82" spans="1:9" ht="51" outlineLevel="2" x14ac:dyDescent="0.2">
      <c r="A82" s="77" t="s">
        <v>13254</v>
      </c>
      <c r="B82" s="77" t="s">
        <v>9</v>
      </c>
      <c r="C82" s="77">
        <v>89168</v>
      </c>
      <c r="D82" s="44" t="str">
        <f>IF(B82="MP-MT",VLOOKUP(C82,'COMPOSIÇÃO DE PREÇO UNITÁRIO'!A:B,2,FALSE),VLOOKUP(C82,'SINAPI_COMPOSIÇÕES 062020'!A:B,2,FALSE))</f>
        <v>(COMPOSIÇÃO REPRESENTATIVA) DO SERVIÇO DE ALVENARIA DE VEDAÇÃO DE BLOCOS VAZADOS DE CERÂMICA DE 9X19X19CM (ESPESSURA 9CM), PARA EDIFICAÇÃO HABITACIONAL UNIFAMILIAR (CASA) E EDIFICAÇÃO PÚBLICA PADRÃO. AF_11/2014</v>
      </c>
      <c r="E82" s="45" t="str">
        <f>IF(B82="MP-MT",VLOOKUP(C82,'COMPOSIÇÃO DE PREÇO UNITÁRIO'!A:H,8,FALSE),VLOOKUP(C82,'SINAPI_COMPOSIÇÕES 062020'!A:C,3,FALSE))</f>
        <v>M2</v>
      </c>
      <c r="F82" s="78">
        <f>141.18+433.87</f>
        <v>575.04999999999995</v>
      </c>
      <c r="G82" s="79">
        <f>IF(B82="MP-MT",VLOOKUP(CONCATENATE("TOTAL DO ÍTEM - ",C82),'COMPOSIÇÃO DE PREÇO UNITÁRIO'!A:H,8,FALSE),VLOOKUP(C82,'SINAPI_COMPOSIÇÕES 062020'!A:D,4,FALSE))</f>
        <v>62.19</v>
      </c>
      <c r="H82" s="79">
        <f t="shared" ref="H82:H90" si="16">TRUNC(G82*(1+$F$1),2)</f>
        <v>80.459999999999994</v>
      </c>
      <c r="I82" s="79">
        <f t="shared" ref="I82:I90" si="17">TRUNC(H82*F82,2)</f>
        <v>46268.52</v>
      </c>
    </row>
    <row r="83" spans="1:9" ht="25.5" outlineLevel="2" x14ac:dyDescent="0.2">
      <c r="A83" s="77" t="s">
        <v>13309</v>
      </c>
      <c r="B83" s="77" t="s">
        <v>9</v>
      </c>
      <c r="C83" s="77">
        <v>93201</v>
      </c>
      <c r="D83" s="44" t="str">
        <f>IF(B83="MP-MT",VLOOKUP(C83,'COMPOSIÇÃO DE PREÇO UNITÁRIO'!A:B,2,FALSE),VLOOKUP(C83,'SINAPI_COMPOSIÇÕES 062020'!A:B,2,FALSE))</f>
        <v>FIXAÇÃO (ENCUNHAMENTO) DE ALVENARIA DE VEDAÇÃO COM ARGAMASSA APLICADA COM COLHER. AF_03/2016</v>
      </c>
      <c r="E83" s="45" t="str">
        <f>IF(B83="MP-MT",VLOOKUP(C83,'COMPOSIÇÃO DE PREÇO UNITÁRIO'!A:H,8,FALSE),VLOOKUP(C83,'SINAPI_COMPOSIÇÕES 062020'!A:C,3,FALSE))</f>
        <v>M</v>
      </c>
      <c r="F83" s="78">
        <v>147.16999999999999</v>
      </c>
      <c r="G83" s="79">
        <f>IF(B83="MP-MT",VLOOKUP(CONCATENATE("TOTAL DO ÍTEM - ",C83),'COMPOSIÇÃO DE PREÇO UNITÁRIO'!A:H,8,FALSE),VLOOKUP(C83,'SINAPI_COMPOSIÇÕES 062020'!A:D,4,FALSE))</f>
        <v>4.2300000000000004</v>
      </c>
      <c r="H83" s="79">
        <f t="shared" si="16"/>
        <v>5.47</v>
      </c>
      <c r="I83" s="79">
        <f t="shared" ref="I83" si="18">TRUNC(H83*F83,2)</f>
        <v>805.01</v>
      </c>
    </row>
    <row r="84" spans="1:9" ht="38.25" outlineLevel="2" x14ac:dyDescent="0.2">
      <c r="A84" s="77" t="s">
        <v>13310</v>
      </c>
      <c r="B84" s="77" t="s">
        <v>9</v>
      </c>
      <c r="C84" s="77">
        <v>79627</v>
      </c>
      <c r="D84" s="44" t="str">
        <f>IF(B84="MP-MT",VLOOKUP(C84,'COMPOSIÇÃO DE PREÇO UNITÁRIO'!A:B,2,FALSE),VLOOKUP(C84,'SINAPI_COMPOSIÇÕES 062020'!A:B,2,FALSE))</f>
        <v>DIVISORIA EM GRANITO BRANCO POLIDO, ESP = 3CM, ASSENTADO COM ARGAMASSA TRACO 1:4, ARREMATE EM CIMENTO BRANCO, EXCLUSIVE FERRAGENS</v>
      </c>
      <c r="E84" s="45" t="str">
        <f>IF(B84="MP-MT",VLOOKUP(C84,'COMPOSIÇÃO DE PREÇO UNITÁRIO'!A:H,8,FALSE),VLOOKUP(C84,'SINAPI_COMPOSIÇÕES 062020'!A:C,3,FALSE))</f>
        <v>M2</v>
      </c>
      <c r="F84" s="78">
        <v>40.71</v>
      </c>
      <c r="G84" s="79">
        <f>IF(B84="MP-MT",VLOOKUP(CONCATENATE("TOTAL DO ÍTEM - ",C84),'COMPOSIÇÃO DE PREÇO UNITÁRIO'!A:H,8,FALSE),VLOOKUP(C84,'SINAPI_COMPOSIÇÕES 062020'!A:D,4,FALSE))</f>
        <v>724.9</v>
      </c>
      <c r="H84" s="79">
        <f t="shared" si="16"/>
        <v>937.91</v>
      </c>
      <c r="I84" s="79">
        <f t="shared" si="17"/>
        <v>38182.31</v>
      </c>
    </row>
    <row r="85" spans="1:9" outlineLevel="2" x14ac:dyDescent="0.2">
      <c r="A85" s="77" t="s">
        <v>13311</v>
      </c>
      <c r="B85" s="45" t="s">
        <v>9</v>
      </c>
      <c r="C85" s="45">
        <v>93182</v>
      </c>
      <c r="D85" s="44" t="str">
        <f>IF(B85="MP-MT",VLOOKUP(C85,'COMPOSIÇÃO DE PREÇO UNITÁRIO'!A:B,2,FALSE),VLOOKUP(C85,'SINAPI_COMPOSIÇÕES 062020'!A:B,2,FALSE))</f>
        <v>VERGA PRÉ-MOLDADA PARA JANELAS COM ATÉ 1,5 M DE VÃO. AF_03/2016</v>
      </c>
      <c r="E85" s="45" t="str">
        <f>IF(B85="MP-MT",VLOOKUP(C85,'COMPOSIÇÃO DE PREÇO UNITÁRIO'!A:H,8,FALSE),VLOOKUP(C85,'SINAPI_COMPOSIÇÕES 062020'!A:C,3,FALSE))</f>
        <v>M</v>
      </c>
      <c r="F85" s="78">
        <v>30.72</v>
      </c>
      <c r="G85" s="79">
        <f>IF(B85="MP-MT",VLOOKUP(CONCATENATE("TOTAL DO ÍTEM - ",C85),'COMPOSIÇÃO DE PREÇO UNITÁRIO'!A:H,8,FALSE),VLOOKUP(C85,'SINAPI_COMPOSIÇÕES 062020'!A:D,4,FALSE))</f>
        <v>21.82</v>
      </c>
      <c r="H85" s="79">
        <f t="shared" si="16"/>
        <v>28.23</v>
      </c>
      <c r="I85" s="79">
        <f t="shared" si="17"/>
        <v>867.22</v>
      </c>
    </row>
    <row r="86" spans="1:9" ht="25.5" outlineLevel="2" x14ac:dyDescent="0.2">
      <c r="A86" s="77" t="s">
        <v>13312</v>
      </c>
      <c r="B86" s="45" t="s">
        <v>9</v>
      </c>
      <c r="C86" s="45">
        <v>93183</v>
      </c>
      <c r="D86" s="44" t="str">
        <f>IF(B86="MP-MT",VLOOKUP(C86,'COMPOSIÇÃO DE PREÇO UNITÁRIO'!A:B,2,FALSE),VLOOKUP(C86,'SINAPI_COMPOSIÇÕES 062020'!A:B,2,FALSE))</f>
        <v>VERGA PRÉ-MOLDADA PARA JANELAS COM MAIS DE 1,5 M DE VÃO. AF_03/2016</v>
      </c>
      <c r="E86" s="45" t="str">
        <f>IF(B86="MP-MT",VLOOKUP(C86,'COMPOSIÇÃO DE PREÇO UNITÁRIO'!A:H,8,FALSE),VLOOKUP(C86,'SINAPI_COMPOSIÇÕES 062020'!A:C,3,FALSE))</f>
        <v>M</v>
      </c>
      <c r="F86" s="78">
        <v>27.68</v>
      </c>
      <c r="G86" s="79">
        <f>IF(B86="MP-MT",VLOOKUP(CONCATENATE("TOTAL DO ÍTEM - ",C86),'COMPOSIÇÃO DE PREÇO UNITÁRIO'!A:H,8,FALSE),VLOOKUP(C86,'SINAPI_COMPOSIÇÕES 062020'!A:D,4,FALSE))</f>
        <v>27.56</v>
      </c>
      <c r="H86" s="79">
        <f t="shared" si="16"/>
        <v>35.65</v>
      </c>
      <c r="I86" s="79">
        <f t="shared" si="17"/>
        <v>986.79</v>
      </c>
    </row>
    <row r="87" spans="1:9" outlineLevel="2" x14ac:dyDescent="0.2">
      <c r="A87" s="77" t="s">
        <v>13313</v>
      </c>
      <c r="B87" s="45" t="s">
        <v>9</v>
      </c>
      <c r="C87" s="45">
        <v>93184</v>
      </c>
      <c r="D87" s="44" t="str">
        <f>IF(B87="MP-MT",VLOOKUP(C87,'COMPOSIÇÃO DE PREÇO UNITÁRIO'!A:B,2,FALSE),VLOOKUP(C87,'SINAPI_COMPOSIÇÕES 062020'!A:B,2,FALSE))</f>
        <v>VERGA PRÉ-MOLDADA PARA PORTAS COM ATÉ 1,5 M DE VÃO. AF_03/2016</v>
      </c>
      <c r="E87" s="45" t="str">
        <f>IF(B87="MP-MT",VLOOKUP(C87,'COMPOSIÇÃO DE PREÇO UNITÁRIO'!A:H,8,FALSE),VLOOKUP(C87,'SINAPI_COMPOSIÇÕES 062020'!A:C,3,FALSE))</f>
        <v>M</v>
      </c>
      <c r="F87" s="78">
        <v>49.28</v>
      </c>
      <c r="G87" s="79">
        <f>IF(B87="MP-MT",VLOOKUP(CONCATENATE("TOTAL DO ÍTEM - ",C87),'COMPOSIÇÃO DE PREÇO UNITÁRIO'!A:H,8,FALSE),VLOOKUP(C87,'SINAPI_COMPOSIÇÕES 062020'!A:D,4,FALSE))</f>
        <v>16.57</v>
      </c>
      <c r="H87" s="79">
        <f t="shared" si="16"/>
        <v>21.43</v>
      </c>
      <c r="I87" s="79">
        <f t="shared" si="17"/>
        <v>1056.07</v>
      </c>
    </row>
    <row r="88" spans="1:9" ht="25.5" outlineLevel="2" x14ac:dyDescent="0.2">
      <c r="A88" s="77" t="s">
        <v>13314</v>
      </c>
      <c r="B88" s="45" t="s">
        <v>9</v>
      </c>
      <c r="C88" s="45">
        <v>93185</v>
      </c>
      <c r="D88" s="44" t="str">
        <f>IF(B88="MP-MT",VLOOKUP(C88,'COMPOSIÇÃO DE PREÇO UNITÁRIO'!A:B,2,FALSE),VLOOKUP(C88,'SINAPI_COMPOSIÇÕES 062020'!A:B,2,FALSE))</f>
        <v>VERGA PRÉ-MOLDADA PARA PORTAS COM MAIS DE 1,5 M DE VÃO. AF_03/2016</v>
      </c>
      <c r="E88" s="45" t="str">
        <f>IF(B88="MP-MT",VLOOKUP(C88,'COMPOSIÇÃO DE PREÇO UNITÁRIO'!A:H,8,FALSE),VLOOKUP(C88,'SINAPI_COMPOSIÇÕES 062020'!A:C,3,FALSE))</f>
        <v>M</v>
      </c>
      <c r="F88" s="78">
        <v>7.52</v>
      </c>
      <c r="G88" s="79">
        <f>IF(B88="MP-MT",VLOOKUP(CONCATENATE("TOTAL DO ÍTEM - ",C88),'COMPOSIÇÃO DE PREÇO UNITÁRIO'!A:H,8,FALSE),VLOOKUP(C88,'SINAPI_COMPOSIÇÕES 062020'!A:D,4,FALSE))</f>
        <v>27.12</v>
      </c>
      <c r="H88" s="79">
        <f t="shared" si="16"/>
        <v>35.08</v>
      </c>
      <c r="I88" s="79">
        <f t="shared" si="17"/>
        <v>263.8</v>
      </c>
    </row>
    <row r="89" spans="1:9" ht="25.5" outlineLevel="2" x14ac:dyDescent="0.2">
      <c r="A89" s="77" t="s">
        <v>13248</v>
      </c>
      <c r="B89" s="45" t="s">
        <v>9</v>
      </c>
      <c r="C89" s="45">
        <v>93194</v>
      </c>
      <c r="D89" s="44" t="str">
        <f>IF(B89="MP-MT",VLOOKUP(C89,'COMPOSIÇÃO DE PREÇO UNITÁRIO'!A:B,2,FALSE),VLOOKUP(C89,'SINAPI_COMPOSIÇÕES 062020'!A:B,2,FALSE))</f>
        <v>CONTRAVERGA PRÉ-MOLDADA PARA VÃOS DE ATÉ 1,5 M DE COMPRIMENTO. AF_03/2016</v>
      </c>
      <c r="E89" s="45" t="str">
        <f>IF(B89="MP-MT",VLOOKUP(C89,'COMPOSIÇÃO DE PREÇO UNITÁRIO'!A:H,8,FALSE),VLOOKUP(C89,'SINAPI_COMPOSIÇÕES 062020'!A:C,3,FALSE))</f>
        <v>M</v>
      </c>
      <c r="F89" s="78">
        <v>30.72</v>
      </c>
      <c r="G89" s="79">
        <f>IF(B89="MP-MT",VLOOKUP(CONCATENATE("TOTAL DO ÍTEM - ",C89),'COMPOSIÇÃO DE PREÇO UNITÁRIO'!A:H,8,FALSE),VLOOKUP(C89,'SINAPI_COMPOSIÇÕES 062020'!A:D,4,FALSE))</f>
        <v>21.51</v>
      </c>
      <c r="H89" s="79">
        <f t="shared" si="16"/>
        <v>27.83</v>
      </c>
      <c r="I89" s="79">
        <f t="shared" si="17"/>
        <v>854.93</v>
      </c>
    </row>
    <row r="90" spans="1:9" ht="25.5" outlineLevel="2" x14ac:dyDescent="0.2">
      <c r="A90" s="77" t="s">
        <v>13315</v>
      </c>
      <c r="B90" s="45" t="s">
        <v>9</v>
      </c>
      <c r="C90" s="45">
        <v>93195</v>
      </c>
      <c r="D90" s="44" t="str">
        <f>IF(B90="MP-MT",VLOOKUP(C90,'COMPOSIÇÃO DE PREÇO UNITÁRIO'!A:B,2,FALSE),VLOOKUP(C90,'SINAPI_COMPOSIÇÕES 062020'!A:B,2,FALSE))</f>
        <v>CONTRAVERGA PRÉ-MOLDADA PARA VÃOS DE MAIS DE 1,5 M DE COMPRIMENTO. AF_03/2016</v>
      </c>
      <c r="E90" s="45" t="str">
        <f>IF(B90="MP-MT",VLOOKUP(C90,'COMPOSIÇÃO DE PREÇO UNITÁRIO'!A:H,8,FALSE),VLOOKUP(C90,'SINAPI_COMPOSIÇÕES 062020'!A:C,3,FALSE))</f>
        <v>M</v>
      </c>
      <c r="F90" s="78">
        <f>27.68+7.1</f>
        <v>34.78</v>
      </c>
      <c r="G90" s="79">
        <f>IF(B90="MP-MT",VLOOKUP(CONCATENATE("TOTAL DO ÍTEM - ",C90),'COMPOSIÇÃO DE PREÇO UNITÁRIO'!A:H,8,FALSE),VLOOKUP(C90,'SINAPI_COMPOSIÇÕES 062020'!A:D,4,FALSE))</f>
        <v>25.45</v>
      </c>
      <c r="H90" s="79">
        <f t="shared" si="16"/>
        <v>32.92</v>
      </c>
      <c r="I90" s="79">
        <f t="shared" si="17"/>
        <v>1144.95</v>
      </c>
    </row>
    <row r="91" spans="1:9" outlineLevel="1" x14ac:dyDescent="0.2">
      <c r="A91" s="76"/>
      <c r="B91" s="76"/>
      <c r="C91" s="76"/>
      <c r="D91" s="91" t="str">
        <f>CONCATENATE("TOTAL DO ITEM - ",A81)</f>
        <v>TOTAL DO ITEM - 6.0</v>
      </c>
      <c r="E91" s="76"/>
      <c r="F91" s="92"/>
      <c r="G91" s="93"/>
      <c r="H91" s="93"/>
      <c r="I91" s="93">
        <f>SUM(I82:I90)</f>
        <v>90429.599999999991</v>
      </c>
    </row>
    <row r="92" spans="1:9" outlineLevel="1" x14ac:dyDescent="0.2">
      <c r="A92" s="87" t="s">
        <v>17</v>
      </c>
      <c r="B92" s="87"/>
      <c r="C92" s="87"/>
      <c r="D92" s="88" t="s">
        <v>11936</v>
      </c>
      <c r="E92" s="87"/>
      <c r="F92" s="89"/>
      <c r="G92" s="90"/>
      <c r="H92" s="90"/>
      <c r="I92" s="90"/>
    </row>
    <row r="93" spans="1:9" ht="38.25" outlineLevel="2" x14ac:dyDescent="0.2">
      <c r="A93" s="45" t="s">
        <v>13316</v>
      </c>
      <c r="B93" s="45" t="s">
        <v>9</v>
      </c>
      <c r="C93" s="45">
        <v>94991</v>
      </c>
      <c r="D93" s="44" t="str">
        <f>IF(B93="MP-MT",VLOOKUP(C93,'COMPOSIÇÃO DE PREÇO UNITÁRIO'!A:B,2,FALSE),VLOOKUP(C93,'SINAPI_COMPOSIÇÕES 062020'!A:B,2,FALSE))</f>
        <v>EXECUÇÃO DE PASSEIO (CALÇADA) OU PISO DE CONCRETO COM CONCRETO MOLDADO IN LOCO, USINADO, ACABAMENTO CONVENCIONAL, NÃO ARMADO. AF_07/2016</v>
      </c>
      <c r="E93" s="45" t="str">
        <f>IF(B93="MP-MT",VLOOKUP(C93,'COMPOSIÇÃO DE PREÇO UNITÁRIO'!A:H,8,FALSE),VLOOKUP(C93,'SINAPI_COMPOSIÇÕES 062020'!A:C,3,FALSE))</f>
        <v>M3</v>
      </c>
      <c r="F93" s="78">
        <f>531.18*0.05</f>
        <v>26.558999999999997</v>
      </c>
      <c r="G93" s="79">
        <f>IF(B93="MP-MT",VLOOKUP(CONCATENATE("TOTAL DO ÍTEM - ",C93),'COMPOSIÇÃO DE PREÇO UNITÁRIO'!A:H,8,FALSE),VLOOKUP(C93,'SINAPI_COMPOSIÇÕES 062020'!A:D,4,FALSE))</f>
        <v>542.59</v>
      </c>
      <c r="H93" s="79">
        <f t="shared" ref="H93:H97" si="19">TRUNC(G93*(1+$F$1),2)</f>
        <v>702.03</v>
      </c>
      <c r="I93" s="79">
        <f t="shared" ref="I93:I97" si="20">TRUNC(H93*F93,2)</f>
        <v>18645.21</v>
      </c>
    </row>
    <row r="94" spans="1:9" ht="38.25" outlineLevel="2" x14ac:dyDescent="0.2">
      <c r="A94" s="45" t="s">
        <v>13317</v>
      </c>
      <c r="B94" s="45" t="s">
        <v>9</v>
      </c>
      <c r="C94" s="45">
        <v>87735</v>
      </c>
      <c r="D94" s="44" t="str">
        <f>IF(B94="MP-MT",VLOOKUP(C94,'COMPOSIÇÃO DE PREÇO UNITÁRIO'!A:B,2,FALSE),VLOOKUP(C94,'SINAPI_COMPOSIÇÕES 062020'!A:B,2,FALSE))</f>
        <v>CONTRAPISO EM ARGAMASSA TRAÇO 1:4 (CIMENTO E AREIA), PREPARO MECÂNICO COM BETONEIRA 400 L, APLICADO EM ÁREAS MOLHADAS SOBRE LAJE, ADERIDO, ESPESSURA 2CM. AF_06/2014</v>
      </c>
      <c r="E94" s="45" t="str">
        <f>IF(B94="MP-MT",VLOOKUP(C94,'COMPOSIÇÃO DE PREÇO UNITÁRIO'!A:H,8,FALSE),VLOOKUP(C94,'SINAPI_COMPOSIÇÕES 062020'!A:C,3,FALSE))</f>
        <v>M2</v>
      </c>
      <c r="F94" s="78">
        <v>53.74</v>
      </c>
      <c r="G94" s="79">
        <f>IF(B94="MP-MT",VLOOKUP(CONCATENATE("TOTAL DO ÍTEM - ",C94),'COMPOSIÇÃO DE PREÇO UNITÁRIO'!A:H,8,FALSE),VLOOKUP(C94,'SINAPI_COMPOSIÇÕES 062020'!A:D,4,FALSE))</f>
        <v>29.94</v>
      </c>
      <c r="H94" s="79">
        <f t="shared" si="19"/>
        <v>38.729999999999997</v>
      </c>
      <c r="I94" s="79">
        <f t="shared" si="20"/>
        <v>2081.35</v>
      </c>
    </row>
    <row r="95" spans="1:9" ht="38.25" outlineLevel="2" x14ac:dyDescent="0.2">
      <c r="A95" s="45" t="s">
        <v>13318</v>
      </c>
      <c r="B95" s="45" t="s">
        <v>9</v>
      </c>
      <c r="C95" s="45">
        <v>87745</v>
      </c>
      <c r="D95" s="44" t="str">
        <f>IF(B95="MP-MT",VLOOKUP(C95,'COMPOSIÇÃO DE PREÇO UNITÁRIO'!A:B,2,FALSE),VLOOKUP(C95,'SINAPI_COMPOSIÇÕES 062020'!A:B,2,FALSE))</f>
        <v>CONTRAPISO EM ARGAMASSA TRAÇO 1:4 (CIMENTO E AREIA), PREPARO MECÂNICO COM BETONEIRA 400 L, APLICADO EM ÁREAS MOLHADAS SOBRE LAJE, ADERIDO, ESPESSURA 3CM. AF_06/2014</v>
      </c>
      <c r="E95" s="45" t="str">
        <f>IF(B95="MP-MT",VLOOKUP(C95,'COMPOSIÇÃO DE PREÇO UNITÁRIO'!A:H,8,FALSE),VLOOKUP(C95,'SINAPI_COMPOSIÇÕES 062020'!A:C,3,FALSE))</f>
        <v>M2</v>
      </c>
      <c r="F95" s="78">
        <v>52.87</v>
      </c>
      <c r="G95" s="79">
        <f>IF(B95="MP-MT",VLOOKUP(CONCATENATE("TOTAL DO ÍTEM - ",C95),'COMPOSIÇÃO DE PREÇO UNITÁRIO'!A:H,8,FALSE),VLOOKUP(C95,'SINAPI_COMPOSIÇÕES 062020'!A:D,4,FALSE))</f>
        <v>35.479999999999997</v>
      </c>
      <c r="H95" s="79">
        <f t="shared" si="19"/>
        <v>45.9</v>
      </c>
      <c r="I95" s="79">
        <f t="shared" si="20"/>
        <v>2426.73</v>
      </c>
    </row>
    <row r="96" spans="1:9" ht="38.25" outlineLevel="2" x14ac:dyDescent="0.2">
      <c r="A96" s="45" t="s">
        <v>13319</v>
      </c>
      <c r="B96" s="45" t="s">
        <v>9</v>
      </c>
      <c r="C96" s="45">
        <v>87640</v>
      </c>
      <c r="D96" s="44" t="str">
        <f>IF(B96="MP-MT",VLOOKUP(C96,'COMPOSIÇÃO DE PREÇO UNITÁRIO'!A:B,2,FALSE),VLOOKUP(C96,'SINAPI_COMPOSIÇÕES 062020'!A:B,2,FALSE))</f>
        <v>CONTRAPISO EM ARGAMASSA TRAÇO 1:4 (CIMENTO E AREIA), PREPARO MECÂNICO COM BETONEIRA 400 L, APLICADO EM ÁREAS SECAS SOBRE LAJE, ADERIDO, ESPESSURA 4CM. AF_06/2014</v>
      </c>
      <c r="E96" s="45" t="str">
        <f>IF(B96="MP-MT",VLOOKUP(C96,'COMPOSIÇÃO DE PREÇO UNITÁRIO'!A:H,8,FALSE),VLOOKUP(C96,'SINAPI_COMPOSIÇÕES 062020'!A:C,3,FALSE))</f>
        <v>M2</v>
      </c>
      <c r="F96" s="78">
        <v>446.71</v>
      </c>
      <c r="G96" s="79">
        <f>IF(B96="MP-MT",VLOOKUP(CONCATENATE("TOTAL DO ÍTEM - ",C96),'COMPOSIÇÃO DE PREÇO UNITÁRIO'!A:H,8,FALSE),VLOOKUP(C96,'SINAPI_COMPOSIÇÕES 062020'!A:D,4,FALSE))</f>
        <v>32.47</v>
      </c>
      <c r="H96" s="79">
        <f t="shared" si="19"/>
        <v>42.01</v>
      </c>
      <c r="I96" s="79">
        <f t="shared" si="20"/>
        <v>18766.28</v>
      </c>
    </row>
    <row r="97" spans="1:9" ht="25.5" outlineLevel="2" x14ac:dyDescent="0.2">
      <c r="A97" s="45" t="s">
        <v>13320</v>
      </c>
      <c r="B97" s="45" t="s">
        <v>9</v>
      </c>
      <c r="C97" s="45">
        <v>98557</v>
      </c>
      <c r="D97" s="44" t="str">
        <f>IF(B97="MP-MT",VLOOKUP(C97,'COMPOSIÇÃO DE PREÇO UNITÁRIO'!A:B,2,FALSE),VLOOKUP(C97,'SINAPI_COMPOSIÇÕES 062020'!A:B,2,FALSE))</f>
        <v>IMPERMEABILIZAÇÃO DE SUPERFÍCIE COM EMULSÃO ASFÁLTICA, 2 DEMÃOS AF_06/2018</v>
      </c>
      <c r="E97" s="45" t="str">
        <f>IF(B97="MP-MT",VLOOKUP(C97,'COMPOSIÇÃO DE PREÇO UNITÁRIO'!A:H,8,FALSE),VLOOKUP(C97,'SINAPI_COMPOSIÇÕES 062020'!A:C,3,FALSE))</f>
        <v>M2</v>
      </c>
      <c r="F97" s="78">
        <v>77.739999999999995</v>
      </c>
      <c r="G97" s="79">
        <f>IF(B97="MP-MT",VLOOKUP(CONCATENATE("TOTAL DO ÍTEM - ",C97),'COMPOSIÇÃO DE PREÇO UNITÁRIO'!A:H,8,FALSE),VLOOKUP(C97,'SINAPI_COMPOSIÇÕES 062020'!A:D,4,FALSE))</f>
        <v>23.61</v>
      </c>
      <c r="H97" s="79">
        <f t="shared" si="19"/>
        <v>30.54</v>
      </c>
      <c r="I97" s="79">
        <f t="shared" si="20"/>
        <v>2374.17</v>
      </c>
    </row>
    <row r="98" spans="1:9" outlineLevel="1" x14ac:dyDescent="0.2">
      <c r="A98" s="76"/>
      <c r="B98" s="76"/>
      <c r="C98" s="76"/>
      <c r="D98" s="91" t="str">
        <f>CONCATENATE("TOTAL DO ITEM - ",A92)</f>
        <v>TOTAL DO ITEM - 7.0</v>
      </c>
      <c r="E98" s="76"/>
      <c r="F98" s="92"/>
      <c r="G98" s="93"/>
      <c r="H98" s="93"/>
      <c r="I98" s="93">
        <f>SUM(I93:I97)</f>
        <v>44293.739999999991</v>
      </c>
    </row>
    <row r="99" spans="1:9" outlineLevel="1" x14ac:dyDescent="0.2">
      <c r="A99" s="87" t="s">
        <v>18</v>
      </c>
      <c r="B99" s="87"/>
      <c r="C99" s="87"/>
      <c r="D99" s="88" t="s">
        <v>15</v>
      </c>
      <c r="E99" s="87"/>
      <c r="F99" s="89"/>
      <c r="G99" s="90"/>
      <c r="H99" s="90"/>
      <c r="I99" s="90"/>
    </row>
    <row r="100" spans="1:9" ht="25.5" outlineLevel="2" x14ac:dyDescent="0.2">
      <c r="A100" s="45" t="s">
        <v>13321</v>
      </c>
      <c r="B100" s="45" t="s">
        <v>194</v>
      </c>
      <c r="C100" s="45" t="s">
        <v>12185</v>
      </c>
      <c r="D100" s="44" t="str">
        <f>IF(B100="MP-MT",VLOOKUP(C100,'COMPOSIÇÃO DE PREÇO UNITÁRIO'!A:B,2,FALSE),VLOOKUP(C100,'SINAPI_COMPOSIÇÕES 062020'!A:B,2,FALSE))</f>
        <v>FABRICAÇÃO E INSTALAÇÃO DE TESOURA EM AÇO, VÃOS MAIORES QUE 6,0M E MENORES QUE 12,0M, INCLUSO IÇAMENTO</v>
      </c>
      <c r="E100" s="45" t="str">
        <f>IF(B100="MP-MT",VLOOKUP(C100,'COMPOSIÇÃO DE PREÇO UNITÁRIO'!A:H,8,FALSE),VLOOKUP(C100,'SINAPI_COMPOSIÇÕES 062020'!A:C,3,FALSE))</f>
        <v>KG</v>
      </c>
      <c r="F100" s="78">
        <v>2323.92</v>
      </c>
      <c r="G100" s="79">
        <f>IF(B100="MP-MT",VLOOKUP(CONCATENATE("TOTAL DO ÍTEM - ",C100),'COMPOSIÇÃO DE PREÇO UNITÁRIO'!A:H,8,FALSE),VLOOKUP(C100,'SINAPI_COMPOSIÇÕES 062020'!A:D,4,FALSE))</f>
        <v>6.32</v>
      </c>
      <c r="H100" s="79">
        <f t="shared" ref="H100:H115" si="21">TRUNC(G100*(1+$F$1),2)</f>
        <v>8.17</v>
      </c>
      <c r="I100" s="79">
        <f t="shared" ref="I100:I115" si="22">TRUNC(H100*F100,2)</f>
        <v>18986.419999999998</v>
      </c>
    </row>
    <row r="101" spans="1:9" ht="38.25" outlineLevel="2" x14ac:dyDescent="0.2">
      <c r="A101" s="45" t="s">
        <v>13323</v>
      </c>
      <c r="B101" s="77" t="s">
        <v>194</v>
      </c>
      <c r="C101" s="77" t="s">
        <v>12193</v>
      </c>
      <c r="D101" s="44" t="str">
        <f>IF(B101="MP-MT",VLOOKUP(C101,'COMPOSIÇÃO DE PREÇO UNITÁRIO'!A:B,2,FALSE),VLOOKUP(C101,'SINAPI_COMPOSIÇÕES 062020'!A:B,2,FALSE))</f>
        <v>TRAMA DE AÇO COMPOSTA POR TERÇAS PARA TELHADOS DE ATÉ 2 ÁGUAS, COM SUPORTE PARA CALHAS, PARA TELHA ONDULADA DE FIBROCIMENTO, METÁLICA, PLÁSTICA OU TERMOACÚSTICA, INCLUSO TRANSPORTE VERTICAL</v>
      </c>
      <c r="E101" s="45" t="str">
        <f>IF(B101="MP-MT",VLOOKUP(C101,'COMPOSIÇÃO DE PREÇO UNITÁRIO'!A:H,8,FALSE),VLOOKUP(C101,'SINAPI_COMPOSIÇÕES 062020'!A:C,3,FALSE))</f>
        <v>M2</v>
      </c>
      <c r="F101" s="78">
        <f>526.91+19.6</f>
        <v>546.51</v>
      </c>
      <c r="G101" s="79">
        <f>IF(B101="MP-MT",VLOOKUP(CONCATENATE("TOTAL DO ÍTEM - ",C101),'COMPOSIÇÃO DE PREÇO UNITÁRIO'!A:H,8,FALSE),VLOOKUP(C101,'SINAPI_COMPOSIÇÕES 062020'!A:D,4,FALSE))</f>
        <v>27.92</v>
      </c>
      <c r="H101" s="79">
        <f t="shared" si="21"/>
        <v>36.119999999999997</v>
      </c>
      <c r="I101" s="79">
        <f t="shared" si="22"/>
        <v>19739.939999999999</v>
      </c>
    </row>
    <row r="102" spans="1:9" ht="38.25" outlineLevel="2" x14ac:dyDescent="0.2">
      <c r="A102" s="45" t="s">
        <v>13324</v>
      </c>
      <c r="B102" s="77" t="s">
        <v>194</v>
      </c>
      <c r="C102" s="77" t="s">
        <v>12189</v>
      </c>
      <c r="D102" s="44" t="str">
        <f>IF(B102="MP-MT",VLOOKUP(C102,'COMPOSIÇÃO DE PREÇO UNITÁRIO'!A:B,2,FALSE),VLOOKUP(C102,'SINAPI_COMPOSIÇÕES 062020'!A:B,2,FALSE))</f>
        <v>TRAMA DE AÇO COMPOSTA POR PERFIS QUADRADO PARA COBERTURA PARA TELHA ONDULADA DE FIBROCIMENTO, METÁLICA, PLÁSTICA OU TERMOACÚSTICA, INCLUSO TRANSPORTE VERTICAL</v>
      </c>
      <c r="E102" s="45" t="str">
        <f>IF(B102="MP-MT",VLOOKUP(C102,'COMPOSIÇÃO DE PREÇO UNITÁRIO'!A:H,8,FALSE),VLOOKUP(C102,'SINAPI_COMPOSIÇÕES 062020'!A:C,3,FALSE))</f>
        <v>M2</v>
      </c>
      <c r="F102" s="78">
        <v>18.05</v>
      </c>
      <c r="G102" s="79">
        <f>IF(B102="MP-MT",VLOOKUP(CONCATENATE("TOTAL DO ÍTEM - ",C102),'COMPOSIÇÃO DE PREÇO UNITÁRIO'!A:H,8,FALSE),VLOOKUP(C102,'SINAPI_COMPOSIÇÕES 062020'!A:D,4,FALSE))</f>
        <v>97.91</v>
      </c>
      <c r="H102" s="79">
        <f t="shared" si="21"/>
        <v>126.68</v>
      </c>
      <c r="I102" s="79">
        <f t="shared" si="22"/>
        <v>2286.5700000000002</v>
      </c>
    </row>
    <row r="103" spans="1:9" ht="38.25" outlineLevel="2" x14ac:dyDescent="0.2">
      <c r="A103" s="45" t="s">
        <v>13325</v>
      </c>
      <c r="B103" s="77" t="s">
        <v>9</v>
      </c>
      <c r="C103" s="45">
        <v>100719</v>
      </c>
      <c r="D103" s="44" t="str">
        <f>IF(B103="MP-MT",VLOOKUP(C103,'COMPOSIÇÃO DE PREÇO UNITÁRIO'!A:B,2,FALSE),VLOOKUP(C103,'SINAPI_COMPOSIÇÕES 062020'!A:B,2,FALSE))</f>
        <v>PINTURA COM TINTA ALQUÍDICA DE FUNDO (TIPO ZARCÃO) PULVERIZADA SOBRE PERFIL METÁLICO EXECUTADO EM FÁBRICA (POR DEMÃO). AF_01/2020</v>
      </c>
      <c r="E103" s="45" t="str">
        <f>IF(B103="MP-MT",VLOOKUP(C103,'COMPOSIÇÃO DE PREÇO UNITÁRIO'!A:H,8,FALSE),VLOOKUP(C103,'SINAPI_COMPOSIÇÕES 062020'!A:C,3,FALSE))</f>
        <v>M2</v>
      </c>
      <c r="F103" s="78">
        <f>239.65+162.22</f>
        <v>401.87</v>
      </c>
      <c r="G103" s="79">
        <f>IF(B103="MP-MT",VLOOKUP(CONCATENATE("TOTAL DO ÍTEM - ",C103),'COMPOSIÇÃO DE PREÇO UNITÁRIO'!A:H,8,FALSE),VLOOKUP(C103,'SINAPI_COMPOSIÇÕES 062020'!A:D,4,FALSE))</f>
        <v>7.2</v>
      </c>
      <c r="H103" s="79">
        <f t="shared" si="21"/>
        <v>9.31</v>
      </c>
      <c r="I103" s="79">
        <f t="shared" si="22"/>
        <v>3741.4</v>
      </c>
    </row>
    <row r="104" spans="1:9" ht="38.25" outlineLevel="2" x14ac:dyDescent="0.2">
      <c r="A104" s="45" t="s">
        <v>13326</v>
      </c>
      <c r="B104" s="77" t="s">
        <v>9</v>
      </c>
      <c r="C104" s="45">
        <v>100725</v>
      </c>
      <c r="D104" s="44" t="str">
        <f>IF(B104="MP-MT",VLOOKUP(C104,'COMPOSIÇÃO DE PREÇO UNITÁRIO'!A:B,2,FALSE),VLOOKUP(C104,'SINAPI_COMPOSIÇÕES 062020'!A:B,2,FALSE))</f>
        <v>PINTURA COM TINTA ALQUÍDICA DE FUNDO E ACABAMENTO (ESMALTE SINTÉTICO GRAFITE) PULVERIZADA SOBRE SUPERFÍCIES METÁLICAS (EXCETO PERFIL) EXECUTADO EM OBRA (POR DEMÃO). AF_01/2020</v>
      </c>
      <c r="E104" s="45" t="str">
        <f>IF(B104="MP-MT",VLOOKUP(C104,'COMPOSIÇÃO DE PREÇO UNITÁRIO'!A:H,8,FALSE),VLOOKUP(C104,'SINAPI_COMPOSIÇÕES 062020'!A:C,3,FALSE))</f>
        <v>M2</v>
      </c>
      <c r="F104" s="78">
        <v>18.16</v>
      </c>
      <c r="G104" s="79">
        <f>IF(B104="MP-MT",VLOOKUP(CONCATENATE("TOTAL DO ÍTEM - ",C104),'COMPOSIÇÃO DE PREÇO UNITÁRIO'!A:H,8,FALSE),VLOOKUP(C104,'SINAPI_COMPOSIÇÕES 062020'!A:D,4,FALSE))</f>
        <v>16.059999999999999</v>
      </c>
      <c r="H104" s="79">
        <f t="shared" si="21"/>
        <v>20.77</v>
      </c>
      <c r="I104" s="79">
        <f t="shared" si="22"/>
        <v>377.18</v>
      </c>
    </row>
    <row r="105" spans="1:9" ht="25.5" outlineLevel="2" x14ac:dyDescent="0.2">
      <c r="A105" s="45" t="s">
        <v>13307</v>
      </c>
      <c r="B105" s="77" t="s">
        <v>194</v>
      </c>
      <c r="C105" s="45" t="s">
        <v>12196</v>
      </c>
      <c r="D105" s="44" t="str">
        <f>IF(B105="MP-MT",VLOOKUP(C105,'COMPOSIÇÃO DE PREÇO UNITÁRIO'!A:B,2,FALSE),VLOOKUP(C105,'SINAPI_COMPOSIÇÕES 062020'!A:B,2,FALSE))</f>
        <v>TELHAMENTO COM TELHA METÁLICA TERMOACÚSTICA E = 50 MM, COM ATÉ 2 ÁGUAS, INCLUSO IÇAMENTO</v>
      </c>
      <c r="E105" s="45" t="str">
        <f>IF(B105="MP-MT",VLOOKUP(C105,'COMPOSIÇÃO DE PREÇO UNITÁRIO'!A:H,8,FALSE),VLOOKUP(C105,'SINAPI_COMPOSIÇÕES 062020'!A:C,3,FALSE))</f>
        <v>M2</v>
      </c>
      <c r="F105" s="78">
        <v>533.77</v>
      </c>
      <c r="G105" s="79">
        <f>IF(B105="MP-MT",VLOOKUP(CONCATENATE("TOTAL DO ÍTEM - ",C105),'COMPOSIÇÃO DE PREÇO UNITÁRIO'!A:H,8,FALSE),VLOOKUP(C105,'SINAPI_COMPOSIÇÕES 062020'!A:D,4,FALSE))</f>
        <v>118.63</v>
      </c>
      <c r="H105" s="79">
        <f t="shared" si="21"/>
        <v>153.47999999999999</v>
      </c>
      <c r="I105" s="79">
        <f t="shared" si="22"/>
        <v>81923.009999999995</v>
      </c>
    </row>
    <row r="106" spans="1:9" ht="25.5" outlineLevel="2" x14ac:dyDescent="0.2">
      <c r="A106" s="45" t="s">
        <v>13327</v>
      </c>
      <c r="B106" s="77" t="s">
        <v>194</v>
      </c>
      <c r="C106" s="45" t="s">
        <v>12200</v>
      </c>
      <c r="D106" s="44" t="str">
        <f>IF(B106="MP-MT",VLOOKUP(C106,'COMPOSIÇÃO DE PREÇO UNITÁRIO'!A:B,2,FALSE),VLOOKUP(C106,'SINAPI_COMPOSIÇÕES 062020'!A:B,2,FALSE))</f>
        <v>CUMEEIRA METALICA, TRAPEZOIDAL, ESP. 0,43MM, PARA TELHA TERMOACUSTICA</v>
      </c>
      <c r="E106" s="45" t="str">
        <f>IF(B106="MP-MT",VLOOKUP(C106,'COMPOSIÇÃO DE PREÇO UNITÁRIO'!A:H,8,FALSE),VLOOKUP(C106,'SINAPI_COMPOSIÇÕES 062020'!A:C,3,FALSE))</f>
        <v>M</v>
      </c>
      <c r="F106" s="78">
        <v>29.3</v>
      </c>
      <c r="G106" s="79">
        <f>IF(B106="MP-MT",VLOOKUP(CONCATENATE("TOTAL DO ÍTEM - ",C106),'COMPOSIÇÃO DE PREÇO UNITÁRIO'!A:H,8,FALSE),VLOOKUP(C106,'SINAPI_COMPOSIÇÕES 062020'!A:D,4,FALSE))</f>
        <v>27.16</v>
      </c>
      <c r="H106" s="79">
        <f t="shared" si="21"/>
        <v>35.14</v>
      </c>
      <c r="I106" s="79">
        <f t="shared" si="22"/>
        <v>1029.5999999999999</v>
      </c>
    </row>
    <row r="107" spans="1:9" ht="25.5" outlineLevel="2" x14ac:dyDescent="0.2">
      <c r="A107" s="45" t="s">
        <v>13243</v>
      </c>
      <c r="B107" s="77" t="s">
        <v>194</v>
      </c>
      <c r="C107" s="45" t="s">
        <v>12937</v>
      </c>
      <c r="D107" s="44" t="str">
        <f>IF(B107="MP-MT",VLOOKUP(C107,'COMPOSIÇÃO DE PREÇO UNITÁRIO'!A:B,2,FALSE),VLOOKUP(C107,'SINAPI_COMPOSIÇÕES 062020'!A:B,2,FALSE))</f>
        <v>IMPERMEABILIZAÇÃO COM PINTURA A BASE DE COPOLÍMERO ACRÍLICO, DUAS DEMÃOS, REF. VEDAPREN PAREDE OU EQUIVALENTE</v>
      </c>
      <c r="E107" s="45" t="str">
        <f>IF(B107="MP-MT",VLOOKUP(C107,'COMPOSIÇÃO DE PREÇO UNITÁRIO'!A:H,8,FALSE),VLOOKUP(C107,'SINAPI_COMPOSIÇÕES 062020'!A:C,3,FALSE))</f>
        <v>M2</v>
      </c>
      <c r="F107" s="78">
        <v>168.35</v>
      </c>
      <c r="G107" s="79">
        <f>IF(B107="MP-MT",VLOOKUP(CONCATENATE("TOTAL DO ÍTEM - ",C107),'COMPOSIÇÃO DE PREÇO UNITÁRIO'!A:H,8,FALSE),VLOOKUP(C107,'SINAPI_COMPOSIÇÕES 062020'!A:D,4,FALSE))</f>
        <v>12.55</v>
      </c>
      <c r="H107" s="79">
        <f t="shared" ref="H107" si="23">TRUNC(G107*(1+$F$1),2)</f>
        <v>16.23</v>
      </c>
      <c r="I107" s="79">
        <f t="shared" ref="I107" si="24">TRUNC(H107*F107,2)</f>
        <v>2732.32</v>
      </c>
    </row>
    <row r="108" spans="1:9" ht="25.5" outlineLevel="2" x14ac:dyDescent="0.2">
      <c r="A108" s="45" t="s">
        <v>13308</v>
      </c>
      <c r="B108" s="77" t="s">
        <v>9</v>
      </c>
      <c r="C108" s="45">
        <v>73665</v>
      </c>
      <c r="D108" s="44" t="str">
        <f>IF(B108="MP-MT",VLOOKUP(C108,'COMPOSIÇÃO DE PREÇO UNITÁRIO'!A:B,2,FALSE),VLOOKUP(C108,'SINAPI_COMPOSIÇÕES 062020'!A:B,2,FALSE))</f>
        <v>ESCADA TIPO MARINHEIRO EM ACO CA-50 9,52MM INCLUSO PINTURA COM FUNDO ANTICORROSIVO TIPO ZARCAO</v>
      </c>
      <c r="E108" s="45" t="str">
        <f>IF(B108="MP-MT",VLOOKUP(C108,'COMPOSIÇÃO DE PREÇO UNITÁRIO'!A:H,8,FALSE),VLOOKUP(C108,'SINAPI_COMPOSIÇÕES 062020'!A:C,3,FALSE))</f>
        <v>M</v>
      </c>
      <c r="F108" s="78">
        <v>4</v>
      </c>
      <c r="G108" s="79">
        <f>IF(B108="MP-MT",VLOOKUP(CONCATENATE("TOTAL DO ÍTEM - ",C108),'COMPOSIÇÃO DE PREÇO UNITÁRIO'!A:H,8,FALSE),VLOOKUP(C108,'SINAPI_COMPOSIÇÕES 062020'!A:D,4,FALSE))</f>
        <v>58.62</v>
      </c>
      <c r="H108" s="79">
        <f t="shared" ref="H108" si="25">TRUNC(G108*(1+$F$1),2)</f>
        <v>75.84</v>
      </c>
      <c r="I108" s="79">
        <f t="shared" ref="I108" si="26">TRUNC(H108*F108,2)</f>
        <v>303.36</v>
      </c>
    </row>
    <row r="109" spans="1:9" ht="25.5" outlineLevel="2" x14ac:dyDescent="0.2">
      <c r="A109" s="45" t="s">
        <v>13328</v>
      </c>
      <c r="B109" s="77" t="s">
        <v>194</v>
      </c>
      <c r="C109" s="45" t="s">
        <v>12217</v>
      </c>
      <c r="D109" s="44" t="str">
        <f>IF(B109="MP-MT",VLOOKUP(C109,'COMPOSIÇÃO DE PREÇO UNITÁRIO'!A:B,2,FALSE),VLOOKUP(C109,'SINAPI_COMPOSIÇÕES 062020'!A:B,2,FALSE))</f>
        <v>CALHA EM CHAPA DE AÇO GALVANIZADO, NUM. 24, DIMENSÕES 30x20CM, COM DESENVOLVIMENTO DE 75CM</v>
      </c>
      <c r="E109" s="45" t="str">
        <f>IF(B109="MP-MT",VLOOKUP(C109,'COMPOSIÇÃO DE PREÇO UNITÁRIO'!A:H,8,FALSE),VLOOKUP(C109,'SINAPI_COMPOSIÇÕES 062020'!A:C,3,FALSE))</f>
        <v>M</v>
      </c>
      <c r="F109" s="78">
        <v>14.12</v>
      </c>
      <c r="G109" s="79">
        <f>IF(B109="MP-MT",VLOOKUP(CONCATENATE("TOTAL DO ÍTEM - ",C109),'COMPOSIÇÃO DE PREÇO UNITÁRIO'!A:H,8,FALSE),VLOOKUP(C109,'SINAPI_COMPOSIÇÕES 062020'!A:D,4,FALSE))</f>
        <v>72.41</v>
      </c>
      <c r="H109" s="79">
        <f t="shared" si="21"/>
        <v>93.68</v>
      </c>
      <c r="I109" s="79">
        <f t="shared" si="22"/>
        <v>1322.76</v>
      </c>
    </row>
    <row r="110" spans="1:9" ht="25.5" outlineLevel="2" x14ac:dyDescent="0.2">
      <c r="A110" s="45" t="s">
        <v>13329</v>
      </c>
      <c r="B110" s="77" t="s">
        <v>194</v>
      </c>
      <c r="C110" s="45" t="s">
        <v>12220</v>
      </c>
      <c r="D110" s="44" t="str">
        <f>IF(B110="MP-MT",VLOOKUP(C110,'COMPOSIÇÃO DE PREÇO UNITÁRIO'!A:B,2,FALSE),VLOOKUP(C110,'SINAPI_COMPOSIÇÕES 062020'!A:B,2,FALSE))</f>
        <v>CALHA EM CHAPA DE AÇO GALVANIZADO, NUM. 24, DIMENSÕES 40x20CM, COM DESENVOLVIMENTO DE 85CM</v>
      </c>
      <c r="E110" s="45" t="str">
        <f>IF(B110="MP-MT",VLOOKUP(C110,'COMPOSIÇÃO DE PREÇO UNITÁRIO'!A:H,8,FALSE),VLOOKUP(C110,'SINAPI_COMPOSIÇÕES 062020'!A:C,3,FALSE))</f>
        <v>M</v>
      </c>
      <c r="F110" s="78">
        <v>102</v>
      </c>
      <c r="G110" s="79">
        <f>IF(B110="MP-MT",VLOOKUP(CONCATENATE("TOTAL DO ÍTEM - ",C110),'COMPOSIÇÃO DE PREÇO UNITÁRIO'!A:H,8,FALSE),VLOOKUP(C110,'SINAPI_COMPOSIÇÕES 062020'!A:D,4,FALSE))</f>
        <v>73.459999999999994</v>
      </c>
      <c r="H110" s="79">
        <f t="shared" si="21"/>
        <v>95.04</v>
      </c>
      <c r="I110" s="79">
        <f t="shared" si="22"/>
        <v>9694.08</v>
      </c>
    </row>
    <row r="111" spans="1:9" ht="25.5" outlineLevel="2" x14ac:dyDescent="0.2">
      <c r="A111" s="45" t="s">
        <v>13330</v>
      </c>
      <c r="B111" s="77" t="s">
        <v>194</v>
      </c>
      <c r="C111" s="45" t="s">
        <v>12223</v>
      </c>
      <c r="D111" s="44" t="str">
        <f>IF(B111="MP-MT",VLOOKUP(C111,'COMPOSIÇÃO DE PREÇO UNITÁRIO'!A:B,2,FALSE),VLOOKUP(C111,'SINAPI_COMPOSIÇÕES 062020'!A:B,2,FALSE))</f>
        <v>PINGADEIRA EM CHAPA DE AÇO GALVANIZADO, APLICADO SOB ALVENARIA, DESENVOLVIMENTO 25CM</v>
      </c>
      <c r="E111" s="45" t="str">
        <f>IF(B111="MP-MT",VLOOKUP(C111,'COMPOSIÇÃO DE PREÇO UNITÁRIO'!A:H,8,FALSE),VLOOKUP(C111,'SINAPI_COMPOSIÇÕES 062020'!A:C,3,FALSE))</f>
        <v>M</v>
      </c>
      <c r="F111" s="78">
        <v>235.16</v>
      </c>
      <c r="G111" s="79">
        <f>IF(B111="MP-MT",VLOOKUP(CONCATENATE("TOTAL DO ÍTEM - ",C111),'COMPOSIÇÃO DE PREÇO UNITÁRIO'!A:H,8,FALSE),VLOOKUP(C111,'SINAPI_COMPOSIÇÕES 062020'!A:D,4,FALSE))</f>
        <v>35.619999999999997</v>
      </c>
      <c r="H111" s="79">
        <f t="shared" si="21"/>
        <v>46.08</v>
      </c>
      <c r="I111" s="79">
        <f t="shared" si="22"/>
        <v>10836.17</v>
      </c>
    </row>
    <row r="112" spans="1:9" ht="25.5" outlineLevel="2" x14ac:dyDescent="0.2">
      <c r="A112" s="45" t="s">
        <v>13331</v>
      </c>
      <c r="B112" s="77" t="s">
        <v>194</v>
      </c>
      <c r="C112" s="45" t="s">
        <v>12227</v>
      </c>
      <c r="D112" s="44" t="str">
        <f>IF(B112="MP-MT",VLOOKUP(C112,'COMPOSIÇÃO DE PREÇO UNITÁRIO'!A:B,2,FALSE),VLOOKUP(C112,'SINAPI_COMPOSIÇÕES 062020'!A:B,2,FALSE))</f>
        <v>PINGADEIRA EM CHAPA DE AÇO GALVANIZADO, APLICADO SOB ALVENARIA, DESENVOLVIMENTO 27,5CM</v>
      </c>
      <c r="E112" s="45" t="str">
        <f>IF(B112="MP-MT",VLOOKUP(C112,'COMPOSIÇÃO DE PREÇO UNITÁRIO'!A:H,8,FALSE),VLOOKUP(C112,'SINAPI_COMPOSIÇÕES 062020'!A:C,3,FALSE))</f>
        <v>M</v>
      </c>
      <c r="F112" s="78">
        <v>6.7</v>
      </c>
      <c r="G112" s="79">
        <f>IF(B112="MP-MT",VLOOKUP(CONCATENATE("TOTAL DO ÍTEM - ",C112),'COMPOSIÇÃO DE PREÇO UNITÁRIO'!A:H,8,FALSE),VLOOKUP(C112,'SINAPI_COMPOSIÇÕES 062020'!A:D,4,FALSE))</f>
        <v>35.89</v>
      </c>
      <c r="H112" s="79">
        <f t="shared" si="21"/>
        <v>46.43</v>
      </c>
      <c r="I112" s="79">
        <f t="shared" si="22"/>
        <v>311.08</v>
      </c>
    </row>
    <row r="113" spans="1:9" ht="25.5" outlineLevel="2" x14ac:dyDescent="0.2">
      <c r="A113" s="45" t="s">
        <v>13332</v>
      </c>
      <c r="B113" s="77" t="s">
        <v>194</v>
      </c>
      <c r="C113" s="45" t="s">
        <v>12229</v>
      </c>
      <c r="D113" s="44" t="str">
        <f>IF(B113="MP-MT",VLOOKUP(C113,'COMPOSIÇÃO DE PREÇO UNITÁRIO'!A:B,2,FALSE),VLOOKUP(C113,'SINAPI_COMPOSIÇÕES 062020'!A:B,2,FALSE))</f>
        <v>PINGADEIRA EM CHAPA DE AÇO GALVANIZADO, APLICADO SOB ALVENARIA, DESENVOLVIMENTO 33CM</v>
      </c>
      <c r="E113" s="45" t="str">
        <f>IF(B113="MP-MT",VLOOKUP(C113,'COMPOSIÇÃO DE PREÇO UNITÁRIO'!A:H,8,FALSE),VLOOKUP(C113,'SINAPI_COMPOSIÇÕES 062020'!A:C,3,FALSE))</f>
        <v>M</v>
      </c>
      <c r="F113" s="78">
        <v>8</v>
      </c>
      <c r="G113" s="79">
        <f>IF(B113="MP-MT",VLOOKUP(CONCATENATE("TOTAL DO ÍTEM - ",C113),'COMPOSIÇÃO DE PREÇO UNITÁRIO'!A:H,8,FALSE),VLOOKUP(C113,'SINAPI_COMPOSIÇÕES 062020'!A:D,4,FALSE))</f>
        <v>36.5</v>
      </c>
      <c r="H113" s="79">
        <f t="shared" si="21"/>
        <v>47.22</v>
      </c>
      <c r="I113" s="79">
        <f t="shared" si="22"/>
        <v>377.76</v>
      </c>
    </row>
    <row r="114" spans="1:9" ht="25.5" outlineLevel="2" x14ac:dyDescent="0.2">
      <c r="A114" s="45" t="s">
        <v>13333</v>
      </c>
      <c r="B114" s="77" t="s">
        <v>194</v>
      </c>
      <c r="C114" s="45" t="s">
        <v>12231</v>
      </c>
      <c r="D114" s="44" t="str">
        <f>IF(B114="MP-MT",VLOOKUP(C114,'COMPOSIÇÃO DE PREÇO UNITÁRIO'!A:B,2,FALSE),VLOOKUP(C114,'SINAPI_COMPOSIÇÕES 062020'!A:B,2,FALSE))</f>
        <v>RUFO DE ENCOSTO EM CHAPA DE AÇO GALVANIZADO, PARA CALHA, DESENVOLVIMENTO 20CM</v>
      </c>
      <c r="E114" s="45" t="str">
        <f>IF(B114="MP-MT",VLOOKUP(C114,'COMPOSIÇÃO DE PREÇO UNITÁRIO'!A:H,8,FALSE),VLOOKUP(C114,'SINAPI_COMPOSIÇÕES 062020'!A:C,3,FALSE))</f>
        <v>M</v>
      </c>
      <c r="F114" s="78">
        <v>133.13999999999999</v>
      </c>
      <c r="G114" s="79">
        <f>IF(B114="MP-MT",VLOOKUP(CONCATENATE("TOTAL DO ÍTEM - ",C114),'COMPOSIÇÃO DE PREÇO UNITÁRIO'!A:H,8,FALSE),VLOOKUP(C114,'SINAPI_COMPOSIÇÕES 062020'!A:D,4,FALSE))</f>
        <v>35.07</v>
      </c>
      <c r="H114" s="79">
        <f t="shared" si="21"/>
        <v>45.37</v>
      </c>
      <c r="I114" s="79">
        <f t="shared" si="22"/>
        <v>6040.56</v>
      </c>
    </row>
    <row r="115" spans="1:9" ht="25.5" outlineLevel="2" x14ac:dyDescent="0.2">
      <c r="A115" s="45" t="s">
        <v>13334</v>
      </c>
      <c r="B115" s="77" t="s">
        <v>194</v>
      </c>
      <c r="C115" s="45" t="s">
        <v>12233</v>
      </c>
      <c r="D115" s="44" t="str">
        <f>IF(B115="MP-MT",VLOOKUP(C115,'COMPOSIÇÃO DE PREÇO UNITÁRIO'!A:B,2,FALSE),VLOOKUP(C115,'SINAPI_COMPOSIÇÕES 062020'!A:B,2,FALSE))</f>
        <v>RUFO EXTERNO EM CHAPA DE AÇO GALVANIZADO,  DESENVOLVIMENTO 28CM</v>
      </c>
      <c r="E115" s="45" t="str">
        <f>IF(B115="MP-MT",VLOOKUP(C115,'COMPOSIÇÃO DE PREÇO UNITÁRIO'!A:H,8,FALSE),VLOOKUP(C115,'SINAPI_COMPOSIÇÕES 062020'!A:C,3,FALSE))</f>
        <v>M</v>
      </c>
      <c r="F115" s="78">
        <v>128.09</v>
      </c>
      <c r="G115" s="79">
        <f>IF(B115="MP-MT",VLOOKUP(CONCATENATE("TOTAL DO ÍTEM - ",C115),'COMPOSIÇÃO DE PREÇO UNITÁRIO'!A:H,8,FALSE),VLOOKUP(C115,'SINAPI_COMPOSIÇÕES 062020'!A:D,4,FALSE))</f>
        <v>35.950000000000003</v>
      </c>
      <c r="H115" s="79">
        <f t="shared" si="21"/>
        <v>46.51</v>
      </c>
      <c r="I115" s="79">
        <f t="shared" si="22"/>
        <v>5957.46</v>
      </c>
    </row>
    <row r="116" spans="1:9" outlineLevel="1" x14ac:dyDescent="0.2">
      <c r="A116" s="76"/>
      <c r="B116" s="76"/>
      <c r="C116" s="76"/>
      <c r="D116" s="91" t="str">
        <f>CONCATENATE("TOTAL DO ITEM - ",A99)</f>
        <v>TOTAL DO ITEM - 8.0</v>
      </c>
      <c r="E116" s="76"/>
      <c r="F116" s="92"/>
      <c r="G116" s="93"/>
      <c r="H116" s="93"/>
      <c r="I116" s="93">
        <f>SUM(I100:I115)</f>
        <v>165659.66999999998</v>
      </c>
    </row>
    <row r="117" spans="1:9" outlineLevel="1" x14ac:dyDescent="0.2">
      <c r="A117" s="87" t="s">
        <v>28</v>
      </c>
      <c r="B117" s="87"/>
      <c r="C117" s="87"/>
      <c r="D117" s="88" t="s">
        <v>11937</v>
      </c>
      <c r="E117" s="87"/>
      <c r="F117" s="89"/>
      <c r="G117" s="90"/>
      <c r="H117" s="90"/>
      <c r="I117" s="90"/>
    </row>
    <row r="118" spans="1:9" s="46" customFormat="1" ht="38.25" outlineLevel="2" x14ac:dyDescent="0.2">
      <c r="A118" s="77" t="s">
        <v>13335</v>
      </c>
      <c r="B118" s="77" t="s">
        <v>9</v>
      </c>
      <c r="C118" s="77">
        <v>87879</v>
      </c>
      <c r="D118" s="44" t="str">
        <f>IF(B118="MP-MT",VLOOKUP(C118,'COMPOSIÇÃO DE PREÇO UNITÁRIO'!A:B,2,FALSE),VLOOKUP(C118,'SINAPI_COMPOSIÇÕES 062020'!A:B,2,FALSE))</f>
        <v>CHAPISCO APLICADO EM ALVENARIAS E ESTRUTURAS DE CONCRETO INTERNAS, COM COLHER DE PEDREIRO.  ARGAMASSA TRAÇO 1:3 COM PREPARO EM BETONEIRA 400L. AF_06/2014</v>
      </c>
      <c r="E118" s="45" t="str">
        <f>IF(B118="MP-MT",VLOOKUP(C118,'COMPOSIÇÃO DE PREÇO UNITÁRIO'!A:H,8,FALSE),VLOOKUP(C118,'SINAPI_COMPOSIÇÕES 062020'!A:C,3,FALSE))</f>
        <v>M2</v>
      </c>
      <c r="F118" s="78">
        <f>263.05+544.07</f>
        <v>807.12000000000012</v>
      </c>
      <c r="G118" s="79">
        <f>IF(B118="MP-MT",VLOOKUP(CONCATENATE("TOTAL DO ÍTEM - ",C118),'COMPOSIÇÃO DE PREÇO UNITÁRIO'!A:H,8,FALSE),VLOOKUP(C118,'SINAPI_COMPOSIÇÕES 062020'!A:D,4,FALSE))</f>
        <v>2.72</v>
      </c>
      <c r="H118" s="79">
        <f t="shared" ref="H118:H125" si="27">TRUNC(G118*(1+$F$1),2)</f>
        <v>3.51</v>
      </c>
      <c r="I118" s="79">
        <f t="shared" ref="I118:I125" si="28">TRUNC(H118*F118,2)</f>
        <v>2832.99</v>
      </c>
    </row>
    <row r="119" spans="1:9" s="46" customFormat="1" ht="38.25" outlineLevel="2" x14ac:dyDescent="0.2">
      <c r="A119" s="77" t="s">
        <v>13336</v>
      </c>
      <c r="B119" s="77" t="s">
        <v>9</v>
      </c>
      <c r="C119" s="77">
        <v>87905</v>
      </c>
      <c r="D119" s="44" t="str">
        <f>IF(B119="MP-MT",VLOOKUP(C119,'COMPOSIÇÃO DE PREÇO UNITÁRIO'!A:B,2,FALSE),VLOOKUP(C119,'SINAPI_COMPOSIÇÕES 062020'!A:B,2,FALSE))</f>
        <v>CHAPISCO APLICADO EM ALVENARIA (COM PRESENÇA DE VÃOS) E ESTRUTURAS DE CONCRETO DE FACHADA, COM COLHER DE PEDREIRO.  ARGAMASSA TRAÇO 1:3 COM PREPARO EM BETONEIRA 400L. AF_06/2014</v>
      </c>
      <c r="E119" s="45" t="str">
        <f>IF(B119="MP-MT",VLOOKUP(C119,'COMPOSIÇÃO DE PREÇO UNITÁRIO'!A:H,8,FALSE),VLOOKUP(C119,'SINAPI_COMPOSIÇÕES 062020'!A:C,3,FALSE))</f>
        <v>M2</v>
      </c>
      <c r="F119" s="78">
        <v>263.05</v>
      </c>
      <c r="G119" s="79">
        <f>IF(B119="MP-MT",VLOOKUP(CONCATENATE("TOTAL DO ÍTEM - ",C119),'COMPOSIÇÃO DE PREÇO UNITÁRIO'!A:H,8,FALSE),VLOOKUP(C119,'SINAPI_COMPOSIÇÕES 062020'!A:D,4,FALSE))</f>
        <v>5.93</v>
      </c>
      <c r="H119" s="79">
        <f t="shared" si="27"/>
        <v>7.67</v>
      </c>
      <c r="I119" s="79">
        <f t="shared" si="28"/>
        <v>2017.59</v>
      </c>
    </row>
    <row r="120" spans="1:9" s="46" customFormat="1" ht="38.25" outlineLevel="2" x14ac:dyDescent="0.2">
      <c r="A120" s="77" t="s">
        <v>13322</v>
      </c>
      <c r="B120" s="77" t="s">
        <v>9</v>
      </c>
      <c r="C120" s="77">
        <v>87894</v>
      </c>
      <c r="D120" s="44" t="str">
        <f>IF(B120="MP-MT",VLOOKUP(C120,'COMPOSIÇÃO DE PREÇO UNITÁRIO'!A:B,2,FALSE),VLOOKUP(C120,'SINAPI_COMPOSIÇÕES 062020'!A:B,2,FALSE))</f>
        <v>CHAPISCO APLICADO EM ALVENARIA (SEM PRESENÇA DE VÃOS) E ESTRUTURAS DE CONCRETO DE FACHADA, COM COLHER DE PEDREIRO.  ARGAMASSA TRAÇO 1:3 COM PREPARO EM BETONEIRA 400L. AF_06/2014</v>
      </c>
      <c r="E120" s="45" t="str">
        <f>IF(B120="MP-MT",VLOOKUP(C120,'COMPOSIÇÃO DE PREÇO UNITÁRIO'!A:H,8,FALSE),VLOOKUP(C120,'SINAPI_COMPOSIÇÕES 062020'!A:C,3,FALSE))</f>
        <v>M2</v>
      </c>
      <c r="F120" s="78">
        <v>544.07000000000005</v>
      </c>
      <c r="G120" s="79">
        <f>IF(B120="MP-MT",VLOOKUP(CONCATENATE("TOTAL DO ÍTEM - ",C120),'COMPOSIÇÃO DE PREÇO UNITÁRIO'!A:H,8,FALSE),VLOOKUP(C120,'SINAPI_COMPOSIÇÕES 062020'!A:D,4,FALSE))</f>
        <v>4.47</v>
      </c>
      <c r="H120" s="79">
        <f t="shared" si="27"/>
        <v>5.78</v>
      </c>
      <c r="I120" s="79">
        <f t="shared" si="28"/>
        <v>3144.72</v>
      </c>
    </row>
    <row r="121" spans="1:9" s="46" customFormat="1" ht="51" outlineLevel="2" x14ac:dyDescent="0.2">
      <c r="A121" s="77" t="s">
        <v>13337</v>
      </c>
      <c r="B121" s="77" t="s">
        <v>9</v>
      </c>
      <c r="C121" s="77">
        <v>89173</v>
      </c>
      <c r="D121" s="44" t="str">
        <f>IF(B121="MP-MT",VLOOKUP(C121,'COMPOSIÇÃO DE PREÇO UNITÁRIO'!A:B,2,FALSE),VLOOKUP(C121,'SINAPI_COMPOSIÇÕES 062020'!A:B,2,FALSE))</f>
        <v>(COMPOSIÇÃO REPRESENTATIVA) DO SERVIÇO DE EMBOÇO/MASSA ÚNICA, APLICADO MANUALMENTE, TRAÇO 1:2:8, EM BETONEIRA DE 400L, PAREDES INTERNAS, COM EXECUÇÃO DE TALISCAS, EDIFICAÇÃO HABITACIONAL UNIFAMILIAR (CASAS) E EDIFICAÇÃO PÚBLICA PADRÃO. AF_12/2014</v>
      </c>
      <c r="E121" s="45" t="str">
        <f>IF(B121="MP-MT",VLOOKUP(C121,'COMPOSIÇÃO DE PREÇO UNITÁRIO'!A:H,8,FALSE),VLOOKUP(C121,'SINAPI_COMPOSIÇÕES 062020'!A:C,3,FALSE))</f>
        <v>M2</v>
      </c>
      <c r="F121" s="78">
        <f>263.05+544.07</f>
        <v>807.12000000000012</v>
      </c>
      <c r="G121" s="79">
        <f>IF(B121="MP-MT",VLOOKUP(CONCATENATE("TOTAL DO ÍTEM - ",C121),'COMPOSIÇÃO DE PREÇO UNITÁRIO'!A:H,8,FALSE),VLOOKUP(C121,'SINAPI_COMPOSIÇÕES 062020'!A:D,4,FALSE))</f>
        <v>23.77</v>
      </c>
      <c r="H121" s="79">
        <f t="shared" si="27"/>
        <v>30.75</v>
      </c>
      <c r="I121" s="79">
        <f t="shared" si="28"/>
        <v>24818.94</v>
      </c>
    </row>
    <row r="122" spans="1:9" s="46" customFormat="1" ht="25.5" outlineLevel="2" x14ac:dyDescent="0.2">
      <c r="A122" s="77" t="s">
        <v>13338</v>
      </c>
      <c r="B122" s="77" t="s">
        <v>9</v>
      </c>
      <c r="C122" s="77">
        <v>98561</v>
      </c>
      <c r="D122" s="44" t="str">
        <f>IF(B122="MP-MT",VLOOKUP(C122,'COMPOSIÇÃO DE PREÇO UNITÁRIO'!A:B,2,FALSE),VLOOKUP(C122,'SINAPI_COMPOSIÇÕES 062020'!A:B,2,FALSE))</f>
        <v>IMPERMEABILIZAÇÃO DE PAREDES COM ARGAMASSA DE CIMENTO E AREIA, COM ADITIVO IMPERMEABILIZANTE, E = 2CM. AF_06/2018</v>
      </c>
      <c r="E122" s="45" t="str">
        <f>IF(B122="MP-MT",VLOOKUP(C122,'COMPOSIÇÃO DE PREÇO UNITÁRIO'!A:H,8,FALSE),VLOOKUP(C122,'SINAPI_COMPOSIÇÕES 062020'!A:C,3,FALSE))</f>
        <v>M2</v>
      </c>
      <c r="F122" s="78">
        <f>18.15+258.04</f>
        <v>276.19</v>
      </c>
      <c r="G122" s="79">
        <f>IF(B122="MP-MT",VLOOKUP(CONCATENATE("TOTAL DO ÍTEM - ",C122),'COMPOSIÇÃO DE PREÇO UNITÁRIO'!A:H,8,FALSE),VLOOKUP(C122,'SINAPI_COMPOSIÇÕES 062020'!A:D,4,FALSE))</f>
        <v>28.55</v>
      </c>
      <c r="H122" s="79">
        <f t="shared" ref="H122" si="29">TRUNC(G122*(1+$F$1),2)</f>
        <v>36.93</v>
      </c>
      <c r="I122" s="79">
        <f t="shared" ref="I122" si="30">TRUNC(H122*F122,2)</f>
        <v>10199.69</v>
      </c>
    </row>
    <row r="123" spans="1:9" s="46" customFormat="1" ht="38.25" outlineLevel="2" x14ac:dyDescent="0.2">
      <c r="A123" s="77" t="s">
        <v>13339</v>
      </c>
      <c r="B123" s="77" t="s">
        <v>9</v>
      </c>
      <c r="C123" s="77">
        <v>87775</v>
      </c>
      <c r="D123" s="44" t="str">
        <f>IF(B123="MP-MT",VLOOKUP(C123,'COMPOSIÇÃO DE PREÇO UNITÁRIO'!A:B,2,FALSE),VLOOKUP(C123,'SINAPI_COMPOSIÇÕES 062020'!A:B,2,FALSE))</f>
        <v>EMBOÇO OU MASSA ÚNICA EM ARGAMASSA TRAÇO 1:2:8, PREPARO MECÂNICO COM BETONEIRA 400 L, APLICADA MANUALMENTE EM PANOS DE FACHADA COM PRESENÇA DE VÃOS, ESPESSURA DE 25 MM. AF_06/2014</v>
      </c>
      <c r="E123" s="45" t="str">
        <f>IF(B123="MP-MT",VLOOKUP(C123,'COMPOSIÇÃO DE PREÇO UNITÁRIO'!A:H,8,FALSE),VLOOKUP(C123,'SINAPI_COMPOSIÇÕES 062020'!A:C,3,FALSE))</f>
        <v>M2</v>
      </c>
      <c r="F123" s="78">
        <v>19.3</v>
      </c>
      <c r="G123" s="79">
        <f>IF(B123="MP-MT",VLOOKUP(CONCATENATE("TOTAL DO ÍTEM - ",C123),'COMPOSIÇÃO DE PREÇO UNITÁRIO'!A:H,8,FALSE),VLOOKUP(C123,'SINAPI_COMPOSIÇÕES 062020'!A:D,4,FALSE))</f>
        <v>37.56</v>
      </c>
      <c r="H123" s="79">
        <f t="shared" si="27"/>
        <v>48.59</v>
      </c>
      <c r="I123" s="79">
        <f t="shared" si="28"/>
        <v>937.78</v>
      </c>
    </row>
    <row r="124" spans="1:9" s="46" customFormat="1" ht="51" outlineLevel="2" x14ac:dyDescent="0.2">
      <c r="A124" s="77" t="s">
        <v>13340</v>
      </c>
      <c r="B124" s="77" t="s">
        <v>9</v>
      </c>
      <c r="C124" s="77">
        <v>87792</v>
      </c>
      <c r="D124" s="44" t="str">
        <f>IF(B124="MP-MT",VLOOKUP(C124,'COMPOSIÇÃO DE PREÇO UNITÁRIO'!A:B,2,FALSE),VLOOKUP(C124,'SINAPI_COMPOSIÇÕES 062020'!A:B,2,FALSE))</f>
        <v>EMBOÇO OU MASSA ÚNICA EM ARGAMASSA TRAÇO 1:2:8, PREPARO MECÂNICO COM BETONEIRA 400 L, APLICADA MANUALMENTE EM PANOS CEGOS DE FACHADA (SEM PRESENÇA DE VÃOS), ESPESSURA DE 25 MM. AF_06/2014</v>
      </c>
      <c r="E124" s="45" t="str">
        <f>IF(B124="MP-MT",VLOOKUP(C124,'COMPOSIÇÃO DE PREÇO UNITÁRIO'!A:H,8,FALSE),VLOOKUP(C124,'SINAPI_COMPOSIÇÕES 062020'!A:C,3,FALSE))</f>
        <v>M2</v>
      </c>
      <c r="F124" s="78">
        <v>272.26</v>
      </c>
      <c r="G124" s="79">
        <f>IF(B124="MP-MT",VLOOKUP(CONCATENATE("TOTAL DO ÍTEM - ",C124),'COMPOSIÇÃO DE PREÇO UNITÁRIO'!A:H,8,FALSE),VLOOKUP(C124,'SINAPI_COMPOSIÇÕES 062020'!A:D,4,FALSE))</f>
        <v>24.89</v>
      </c>
      <c r="H124" s="79">
        <f t="shared" si="27"/>
        <v>32.200000000000003</v>
      </c>
      <c r="I124" s="79">
        <f t="shared" si="28"/>
        <v>8766.77</v>
      </c>
    </row>
    <row r="125" spans="1:9" s="46" customFormat="1" ht="25.5" outlineLevel="2" x14ac:dyDescent="0.2">
      <c r="A125" s="77" t="s">
        <v>13341</v>
      </c>
      <c r="B125" s="77" t="s">
        <v>9</v>
      </c>
      <c r="C125" s="77">
        <v>98557</v>
      </c>
      <c r="D125" s="44" t="str">
        <f>IF(B125="MP-MT",VLOOKUP(C125,'COMPOSIÇÃO DE PREÇO UNITÁRIO'!A:B,2,FALSE),VLOOKUP(C125,'SINAPI_COMPOSIÇÕES 062020'!A:B,2,FALSE))</f>
        <v>IMPERMEABILIZAÇÃO DE SUPERFÍCIE COM EMULSÃO ASFÁLTICA, 2 DEMÃOS AF_06/2018</v>
      </c>
      <c r="E125" s="45" t="str">
        <f>IF(B125="MP-MT",VLOOKUP(C125,'COMPOSIÇÃO DE PREÇO UNITÁRIO'!A:H,8,FALSE),VLOOKUP(C125,'SINAPI_COMPOSIÇÕES 062020'!A:C,3,FALSE))</f>
        <v>M2</v>
      </c>
      <c r="F125" s="78">
        <v>174.08</v>
      </c>
      <c r="G125" s="79">
        <f>IF(B125="MP-MT",VLOOKUP(CONCATENATE("TOTAL DO ÍTEM - ",C125),'COMPOSIÇÃO DE PREÇO UNITÁRIO'!A:H,8,FALSE),VLOOKUP(C125,'SINAPI_COMPOSIÇÕES 062020'!A:D,4,FALSE))</f>
        <v>23.61</v>
      </c>
      <c r="H125" s="79">
        <f t="shared" si="27"/>
        <v>30.54</v>
      </c>
      <c r="I125" s="79">
        <f t="shared" si="28"/>
        <v>5316.4</v>
      </c>
    </row>
    <row r="126" spans="1:9" outlineLevel="1" x14ac:dyDescent="0.2">
      <c r="A126" s="76"/>
      <c r="B126" s="76"/>
      <c r="C126" s="76"/>
      <c r="D126" s="91" t="str">
        <f>CONCATENATE("TOTAL DO ITEM - ",A117)</f>
        <v>TOTAL DO ITEM - 9.0</v>
      </c>
      <c r="E126" s="76"/>
      <c r="F126" s="92"/>
      <c r="G126" s="93"/>
      <c r="H126" s="93"/>
      <c r="I126" s="93">
        <f>SUM(I118:I125)</f>
        <v>58034.879999999997</v>
      </c>
    </row>
    <row r="127" spans="1:9" outlineLevel="1" x14ac:dyDescent="0.2">
      <c r="A127" s="87" t="s">
        <v>29</v>
      </c>
      <c r="B127" s="87"/>
      <c r="C127" s="87"/>
      <c r="D127" s="88" t="s">
        <v>11938</v>
      </c>
      <c r="E127" s="87"/>
      <c r="F127" s="89"/>
      <c r="G127" s="90"/>
      <c r="H127" s="90"/>
      <c r="I127" s="90"/>
    </row>
    <row r="128" spans="1:9" ht="25.5" outlineLevel="2" x14ac:dyDescent="0.2">
      <c r="A128" s="45" t="s">
        <v>13342</v>
      </c>
      <c r="B128" s="45" t="s">
        <v>9</v>
      </c>
      <c r="C128" s="45">
        <v>90456</v>
      </c>
      <c r="D128" s="44" t="str">
        <f>IF(B128="MP-MT",VLOOKUP(C128,'COMPOSIÇÃO DE PREÇO UNITÁRIO'!A:B,2,FALSE),VLOOKUP(C128,'SINAPI_COMPOSIÇÕES 062020'!A:B,2,FALSE))</f>
        <v>QUEBRA EM ALVENARIA PARA INSTALAÇÃO DE CAIXA DE TOMADA (4X4 OU 4X2). AF_05/2015</v>
      </c>
      <c r="E128" s="45" t="str">
        <f>IF(B128="MP-MT",VLOOKUP(C128,'COMPOSIÇÃO DE PREÇO UNITÁRIO'!A:H,8,FALSE),VLOOKUP(C128,'SINAPI_COMPOSIÇÕES 062020'!A:C,3,FALSE))</f>
        <v>UN</v>
      </c>
      <c r="F128" s="78">
        <v>209</v>
      </c>
      <c r="G128" s="79">
        <f>IF(B128="MP-MT",VLOOKUP(CONCATENATE("TOTAL DO ÍTEM - ",C128),'COMPOSIÇÃO DE PREÇO UNITÁRIO'!A:H,8,FALSE),VLOOKUP(C128,'SINAPI_COMPOSIÇÕES 062020'!A:D,4,FALSE))</f>
        <v>2.87</v>
      </c>
      <c r="H128" s="79">
        <f t="shared" ref="H128" si="31">TRUNC(G128*(1+$F$1),2)</f>
        <v>3.71</v>
      </c>
      <c r="I128" s="79">
        <f t="shared" ref="I128" si="32">TRUNC(H128*F128,2)</f>
        <v>775.39</v>
      </c>
    </row>
    <row r="129" spans="1:9" ht="25.5" outlineLevel="2" x14ac:dyDescent="0.2">
      <c r="A129" s="45" t="s">
        <v>13343</v>
      </c>
      <c r="B129" s="45" t="s">
        <v>9</v>
      </c>
      <c r="C129" s="45">
        <v>90447</v>
      </c>
      <c r="D129" s="44" t="str">
        <f>IF(B129="MP-MT",VLOOKUP(C129,'COMPOSIÇÃO DE PREÇO UNITÁRIO'!A:B,2,FALSE),VLOOKUP(C129,'SINAPI_COMPOSIÇÕES 062020'!A:B,2,FALSE))</f>
        <v>RASGO EM ALVENARIA PARA ELETRODUTOS COM DIAMETROS MENORES OU IGUAIS A 40 MM. AF_05/2015</v>
      </c>
      <c r="E129" s="45" t="str">
        <f>IF(B129="MP-MT",VLOOKUP(C129,'COMPOSIÇÃO DE PREÇO UNITÁRIO'!A:H,8,FALSE),VLOOKUP(C129,'SINAPI_COMPOSIÇÕES 062020'!A:C,3,FALSE))</f>
        <v>M</v>
      </c>
      <c r="F129" s="78">
        <v>527.61</v>
      </c>
      <c r="G129" s="79">
        <f>IF(B129="MP-MT",VLOOKUP(CONCATENATE("TOTAL DO ÍTEM - ",C129),'COMPOSIÇÃO DE PREÇO UNITÁRIO'!A:H,8,FALSE),VLOOKUP(C129,'SINAPI_COMPOSIÇÕES 062020'!A:D,4,FALSE))</f>
        <v>4.45</v>
      </c>
      <c r="H129" s="79">
        <f t="shared" ref="H129:H193" si="33">TRUNC(G129*(1+$F$1),2)</f>
        <v>5.75</v>
      </c>
      <c r="I129" s="79">
        <f t="shared" ref="I129:I193" si="34">TRUNC(H129*F129,2)</f>
        <v>3033.75</v>
      </c>
    </row>
    <row r="130" spans="1:9" ht="25.5" outlineLevel="2" x14ac:dyDescent="0.2">
      <c r="A130" s="45" t="s">
        <v>13344</v>
      </c>
      <c r="B130" s="45" t="s">
        <v>9</v>
      </c>
      <c r="C130" s="45">
        <v>90444</v>
      </c>
      <c r="D130" s="44" t="str">
        <f>IF(B130="MP-MT",VLOOKUP(C130,'COMPOSIÇÃO DE PREÇO UNITÁRIO'!A:B,2,FALSE),VLOOKUP(C130,'SINAPI_COMPOSIÇÕES 062020'!A:B,2,FALSE))</f>
        <v>RASGO EM CONTRAPISO PARA RAMAIS/ DISTRIBUIÇÃO COM DIÂMETROS MENORES OU IGUAIS A 40 MM. AF_05/2015</v>
      </c>
      <c r="E130" s="45" t="str">
        <f>IF(B130="MP-MT",VLOOKUP(C130,'COMPOSIÇÃO DE PREÇO UNITÁRIO'!A:H,8,FALSE),VLOOKUP(C130,'SINAPI_COMPOSIÇÕES 062020'!A:C,3,FALSE))</f>
        <v>M</v>
      </c>
      <c r="F130" s="78">
        <f>59+46.1</f>
        <v>105.1</v>
      </c>
      <c r="G130" s="79">
        <f>IF(B130="MP-MT",VLOOKUP(CONCATENATE("TOTAL DO ÍTEM - ",C130),'COMPOSIÇÃO DE PREÇO UNITÁRIO'!A:H,8,FALSE),VLOOKUP(C130,'SINAPI_COMPOSIÇÕES 062020'!A:D,4,FALSE))</f>
        <v>16.97</v>
      </c>
      <c r="H130" s="79">
        <f t="shared" ref="H130" si="35">TRUNC(G130*(1+$F$1),2)</f>
        <v>21.95</v>
      </c>
      <c r="I130" s="79">
        <f t="shared" ref="I130" si="36">TRUNC(H130*F130,2)</f>
        <v>2306.94</v>
      </c>
    </row>
    <row r="131" spans="1:9" ht="38.25" outlineLevel="2" x14ac:dyDescent="0.2">
      <c r="A131" s="45" t="s">
        <v>13345</v>
      </c>
      <c r="B131" s="45" t="s">
        <v>9</v>
      </c>
      <c r="C131" s="45">
        <v>91854</v>
      </c>
      <c r="D131" s="44" t="str">
        <f>IF(B131="MP-MT",VLOOKUP(C131,'COMPOSIÇÃO DE PREÇO UNITÁRIO'!A:B,2,FALSE),VLOOKUP(C131,'SINAPI_COMPOSIÇÕES 062020'!A:B,2,FALSE))</f>
        <v>ELETRODUTO FLEXÍVEL CORRUGADO, PVC, DN 25 MM (3/4"), PARA CIRCUITOS TERMINAIS, INSTALADO EM PAREDE - FORNECIMENTO E INSTALAÇÃO. AF_12/2015</v>
      </c>
      <c r="E131" s="45" t="str">
        <f>IF(B131="MP-MT",VLOOKUP(C131,'COMPOSIÇÃO DE PREÇO UNITÁRIO'!A:H,8,FALSE),VLOOKUP(C131,'SINAPI_COMPOSIÇÕES 062020'!A:C,3,FALSE))</f>
        <v>M</v>
      </c>
      <c r="F131" s="78">
        <v>527.61</v>
      </c>
      <c r="G131" s="79">
        <f>IF(B131="MP-MT",VLOOKUP(CONCATENATE("TOTAL DO ÍTEM - ",C131),'COMPOSIÇÃO DE PREÇO UNITÁRIO'!A:H,8,FALSE),VLOOKUP(C131,'SINAPI_COMPOSIÇÕES 062020'!A:D,4,FALSE))</f>
        <v>6.12</v>
      </c>
      <c r="H131" s="79">
        <f t="shared" si="33"/>
        <v>7.91</v>
      </c>
      <c r="I131" s="79">
        <f t="shared" si="34"/>
        <v>4173.3900000000003</v>
      </c>
    </row>
    <row r="132" spans="1:9" ht="38.25" outlineLevel="2" x14ac:dyDescent="0.2">
      <c r="A132" s="45" t="s">
        <v>13346</v>
      </c>
      <c r="B132" s="45" t="s">
        <v>9</v>
      </c>
      <c r="C132" s="45">
        <v>91863</v>
      </c>
      <c r="D132" s="44" t="str">
        <f>IF(B132="MP-MT",VLOOKUP(C132,'COMPOSIÇÃO DE PREÇO UNITÁRIO'!A:B,2,FALSE),VLOOKUP(C132,'SINAPI_COMPOSIÇÕES 062020'!A:B,2,FALSE))</f>
        <v>ELETRODUTO RÍGIDO ROSCÁVEL, PVC, DN 25 MM (3/4"), PARA CIRCUITOS TERMINAIS, INSTALADO EM FORRO - FORNECIMENTO E INSTALAÇÃO. AF_12/2015</v>
      </c>
      <c r="E132" s="45" t="str">
        <f>IF(B132="MP-MT",VLOOKUP(C132,'COMPOSIÇÃO DE PREÇO UNITÁRIO'!A:H,8,FALSE),VLOOKUP(C132,'SINAPI_COMPOSIÇÕES 062020'!A:C,3,FALSE))</f>
        <v>M</v>
      </c>
      <c r="F132" s="78">
        <v>351.74</v>
      </c>
      <c r="G132" s="79">
        <f>IF(B132="MP-MT",VLOOKUP(CONCATENATE("TOTAL DO ÍTEM - ",C132),'COMPOSIÇÃO DE PREÇO UNITÁRIO'!A:H,8,FALSE),VLOOKUP(C132,'SINAPI_COMPOSIÇÕES 062020'!A:D,4,FALSE))</f>
        <v>7.59</v>
      </c>
      <c r="H132" s="79">
        <f t="shared" si="33"/>
        <v>9.82</v>
      </c>
      <c r="I132" s="79">
        <f t="shared" si="34"/>
        <v>3454.08</v>
      </c>
    </row>
    <row r="133" spans="1:9" ht="25.5" outlineLevel="2" x14ac:dyDescent="0.2">
      <c r="A133" s="45" t="s">
        <v>13347</v>
      </c>
      <c r="B133" s="45" t="s">
        <v>194</v>
      </c>
      <c r="C133" s="45" t="s">
        <v>12145</v>
      </c>
      <c r="D133" s="44" t="str">
        <f>IF(B133="MP-MT",VLOOKUP(C133,'COMPOSIÇÃO DE PREÇO UNITÁRIO'!A:B,2,FALSE),VLOOKUP(C133,'SINAPI_COMPOSIÇÕES 062020'!A:B,2,FALSE))</f>
        <v>ELETRODUTO FLEXÍVEL CORRUGADO, PVC, DN 100 MM (4"), INSTALADO EM PISO/CHÃO/ENTERRADO - FORNECIMENTO E INSTALAÇÃO</v>
      </c>
      <c r="E133" s="45" t="str">
        <f>IF(B133="MP-MT",VLOOKUP(C133,'COMPOSIÇÃO DE PREÇO UNITÁRIO'!A:H,8,FALSE),VLOOKUP(C133,'SINAPI_COMPOSIÇÕES 062020'!A:C,3,FALSE))</f>
        <v>M</v>
      </c>
      <c r="F133" s="78">
        <v>46.1</v>
      </c>
      <c r="G133" s="79">
        <f>IF(B133="MP-MT",VLOOKUP(CONCATENATE("TOTAL DO ÍTEM - ",C133),'COMPOSIÇÃO DE PREÇO UNITÁRIO'!A:H,8,FALSE),VLOOKUP(C133,'SINAPI_COMPOSIÇÕES 062020'!A:D,4,FALSE))</f>
        <v>35.21</v>
      </c>
      <c r="H133" s="79">
        <f t="shared" si="33"/>
        <v>45.55</v>
      </c>
      <c r="I133" s="79">
        <f t="shared" si="34"/>
        <v>2099.85</v>
      </c>
    </row>
    <row r="134" spans="1:9" ht="25.5" outlineLevel="2" x14ac:dyDescent="0.2">
      <c r="A134" s="45" t="s">
        <v>13348</v>
      </c>
      <c r="B134" s="45" t="s">
        <v>194</v>
      </c>
      <c r="C134" s="45" t="s">
        <v>12149</v>
      </c>
      <c r="D134" s="44" t="str">
        <f>IF(B134="MP-MT",VLOOKUP(C134,'COMPOSIÇÃO DE PREÇO UNITÁRIO'!A:B,2,FALSE),VLOOKUP(C134,'SINAPI_COMPOSIÇÕES 062020'!A:B,2,FALSE))</f>
        <v>ELETRODUTO FLEXÍVEL CORRUGADO, PVC, DN 50 MM (2"),INSTALADO EM PISO/CHÃO - FORNECIMENTO E INSTALAÇÃO</v>
      </c>
      <c r="E134" s="45" t="str">
        <f>IF(B134="MP-MT",VLOOKUP(C134,'COMPOSIÇÃO DE PREÇO UNITÁRIO'!A:H,8,FALSE),VLOOKUP(C134,'SINAPI_COMPOSIÇÕES 062020'!A:C,3,FALSE))</f>
        <v>M</v>
      </c>
      <c r="F134" s="78">
        <v>59</v>
      </c>
      <c r="G134" s="79">
        <f>IF(B134="MP-MT",VLOOKUP(CONCATENATE("TOTAL DO ÍTEM - ",C134),'COMPOSIÇÃO DE PREÇO UNITÁRIO'!A:H,8,FALSE),VLOOKUP(C134,'SINAPI_COMPOSIÇÕES 062020'!A:D,4,FALSE))</f>
        <v>8.59</v>
      </c>
      <c r="H134" s="79">
        <f t="shared" si="33"/>
        <v>11.11</v>
      </c>
      <c r="I134" s="79">
        <f t="shared" si="34"/>
        <v>655.49</v>
      </c>
    </row>
    <row r="135" spans="1:9" ht="38.25" outlineLevel="2" x14ac:dyDescent="0.2">
      <c r="A135" s="45" t="s">
        <v>13349</v>
      </c>
      <c r="B135" s="45" t="s">
        <v>9</v>
      </c>
      <c r="C135" s="45">
        <v>91864</v>
      </c>
      <c r="D135" s="44" t="str">
        <f>IF(B135="MP-MT",VLOOKUP(C135,'COMPOSIÇÃO DE PREÇO UNITÁRIO'!A:B,2,FALSE),VLOOKUP(C135,'SINAPI_COMPOSIÇÕES 062020'!A:B,2,FALSE))</f>
        <v>ELETRODUTO RÍGIDO ROSCÁVEL, PVC, DN 32 MM (1"), PARA CIRCUITOS TERMINAIS, INSTALADO EM FORRO - FORNECIMENTO E INSTALAÇÃO. AF_12/2015</v>
      </c>
      <c r="E135" s="45" t="str">
        <f>IF(B135="MP-MT",VLOOKUP(C135,'COMPOSIÇÃO DE PREÇO UNITÁRIO'!A:H,8,FALSE),VLOOKUP(C135,'SINAPI_COMPOSIÇÕES 062020'!A:C,3,FALSE))</f>
        <v>M</v>
      </c>
      <c r="F135" s="78">
        <v>86.3</v>
      </c>
      <c r="G135" s="79">
        <f>IF(B135="MP-MT",VLOOKUP(CONCATENATE("TOTAL DO ÍTEM - ",C135),'COMPOSIÇÃO DE PREÇO UNITÁRIO'!A:H,8,FALSE),VLOOKUP(C135,'SINAPI_COMPOSIÇÕES 062020'!A:D,4,FALSE))</f>
        <v>9.91</v>
      </c>
      <c r="H135" s="79">
        <f t="shared" si="33"/>
        <v>12.82</v>
      </c>
      <c r="I135" s="79">
        <f t="shared" si="34"/>
        <v>1106.3599999999999</v>
      </c>
    </row>
    <row r="136" spans="1:9" ht="38.25" outlineLevel="2" x14ac:dyDescent="0.2">
      <c r="A136" s="45" t="s">
        <v>13350</v>
      </c>
      <c r="B136" s="45" t="s">
        <v>9</v>
      </c>
      <c r="C136" s="45">
        <v>91890</v>
      </c>
      <c r="D136" s="44" t="str">
        <f>IF(B136="MP-MT",VLOOKUP(C136,'COMPOSIÇÃO DE PREÇO UNITÁRIO'!A:B,2,FALSE),VLOOKUP(C136,'SINAPI_COMPOSIÇÕES 062020'!A:B,2,FALSE))</f>
        <v>CURVA 90 GRAUS PARA ELETRODUTO, PVC, ROSCÁVEL, DN 25 MM (3/4"), PARA CIRCUITOS TERMINAIS, INSTALADA EM FORRO - FORNECIMENTO E INSTALAÇÃO. AF_12/2015</v>
      </c>
      <c r="E136" s="45" t="str">
        <f>IF(B136="MP-MT",VLOOKUP(C136,'COMPOSIÇÃO DE PREÇO UNITÁRIO'!A:H,8,FALSE),VLOOKUP(C136,'SINAPI_COMPOSIÇÕES 062020'!A:C,3,FALSE))</f>
        <v>UN</v>
      </c>
      <c r="F136" s="78">
        <v>34</v>
      </c>
      <c r="G136" s="79">
        <f>IF(B136="MP-MT",VLOOKUP(CONCATENATE("TOTAL DO ÍTEM - ",C136),'COMPOSIÇÃO DE PREÇO UNITÁRIO'!A:H,8,FALSE),VLOOKUP(C136,'SINAPI_COMPOSIÇÕES 062020'!A:D,4,FALSE))</f>
        <v>7.14</v>
      </c>
      <c r="H136" s="79">
        <f t="shared" si="33"/>
        <v>9.23</v>
      </c>
      <c r="I136" s="79">
        <f t="shared" si="34"/>
        <v>313.82</v>
      </c>
    </row>
    <row r="137" spans="1:9" ht="38.25" outlineLevel="2" x14ac:dyDescent="0.2">
      <c r="A137" s="45" t="s">
        <v>13351</v>
      </c>
      <c r="B137" s="45" t="s">
        <v>9</v>
      </c>
      <c r="C137" s="45">
        <v>91893</v>
      </c>
      <c r="D137" s="44" t="str">
        <f>IF(B137="MP-MT",VLOOKUP(C137,'COMPOSIÇÃO DE PREÇO UNITÁRIO'!A:B,2,FALSE),VLOOKUP(C137,'SINAPI_COMPOSIÇÕES 062020'!A:B,2,FALSE))</f>
        <v>CURVA 90 GRAUS PARA ELETRODUTO, PVC, ROSCÁVEL, DN 32 MM (1"), PARA CIRCUITOS TERMINAIS, INSTALADA EM FORRO - FORNECIMENTO E INSTALAÇÃO. AF_12/2015</v>
      </c>
      <c r="E137" s="45" t="str">
        <f>IF(B137="MP-MT",VLOOKUP(C137,'COMPOSIÇÃO DE PREÇO UNITÁRIO'!A:H,8,FALSE),VLOOKUP(C137,'SINAPI_COMPOSIÇÕES 062020'!A:C,3,FALSE))</f>
        <v>UN</v>
      </c>
      <c r="F137" s="78">
        <v>42</v>
      </c>
      <c r="G137" s="79">
        <f>IF(B137="MP-MT",VLOOKUP(CONCATENATE("TOTAL DO ÍTEM - ",C137),'COMPOSIÇÃO DE PREÇO UNITÁRIO'!A:H,8,FALSE),VLOOKUP(C137,'SINAPI_COMPOSIÇÕES 062020'!A:D,4,FALSE))</f>
        <v>9.73</v>
      </c>
      <c r="H137" s="79">
        <f t="shared" si="33"/>
        <v>12.58</v>
      </c>
      <c r="I137" s="79">
        <f t="shared" si="34"/>
        <v>528.36</v>
      </c>
    </row>
    <row r="138" spans="1:9" ht="38.25" outlineLevel="2" x14ac:dyDescent="0.2">
      <c r="A138" s="45" t="s">
        <v>13352</v>
      </c>
      <c r="B138" s="45" t="s">
        <v>9</v>
      </c>
      <c r="C138" s="45">
        <v>91875</v>
      </c>
      <c r="D138" s="44" t="str">
        <f>IF(B138="MP-MT",VLOOKUP(C138,'COMPOSIÇÃO DE PREÇO UNITÁRIO'!A:B,2,FALSE),VLOOKUP(C138,'SINAPI_COMPOSIÇÕES 062020'!A:B,2,FALSE))</f>
        <v>LUVA PARA ELETRODUTO, PVC, ROSCÁVEL, DN 25 MM (3/4"), PARA CIRCUITOS TERMINAIS, INSTALADA EM FORRO - FORNECIMENTO E INSTALAÇÃO. AF_12/2015</v>
      </c>
      <c r="E138" s="45" t="str">
        <f>IF(B138="MP-MT",VLOOKUP(C138,'COMPOSIÇÃO DE PREÇO UNITÁRIO'!A:H,8,FALSE),VLOOKUP(C138,'SINAPI_COMPOSIÇÕES 062020'!A:C,3,FALSE))</f>
        <v>UN</v>
      </c>
      <c r="F138" s="78">
        <v>77</v>
      </c>
      <c r="G138" s="79">
        <f>IF(B138="MP-MT",VLOOKUP(CONCATENATE("TOTAL DO ÍTEM - ",C138),'COMPOSIÇÃO DE PREÇO UNITÁRIO'!A:H,8,FALSE),VLOOKUP(C138,'SINAPI_COMPOSIÇÕES 062020'!A:D,4,FALSE))</f>
        <v>4.32</v>
      </c>
      <c r="H138" s="79">
        <f t="shared" si="33"/>
        <v>5.58</v>
      </c>
      <c r="I138" s="79">
        <f t="shared" si="34"/>
        <v>429.66</v>
      </c>
    </row>
    <row r="139" spans="1:9" ht="38.25" outlineLevel="2" x14ac:dyDescent="0.2">
      <c r="A139" s="45" t="s">
        <v>13353</v>
      </c>
      <c r="B139" s="45" t="s">
        <v>9</v>
      </c>
      <c r="C139" s="45">
        <v>91876</v>
      </c>
      <c r="D139" s="44" t="str">
        <f>IF(B139="MP-MT",VLOOKUP(C139,'COMPOSIÇÃO DE PREÇO UNITÁRIO'!A:B,2,FALSE),VLOOKUP(C139,'SINAPI_COMPOSIÇÕES 062020'!A:B,2,FALSE))</f>
        <v>LUVA PARA ELETRODUTO, PVC, ROSCÁVEL, DN 32 MM (1"), PARA CIRCUITOS TERMINAIS, INSTALADA EM FORRO - FORNECIMENTO E INSTALAÇÃO. AF_12/2015</v>
      </c>
      <c r="E139" s="45" t="str">
        <f>IF(B139="MP-MT",VLOOKUP(C139,'COMPOSIÇÃO DE PREÇO UNITÁRIO'!A:H,8,FALSE),VLOOKUP(C139,'SINAPI_COMPOSIÇÕES 062020'!A:C,3,FALSE))</f>
        <v>UN</v>
      </c>
      <c r="F139" s="78">
        <v>81</v>
      </c>
      <c r="G139" s="79">
        <f>IF(B139="MP-MT",VLOOKUP(CONCATENATE("TOTAL DO ÍTEM - ",C139),'COMPOSIÇÃO DE PREÇO UNITÁRIO'!A:H,8,FALSE),VLOOKUP(C139,'SINAPI_COMPOSIÇÕES 062020'!A:D,4,FALSE))</f>
        <v>5.7</v>
      </c>
      <c r="H139" s="79">
        <f t="shared" si="33"/>
        <v>7.37</v>
      </c>
      <c r="I139" s="79">
        <f t="shared" si="34"/>
        <v>596.97</v>
      </c>
    </row>
    <row r="140" spans="1:9" ht="25.5" outlineLevel="2" x14ac:dyDescent="0.2">
      <c r="A140" s="45" t="s">
        <v>13354</v>
      </c>
      <c r="B140" s="45" t="s">
        <v>9</v>
      </c>
      <c r="C140" s="45">
        <v>91941</v>
      </c>
      <c r="D140" s="44" t="str">
        <f>IF(B140="MP-MT",VLOOKUP(C140,'COMPOSIÇÃO DE PREÇO UNITÁRIO'!A:B,2,FALSE),VLOOKUP(C140,'SINAPI_COMPOSIÇÕES 062020'!A:B,2,FALSE))</f>
        <v>CAIXA RETANGULAR 4" X 2" BAIXA (0,30 M DO PISO), PVC, INSTALADA EM PAREDE - FORNECIMENTO E INSTALAÇÃO. AF_12/2015</v>
      </c>
      <c r="E140" s="45" t="str">
        <f>IF(B140="MP-MT",VLOOKUP(C140,'COMPOSIÇÃO DE PREÇO UNITÁRIO'!A:H,8,FALSE),VLOOKUP(C140,'SINAPI_COMPOSIÇÕES 062020'!A:C,3,FALSE))</f>
        <v>UN</v>
      </c>
      <c r="F140" s="78">
        <v>145</v>
      </c>
      <c r="G140" s="79">
        <f>IF(B140="MP-MT",VLOOKUP(CONCATENATE("TOTAL DO ÍTEM - ",C140),'COMPOSIÇÃO DE PREÇO UNITÁRIO'!A:H,8,FALSE),VLOOKUP(C140,'SINAPI_COMPOSIÇÕES 062020'!A:D,4,FALSE))</f>
        <v>6.76</v>
      </c>
      <c r="H140" s="79">
        <f t="shared" si="33"/>
        <v>8.74</v>
      </c>
      <c r="I140" s="79">
        <f t="shared" si="34"/>
        <v>1267.3</v>
      </c>
    </row>
    <row r="141" spans="1:9" ht="25.5" outlineLevel="2" x14ac:dyDescent="0.2">
      <c r="A141" s="45" t="s">
        <v>13355</v>
      </c>
      <c r="B141" s="45" t="s">
        <v>9</v>
      </c>
      <c r="C141" s="45">
        <v>91940</v>
      </c>
      <c r="D141" s="44" t="str">
        <f>IF(B141="MP-MT",VLOOKUP(C141,'COMPOSIÇÃO DE PREÇO UNITÁRIO'!A:B,2,FALSE),VLOOKUP(C141,'SINAPI_COMPOSIÇÕES 062020'!A:B,2,FALSE))</f>
        <v>CAIXA RETANGULAR 4" X 2" MÉDIA (1,30 M DO PISO), PVC, INSTALADA EM PAREDE - FORNECIMENTO E INSTALAÇÃO. AF_12/2015</v>
      </c>
      <c r="E141" s="45" t="str">
        <f>IF(B141="MP-MT",VLOOKUP(C141,'COMPOSIÇÃO DE PREÇO UNITÁRIO'!A:H,8,FALSE),VLOOKUP(C141,'SINAPI_COMPOSIÇÕES 062020'!A:C,3,FALSE))</f>
        <v>UN</v>
      </c>
      <c r="F141" s="78">
        <v>26</v>
      </c>
      <c r="G141" s="79">
        <f>IF(B141="MP-MT",VLOOKUP(CONCATENATE("TOTAL DO ÍTEM - ",C141),'COMPOSIÇÃO DE PREÇO UNITÁRIO'!A:H,8,FALSE),VLOOKUP(C141,'SINAPI_COMPOSIÇÕES 062020'!A:D,4,FALSE))</f>
        <v>10.09</v>
      </c>
      <c r="H141" s="79">
        <f t="shared" si="33"/>
        <v>13.05</v>
      </c>
      <c r="I141" s="79">
        <f t="shared" si="34"/>
        <v>339.3</v>
      </c>
    </row>
    <row r="142" spans="1:9" ht="25.5" outlineLevel="2" x14ac:dyDescent="0.2">
      <c r="A142" s="45" t="s">
        <v>13356</v>
      </c>
      <c r="B142" s="45" t="s">
        <v>9</v>
      </c>
      <c r="C142" s="45">
        <v>91939</v>
      </c>
      <c r="D142" s="44" t="str">
        <f>IF(B142="MP-MT",VLOOKUP(C142,'COMPOSIÇÃO DE PREÇO UNITÁRIO'!A:B,2,FALSE),VLOOKUP(C142,'SINAPI_COMPOSIÇÕES 062020'!A:B,2,FALSE))</f>
        <v>CAIXA RETANGULAR 4" X 2" ALTA (2,00 M DO PISO), PVC, INSTALADA EM PAREDE - FORNECIMENTO E INSTALAÇÃO. AF_12/2015</v>
      </c>
      <c r="E142" s="45" t="str">
        <f>IF(B142="MP-MT",VLOOKUP(C142,'COMPOSIÇÃO DE PREÇO UNITÁRIO'!A:H,8,FALSE),VLOOKUP(C142,'SINAPI_COMPOSIÇÕES 062020'!A:C,3,FALSE))</f>
        <v>UN</v>
      </c>
      <c r="F142" s="78">
        <v>38</v>
      </c>
      <c r="G142" s="79">
        <f>IF(B142="MP-MT",VLOOKUP(CONCATENATE("TOTAL DO ÍTEM - ",C142),'COMPOSIÇÃO DE PREÇO UNITÁRIO'!A:H,8,FALSE),VLOOKUP(C142,'SINAPI_COMPOSIÇÕES 062020'!A:D,4,FALSE))</f>
        <v>18.989999999999998</v>
      </c>
      <c r="H142" s="79">
        <f t="shared" si="33"/>
        <v>24.57</v>
      </c>
      <c r="I142" s="79">
        <f t="shared" si="34"/>
        <v>933.66</v>
      </c>
    </row>
    <row r="143" spans="1:9" ht="25.5" outlineLevel="2" x14ac:dyDescent="0.2">
      <c r="A143" s="45" t="s">
        <v>13357</v>
      </c>
      <c r="B143" s="45" t="s">
        <v>9</v>
      </c>
      <c r="C143" s="45">
        <v>91937</v>
      </c>
      <c r="D143" s="44" t="str">
        <f>IF(B143="MP-MT",VLOOKUP(C143,'COMPOSIÇÃO DE PREÇO UNITÁRIO'!A:B,2,FALSE),VLOOKUP(C143,'SINAPI_COMPOSIÇÕES 062020'!A:B,2,FALSE))</f>
        <v>CAIXA OCTOGONAL 3" X 3", PVC, INSTALADA EM LAJE - FORNECIMENTO E INSTALAÇÃO. AF_12/2015</v>
      </c>
      <c r="E143" s="45" t="str">
        <f>IF(B143="MP-MT",VLOOKUP(C143,'COMPOSIÇÃO DE PREÇO UNITÁRIO'!A:H,8,FALSE),VLOOKUP(C143,'SINAPI_COMPOSIÇÕES 062020'!A:C,3,FALSE))</f>
        <v>UN</v>
      </c>
      <c r="F143" s="78">
        <v>137</v>
      </c>
      <c r="G143" s="79">
        <f>IF(B143="MP-MT",VLOOKUP(CONCATENATE("TOTAL DO ÍTEM - ",C143),'COMPOSIÇÃO DE PREÇO UNITÁRIO'!A:H,8,FALSE),VLOOKUP(C143,'SINAPI_COMPOSIÇÕES 062020'!A:D,4,FALSE))</f>
        <v>7.61</v>
      </c>
      <c r="H143" s="79">
        <f t="shared" si="33"/>
        <v>9.84</v>
      </c>
      <c r="I143" s="79">
        <f t="shared" si="34"/>
        <v>1348.08</v>
      </c>
    </row>
    <row r="144" spans="1:9" ht="25.5" outlineLevel="2" x14ac:dyDescent="0.2">
      <c r="A144" s="45" t="s">
        <v>13358</v>
      </c>
      <c r="B144" s="45" t="s">
        <v>194</v>
      </c>
      <c r="C144" s="45" t="s">
        <v>12153</v>
      </c>
      <c r="D144" s="44" t="str">
        <f>IF(B144="MP-MT",VLOOKUP(C144,'COMPOSIÇÃO DE PREÇO UNITÁRIO'!A:B,2,FALSE),VLOOKUP(C144,'SINAPI_COMPOSIÇÕES 062020'!A:B,2,FALSE))</f>
        <v>CAIXA RETANGULAR, 4" X 2", ESTANQUE, PVC, INSTALADA EM PISO - FORNECIMENTO E INSTALAÇÃO</v>
      </c>
      <c r="E144" s="45" t="str">
        <f>IF(B144="MP-MT",VLOOKUP(C144,'COMPOSIÇÃO DE PREÇO UNITÁRIO'!A:H,8,FALSE),VLOOKUP(C144,'SINAPI_COMPOSIÇÕES 062020'!A:C,3,FALSE))</f>
        <v>UND</v>
      </c>
      <c r="F144" s="78">
        <v>4</v>
      </c>
      <c r="G144" s="79">
        <f>IF(B144="MP-MT",VLOOKUP(CONCATENATE("TOTAL DO ÍTEM - ",C144),'COMPOSIÇÃO DE PREÇO UNITÁRIO'!A:H,8,FALSE),VLOOKUP(C144,'SINAPI_COMPOSIÇÕES 062020'!A:D,4,FALSE))</f>
        <v>72.14</v>
      </c>
      <c r="H144" s="79">
        <f t="shared" si="33"/>
        <v>93.33</v>
      </c>
      <c r="I144" s="79">
        <f t="shared" si="34"/>
        <v>373.32</v>
      </c>
    </row>
    <row r="145" spans="1:9" ht="38.25" outlineLevel="2" x14ac:dyDescent="0.2">
      <c r="A145" s="45" t="s">
        <v>13359</v>
      </c>
      <c r="B145" s="45" t="s">
        <v>9</v>
      </c>
      <c r="C145" s="45">
        <v>97887</v>
      </c>
      <c r="D145" s="44" t="str">
        <f>IF(B145="MP-MT",VLOOKUP(C145,'COMPOSIÇÃO DE PREÇO UNITÁRIO'!A:B,2,FALSE),VLOOKUP(C145,'SINAPI_COMPOSIÇÕES 062020'!A:B,2,FALSE))</f>
        <v>CAIXA ENTERRADA ELÉTRICA RETANGULAR, EM ALVENARIA COM TIJOLOS CERÂMICOS MACIÇOS, FUNDO COM BRITA, DIMENSÕES INTERNAS: 0,4X0,4X0,4 M. AF_05/2018</v>
      </c>
      <c r="E145" s="45" t="str">
        <f>IF(B145="MP-MT",VLOOKUP(C145,'COMPOSIÇÃO DE PREÇO UNITÁRIO'!A:H,8,FALSE),VLOOKUP(C145,'SINAPI_COMPOSIÇÕES 062020'!A:C,3,FALSE))</f>
        <v>UN</v>
      </c>
      <c r="F145" s="78">
        <v>5</v>
      </c>
      <c r="G145" s="79">
        <f>IF(B145="MP-MT",VLOOKUP(CONCATENATE("TOTAL DO ÍTEM - ",C145),'COMPOSIÇÃO DE PREÇO UNITÁRIO'!A:H,8,FALSE),VLOOKUP(C145,'SINAPI_COMPOSIÇÕES 062020'!A:D,4,FALSE))</f>
        <v>187.92</v>
      </c>
      <c r="H145" s="79">
        <f t="shared" si="33"/>
        <v>243.14</v>
      </c>
      <c r="I145" s="79">
        <f t="shared" si="34"/>
        <v>1215.7</v>
      </c>
    </row>
    <row r="146" spans="1:9" ht="38.25" outlineLevel="2" x14ac:dyDescent="0.2">
      <c r="A146" s="45" t="s">
        <v>13360</v>
      </c>
      <c r="B146" s="45" t="s">
        <v>194</v>
      </c>
      <c r="C146" s="45" t="s">
        <v>12413</v>
      </c>
      <c r="D146" s="44" t="str">
        <f>IF(B146="MP-MT",VLOOKUP(C146,'COMPOSIÇÃO DE PREÇO UNITÁRIO'!A:B,2,FALSE),VLOOKUP(C146,'SINAPI_COMPOSIÇÕES 062020'!A:B,2,FALSE))</f>
        <v>ELETROCALHA LISA OU PERFURADA EM AÇO GALVANIZADO, LARGURA 100MM E ALTURA 50MM, INCLUSIVE TAMPA, EMENDA E FIXAÇÃO - FORNECIMENTO E INSTALAÇÃO</v>
      </c>
      <c r="E146" s="45" t="str">
        <f>IF(B146="MP-MT",VLOOKUP(C146,'COMPOSIÇÃO DE PREÇO UNITÁRIO'!A:H,8,FALSE),VLOOKUP(C146,'SINAPI_COMPOSIÇÕES 062020'!A:C,3,FALSE))</f>
        <v>M</v>
      </c>
      <c r="F146" s="78">
        <f>51.4+64.4</f>
        <v>115.80000000000001</v>
      </c>
      <c r="G146" s="79">
        <f>IF(B146="MP-MT",VLOOKUP(CONCATENATE("TOTAL DO ÍTEM - ",C146),'COMPOSIÇÃO DE PREÇO UNITÁRIO'!A:H,8,FALSE),VLOOKUP(C146,'SINAPI_COMPOSIÇÕES 062020'!A:D,4,FALSE))</f>
        <v>69.849999999999994</v>
      </c>
      <c r="H146" s="79">
        <f t="shared" si="33"/>
        <v>90.37</v>
      </c>
      <c r="I146" s="79">
        <f t="shared" si="34"/>
        <v>10464.84</v>
      </c>
    </row>
    <row r="147" spans="1:9" ht="25.5" outlineLevel="2" x14ac:dyDescent="0.2">
      <c r="A147" s="45" t="s">
        <v>13361</v>
      </c>
      <c r="B147" s="45" t="s">
        <v>9</v>
      </c>
      <c r="C147" s="45">
        <v>91926</v>
      </c>
      <c r="D147" s="44" t="str">
        <f>IF(B147="MP-MT",VLOOKUP(C147,'COMPOSIÇÃO DE PREÇO UNITÁRIO'!A:B,2,FALSE),VLOOKUP(C147,'SINAPI_COMPOSIÇÕES 062020'!A:B,2,FALSE))</f>
        <v>CABO DE COBRE FLEXÍVEL ISOLADO, 2,5 MM², ANTI-CHAMA 450/750 V, PARA CIRCUITOS TERMINAIS - FORNECIMENTO E INSTALAÇÃO. AF_12/2015</v>
      </c>
      <c r="E147" s="45" t="str">
        <f>IF(B147="MP-MT",VLOOKUP(C147,'COMPOSIÇÃO DE PREÇO UNITÁRIO'!A:H,8,FALSE),VLOOKUP(C147,'SINAPI_COMPOSIÇÕES 062020'!A:C,3,FALSE))</f>
        <v>M</v>
      </c>
      <c r="F147" s="78">
        <v>4684.66</v>
      </c>
      <c r="G147" s="79">
        <f>IF(B147="MP-MT",VLOOKUP(CONCATENATE("TOTAL DO ÍTEM - ",C147),'COMPOSIÇÃO DE PREÇO UNITÁRIO'!A:H,8,FALSE),VLOOKUP(C147,'SINAPI_COMPOSIÇÕES 062020'!A:D,4,FALSE))</f>
        <v>2.68</v>
      </c>
      <c r="H147" s="79">
        <f t="shared" si="33"/>
        <v>3.46</v>
      </c>
      <c r="I147" s="79">
        <f t="shared" si="34"/>
        <v>16208.92</v>
      </c>
    </row>
    <row r="148" spans="1:9" ht="25.5" outlineLevel="2" x14ac:dyDescent="0.2">
      <c r="A148" s="45" t="s">
        <v>13362</v>
      </c>
      <c r="B148" s="45" t="s">
        <v>9</v>
      </c>
      <c r="C148" s="45">
        <v>91928</v>
      </c>
      <c r="D148" s="44" t="str">
        <f>IF(B148="MP-MT",VLOOKUP(C148,'COMPOSIÇÃO DE PREÇO UNITÁRIO'!A:B,2,FALSE),VLOOKUP(C148,'SINAPI_COMPOSIÇÕES 062020'!A:B,2,FALSE))</f>
        <v>CABO DE COBRE FLEXÍVEL ISOLADO, 4 MM², ANTI-CHAMA 450/750 V, PARA CIRCUITOS TERMINAIS - FORNECIMENTO E INSTALAÇÃO. AF_12/2015</v>
      </c>
      <c r="E148" s="45" t="str">
        <f>IF(B148="MP-MT",VLOOKUP(C148,'COMPOSIÇÃO DE PREÇO UNITÁRIO'!A:H,8,FALSE),VLOOKUP(C148,'SINAPI_COMPOSIÇÕES 062020'!A:C,3,FALSE))</f>
        <v>M</v>
      </c>
      <c r="F148" s="78">
        <v>1008.45</v>
      </c>
      <c r="G148" s="79">
        <f>IF(B148="MP-MT",VLOOKUP(CONCATENATE("TOTAL DO ÍTEM - ",C148),'COMPOSIÇÃO DE PREÇO UNITÁRIO'!A:H,8,FALSE),VLOOKUP(C148,'SINAPI_COMPOSIÇÕES 062020'!A:D,4,FALSE))</f>
        <v>4.3499999999999996</v>
      </c>
      <c r="H148" s="79">
        <f t="shared" si="33"/>
        <v>5.62</v>
      </c>
      <c r="I148" s="79">
        <f t="shared" si="34"/>
        <v>5667.48</v>
      </c>
    </row>
    <row r="149" spans="1:9" ht="25.5" outlineLevel="2" x14ac:dyDescent="0.2">
      <c r="A149" s="45" t="s">
        <v>13363</v>
      </c>
      <c r="B149" s="45" t="s">
        <v>9</v>
      </c>
      <c r="C149" s="45">
        <v>91930</v>
      </c>
      <c r="D149" s="44" t="str">
        <f>IF(B149="MP-MT",VLOOKUP(C149,'COMPOSIÇÃO DE PREÇO UNITÁRIO'!A:B,2,FALSE),VLOOKUP(C149,'SINAPI_COMPOSIÇÕES 062020'!A:B,2,FALSE))</f>
        <v>CABO DE COBRE FLEXÍVEL ISOLADO, 6 MM², ANTI-CHAMA 450/750 V, PARA CIRCUITOS TERMINAIS - FORNECIMENTO E INSTALAÇÃO. AF_12/2015</v>
      </c>
      <c r="E149" s="45" t="str">
        <f>IF(B149="MP-MT",VLOOKUP(C149,'COMPOSIÇÃO DE PREÇO UNITÁRIO'!A:H,8,FALSE),VLOOKUP(C149,'SINAPI_COMPOSIÇÕES 062020'!A:C,3,FALSE))</f>
        <v>M</v>
      </c>
      <c r="F149" s="78">
        <v>26.4</v>
      </c>
      <c r="G149" s="79">
        <f>IF(B149="MP-MT",VLOOKUP(CONCATENATE("TOTAL DO ÍTEM - ",C149),'COMPOSIÇÃO DE PREÇO UNITÁRIO'!A:H,8,FALSE),VLOOKUP(C149,'SINAPI_COMPOSIÇÕES 062020'!A:D,4,FALSE))</f>
        <v>5.94</v>
      </c>
      <c r="H149" s="79">
        <f t="shared" si="33"/>
        <v>7.68</v>
      </c>
      <c r="I149" s="79">
        <f t="shared" si="34"/>
        <v>202.75</v>
      </c>
    </row>
    <row r="150" spans="1:9" ht="25.5" outlineLevel="2" x14ac:dyDescent="0.2">
      <c r="A150" s="45" t="s">
        <v>13364</v>
      </c>
      <c r="B150" s="45" t="s">
        <v>9</v>
      </c>
      <c r="C150" s="45">
        <v>91935</v>
      </c>
      <c r="D150" s="44" t="str">
        <f>IF(B150="MP-MT",VLOOKUP(C150,'COMPOSIÇÃO DE PREÇO UNITÁRIO'!A:B,2,FALSE),VLOOKUP(C150,'SINAPI_COMPOSIÇÕES 062020'!A:B,2,FALSE))</f>
        <v>CABO DE COBRE FLEXÍVEL ISOLADO, 16 MM², ANTI-CHAMA 0,6/1,0 KV, PARA CIRCUITOS TERMINAIS - FORNECIMENTO E INSTALAÇÃO. AF_12/2015</v>
      </c>
      <c r="E150" s="45" t="str">
        <f>IF(B150="MP-MT",VLOOKUP(C150,'COMPOSIÇÃO DE PREÇO UNITÁRIO'!A:H,8,FALSE),VLOOKUP(C150,'SINAPI_COMPOSIÇÕES 062020'!A:C,3,FALSE))</f>
        <v>M</v>
      </c>
      <c r="F150" s="78">
        <v>59</v>
      </c>
      <c r="G150" s="79">
        <f>IF(B150="MP-MT",VLOOKUP(CONCATENATE("TOTAL DO ÍTEM - ",C150),'COMPOSIÇÃO DE PREÇO UNITÁRIO'!A:H,8,FALSE),VLOOKUP(C150,'SINAPI_COMPOSIÇÕES 062020'!A:D,4,FALSE))</f>
        <v>15.87</v>
      </c>
      <c r="H150" s="79">
        <f t="shared" si="33"/>
        <v>20.53</v>
      </c>
      <c r="I150" s="79">
        <f t="shared" si="34"/>
        <v>1211.27</v>
      </c>
    </row>
    <row r="151" spans="1:9" ht="25.5" outlineLevel="2" x14ac:dyDescent="0.2">
      <c r="A151" s="45" t="s">
        <v>13365</v>
      </c>
      <c r="B151" s="45" t="s">
        <v>9</v>
      </c>
      <c r="C151" s="45">
        <v>92984</v>
      </c>
      <c r="D151" s="44" t="str">
        <f>IF(B151="MP-MT",VLOOKUP(C151,'COMPOSIÇÃO DE PREÇO UNITÁRIO'!A:B,2,FALSE),VLOOKUP(C151,'SINAPI_COMPOSIÇÕES 062020'!A:B,2,FALSE))</f>
        <v>CABO DE COBRE FLEXÍVEL ISOLADO, 25 MM², ANTI-CHAMA 0,6/1,0 KV, PARA DISTRIBUIÇÃO - FORNECIMENTO E INSTALAÇÃO. AF_12/2015</v>
      </c>
      <c r="E151" s="45" t="str">
        <f>IF(B151="MP-MT",VLOOKUP(C151,'COMPOSIÇÃO DE PREÇO UNITÁRIO'!A:H,8,FALSE),VLOOKUP(C151,'SINAPI_COMPOSIÇÕES 062020'!A:C,3,FALSE))</f>
        <v>M</v>
      </c>
      <c r="F151" s="78">
        <v>236</v>
      </c>
      <c r="G151" s="79">
        <f>IF(B151="MP-MT",VLOOKUP(CONCATENATE("TOTAL DO ÍTEM - ",C151),'COMPOSIÇÃO DE PREÇO UNITÁRIO'!A:H,8,FALSE),VLOOKUP(C151,'SINAPI_COMPOSIÇÕES 062020'!A:D,4,FALSE))</f>
        <v>17.8</v>
      </c>
      <c r="H151" s="79">
        <f t="shared" si="33"/>
        <v>23.03</v>
      </c>
      <c r="I151" s="79">
        <f t="shared" si="34"/>
        <v>5435.08</v>
      </c>
    </row>
    <row r="152" spans="1:9" ht="25.5" outlineLevel="2" x14ac:dyDescent="0.2">
      <c r="A152" s="45" t="s">
        <v>13366</v>
      </c>
      <c r="B152" s="45" t="s">
        <v>9</v>
      </c>
      <c r="C152" s="45">
        <v>92988</v>
      </c>
      <c r="D152" s="44" t="str">
        <f>IF(B152="MP-MT",VLOOKUP(C152,'COMPOSIÇÃO DE PREÇO UNITÁRIO'!A:B,2,FALSE),VLOOKUP(C152,'SINAPI_COMPOSIÇÕES 062020'!A:B,2,FALSE))</f>
        <v>CABO DE COBRE FLEXÍVEL ISOLADO, 50 MM², ANTI-CHAMA 0,6/1,0 KV, PARA DISTRIBUIÇÃO - FORNECIMENTO E INSTALAÇÃO. AF_12/2015</v>
      </c>
      <c r="E152" s="45" t="str">
        <f>IF(B152="MP-MT",VLOOKUP(C152,'COMPOSIÇÃO DE PREÇO UNITÁRIO'!A:H,8,FALSE),VLOOKUP(C152,'SINAPI_COMPOSIÇÕES 062020'!A:C,3,FALSE))</f>
        <v>M</v>
      </c>
      <c r="F152" s="78">
        <v>46.1</v>
      </c>
      <c r="G152" s="79">
        <f>IF(B152="MP-MT",VLOOKUP(CONCATENATE("TOTAL DO ÍTEM - ",C152),'COMPOSIÇÃO DE PREÇO UNITÁRIO'!A:H,8,FALSE),VLOOKUP(C152,'SINAPI_COMPOSIÇÕES 062020'!A:D,4,FALSE))</f>
        <v>33.69</v>
      </c>
      <c r="H152" s="79">
        <f t="shared" si="33"/>
        <v>43.58</v>
      </c>
      <c r="I152" s="79">
        <f t="shared" si="34"/>
        <v>2009.03</v>
      </c>
    </row>
    <row r="153" spans="1:9" ht="25.5" outlineLevel="2" x14ac:dyDescent="0.2">
      <c r="A153" s="45" t="s">
        <v>13367</v>
      </c>
      <c r="B153" s="45" t="s">
        <v>9</v>
      </c>
      <c r="C153" s="45">
        <v>92992</v>
      </c>
      <c r="D153" s="44" t="str">
        <f>IF(B153="MP-MT",VLOOKUP(C153,'COMPOSIÇÃO DE PREÇO UNITÁRIO'!A:B,2,FALSE),VLOOKUP(C153,'SINAPI_COMPOSIÇÕES 062020'!A:B,2,FALSE))</f>
        <v>CABO DE COBRE FLEXÍVEL ISOLADO, 95 MM², ANTI-CHAMA 0,6/1,0 KV, PARA DISTRIBUIÇÃO - FORNECIMENTO E INSTALAÇÃO. AF_12/2015</v>
      </c>
      <c r="E153" s="45" t="str">
        <f>IF(B153="MP-MT",VLOOKUP(C153,'COMPOSIÇÃO DE PREÇO UNITÁRIO'!A:H,8,FALSE),VLOOKUP(C153,'SINAPI_COMPOSIÇÕES 062020'!A:C,3,FALSE))</f>
        <v>M</v>
      </c>
      <c r="F153" s="78">
        <v>184.4</v>
      </c>
      <c r="G153" s="79">
        <f>IF(B153="MP-MT",VLOOKUP(CONCATENATE("TOTAL DO ÍTEM - ",C153),'COMPOSIÇÃO DE PREÇO UNITÁRIO'!A:H,8,FALSE),VLOOKUP(C153,'SINAPI_COMPOSIÇÕES 062020'!A:D,4,FALSE))</f>
        <v>60.94</v>
      </c>
      <c r="H153" s="79">
        <f t="shared" si="33"/>
        <v>78.84</v>
      </c>
      <c r="I153" s="79">
        <f t="shared" si="34"/>
        <v>14538.09</v>
      </c>
    </row>
    <row r="154" spans="1:9" ht="25.5" outlineLevel="2" x14ac:dyDescent="0.2">
      <c r="A154" s="45" t="s">
        <v>13368</v>
      </c>
      <c r="B154" s="45" t="s">
        <v>9</v>
      </c>
      <c r="C154" s="45">
        <v>90458</v>
      </c>
      <c r="D154" s="44" t="str">
        <f>IF(B154="MP-MT",VLOOKUP(C154,'COMPOSIÇÃO DE PREÇO UNITÁRIO'!A:B,2,FALSE),VLOOKUP(C154,'SINAPI_COMPOSIÇÕES 062020'!A:B,2,FALSE))</f>
        <v>QUEBRA EM ALVENARIA PARA INSTALAÇÃO DE QUADRO DISTRIBUIÇÃO GRANDE (76X40 CM). AF_05/2015</v>
      </c>
      <c r="E154" s="45" t="str">
        <f>IF(B154="MP-MT",VLOOKUP(C154,'COMPOSIÇÃO DE PREÇO UNITÁRIO'!A:H,8,FALSE),VLOOKUP(C154,'SINAPI_COMPOSIÇÕES 062020'!A:C,3,FALSE))</f>
        <v>UN</v>
      </c>
      <c r="F154" s="78">
        <v>4</v>
      </c>
      <c r="G154" s="79">
        <f>IF(B154="MP-MT",VLOOKUP(CONCATENATE("TOTAL DO ÍTEM - ",C154),'COMPOSIÇÃO DE PREÇO UNITÁRIO'!A:H,8,FALSE),VLOOKUP(C154,'SINAPI_COMPOSIÇÕES 062020'!A:D,4,FALSE))</f>
        <v>18.600000000000001</v>
      </c>
      <c r="H154" s="79">
        <f t="shared" ref="H154" si="37">TRUNC(G154*(1+$F$1),2)</f>
        <v>24.06</v>
      </c>
      <c r="I154" s="79">
        <f t="shared" ref="I154" si="38">TRUNC(H154*F154,2)</f>
        <v>96.24</v>
      </c>
    </row>
    <row r="155" spans="1:9" ht="38.25" outlineLevel="2" x14ac:dyDescent="0.2">
      <c r="A155" s="45" t="s">
        <v>13369</v>
      </c>
      <c r="B155" s="45" t="s">
        <v>9</v>
      </c>
      <c r="C155" s="45" t="s">
        <v>2930</v>
      </c>
      <c r="D155" s="44" t="str">
        <f>IF(B155="MP-MT",VLOOKUP(C155,'COMPOSIÇÃO DE PREÇO UNITÁRIO'!A:B,2,FALSE),VLOOKUP(C155,'SINAPI_COMPOSIÇÕES 062020'!A:B,2,FALSE))</f>
        <v>QUADRO DE DISTRIBUICAO DE ENERGIA DE EMBUTIR, EM CHAPA METALICA, PARA 50 DISJUNTORES TERMOMAGNETICOS MONOPOLARES, COM BARRAMENTO TRIFASICO E NEUTRO, FORNECIMENTO E INSTALACAO</v>
      </c>
      <c r="E155" s="45" t="str">
        <f>IF(B155="MP-MT",VLOOKUP(C155,'COMPOSIÇÃO DE PREÇO UNITÁRIO'!A:H,8,FALSE),VLOOKUP(C155,'SINAPI_COMPOSIÇÕES 062020'!A:C,3,FALSE))</f>
        <v>UN</v>
      </c>
      <c r="F155" s="78">
        <v>4</v>
      </c>
      <c r="G155" s="79">
        <f>IF(B155="MP-MT",VLOOKUP(CONCATENATE("TOTAL DO ÍTEM - ",C155),'COMPOSIÇÃO DE PREÇO UNITÁRIO'!A:H,8,FALSE),VLOOKUP(C155,'SINAPI_COMPOSIÇÕES 062020'!A:D,4,FALSE))</f>
        <v>1220.8399999999999</v>
      </c>
      <c r="H155" s="79">
        <f t="shared" si="33"/>
        <v>1579.58</v>
      </c>
      <c r="I155" s="79">
        <f t="shared" si="34"/>
        <v>6318.32</v>
      </c>
    </row>
    <row r="156" spans="1:9" ht="25.5" outlineLevel="2" x14ac:dyDescent="0.2">
      <c r="A156" s="45" t="s">
        <v>13370</v>
      </c>
      <c r="B156" s="45" t="s">
        <v>194</v>
      </c>
      <c r="C156" s="45" t="s">
        <v>12167</v>
      </c>
      <c r="D156" s="44" t="str">
        <f>IF(B156="MP-MT",VLOOKUP(C156,'COMPOSIÇÃO DE PREÇO UNITÁRIO'!A:B,2,FALSE),VLOOKUP(C156,'SINAPI_COMPOSIÇÕES 062020'!A:B,2,FALSE))</f>
        <v>DISJUNTOR TERMOMAGNÉTICO TRIPOLAR 200A- DIN CURVA C  - FORNECIMENTO E INSTALAÇÃO</v>
      </c>
      <c r="E156" s="45" t="str">
        <f>IF(B156="MP-MT",VLOOKUP(C156,'COMPOSIÇÃO DE PREÇO UNITÁRIO'!A:H,8,FALSE),VLOOKUP(C156,'SINAPI_COMPOSIÇÕES 062020'!A:C,3,FALSE))</f>
        <v>UND</v>
      </c>
      <c r="F156" s="78">
        <v>1</v>
      </c>
      <c r="G156" s="79">
        <f>IF(B156="MP-MT",VLOOKUP(CONCATENATE("TOTAL DO ÍTEM - ",C156),'COMPOSIÇÃO DE PREÇO UNITÁRIO'!A:H,8,FALSE),VLOOKUP(C156,'SINAPI_COMPOSIÇÕES 062020'!A:D,4,FALSE))</f>
        <v>524.61</v>
      </c>
      <c r="H156" s="79">
        <f t="shared" si="33"/>
        <v>678.76</v>
      </c>
      <c r="I156" s="79">
        <f t="shared" si="34"/>
        <v>678.76</v>
      </c>
    </row>
    <row r="157" spans="1:9" ht="25.5" outlineLevel="2" x14ac:dyDescent="0.2">
      <c r="A157" s="45" t="s">
        <v>13371</v>
      </c>
      <c r="B157" s="45" t="s">
        <v>194</v>
      </c>
      <c r="C157" s="45" t="s">
        <v>12172</v>
      </c>
      <c r="D157" s="44" t="str">
        <f>IF(B157="MP-MT",VLOOKUP(C157,'COMPOSIÇÃO DE PREÇO UNITÁRIO'!A:B,2,FALSE),VLOOKUP(C157,'SINAPI_COMPOSIÇÕES 062020'!A:B,2,FALSE))</f>
        <v>DISJUNTOR TRIPOLAR TIPO DIN, CORRENTE NOMINAL DE 80A - FORNECIMENTO E INSTALAÇÃO</v>
      </c>
      <c r="E157" s="45" t="str">
        <f>IF(B157="MP-MT",VLOOKUP(C157,'COMPOSIÇÃO DE PREÇO UNITÁRIO'!A:H,8,FALSE),VLOOKUP(C157,'SINAPI_COMPOSIÇÕES 062020'!A:C,3,FALSE))</f>
        <v>UND</v>
      </c>
      <c r="F157" s="78">
        <v>8</v>
      </c>
      <c r="G157" s="79">
        <f>IF(B157="MP-MT",VLOOKUP(CONCATENATE("TOTAL DO ÍTEM - ",C157),'COMPOSIÇÃO DE PREÇO UNITÁRIO'!A:H,8,FALSE),VLOOKUP(C157,'SINAPI_COMPOSIÇÕES 062020'!A:D,4,FALSE))</f>
        <v>194.87</v>
      </c>
      <c r="H157" s="79">
        <f t="shared" si="33"/>
        <v>252.13</v>
      </c>
      <c r="I157" s="79">
        <f t="shared" si="34"/>
        <v>2017.04</v>
      </c>
    </row>
    <row r="158" spans="1:9" ht="25.5" outlineLevel="2" x14ac:dyDescent="0.2">
      <c r="A158" s="45" t="s">
        <v>13372</v>
      </c>
      <c r="B158" s="45" t="s">
        <v>9</v>
      </c>
      <c r="C158" s="45">
        <v>93660</v>
      </c>
      <c r="D158" s="44" t="str">
        <f>IF(B158="MP-MT",VLOOKUP(C158,'COMPOSIÇÃO DE PREÇO UNITÁRIO'!A:B,2,FALSE),VLOOKUP(C158,'SINAPI_COMPOSIÇÕES 062020'!A:B,2,FALSE))</f>
        <v>DISJUNTOR BIPOLAR TIPO DIN, CORRENTE NOMINAL DE 10A - FORNECIMENTO E INSTALAÇÃO. AF_04/2016</v>
      </c>
      <c r="E158" s="45" t="str">
        <f>IF(B158="MP-MT",VLOOKUP(C158,'COMPOSIÇÃO DE PREÇO UNITÁRIO'!A:H,8,FALSE),VLOOKUP(C158,'SINAPI_COMPOSIÇÕES 062020'!A:C,3,FALSE))</f>
        <v>UN</v>
      </c>
      <c r="F158" s="78">
        <v>12</v>
      </c>
      <c r="G158" s="79">
        <f>IF(B158="MP-MT",VLOOKUP(CONCATENATE("TOTAL DO ÍTEM - ",C158),'COMPOSIÇÃO DE PREÇO UNITÁRIO'!A:H,8,FALSE),VLOOKUP(C158,'SINAPI_COMPOSIÇÕES 062020'!A:D,4,FALSE))</f>
        <v>48.62</v>
      </c>
      <c r="H158" s="79">
        <f t="shared" si="33"/>
        <v>62.9</v>
      </c>
      <c r="I158" s="79">
        <f t="shared" si="34"/>
        <v>754.8</v>
      </c>
    </row>
    <row r="159" spans="1:9" ht="25.5" outlineLevel="2" x14ac:dyDescent="0.2">
      <c r="A159" s="45" t="s">
        <v>13373</v>
      </c>
      <c r="B159" s="45" t="s">
        <v>9</v>
      </c>
      <c r="C159" s="45">
        <v>93661</v>
      </c>
      <c r="D159" s="44" t="str">
        <f>IF(B159="MP-MT",VLOOKUP(C159,'COMPOSIÇÃO DE PREÇO UNITÁRIO'!A:B,2,FALSE),VLOOKUP(C159,'SINAPI_COMPOSIÇÕES 062020'!A:B,2,FALSE))</f>
        <v>DISJUNTOR BIPOLAR TIPO DIN, CORRENTE NOMINAL DE 16A - FORNECIMENTO E INSTALAÇÃO. AF_04/2016</v>
      </c>
      <c r="E159" s="45" t="str">
        <f>IF(B159="MP-MT",VLOOKUP(C159,'COMPOSIÇÃO DE PREÇO UNITÁRIO'!A:H,8,FALSE),VLOOKUP(C159,'SINAPI_COMPOSIÇÕES 062020'!A:C,3,FALSE))</f>
        <v>UN</v>
      </c>
      <c r="F159" s="78">
        <v>7</v>
      </c>
      <c r="G159" s="79">
        <f>IF(B159="MP-MT",VLOOKUP(CONCATENATE("TOTAL DO ÍTEM - ",C159),'COMPOSIÇÃO DE PREÇO UNITÁRIO'!A:H,8,FALSE),VLOOKUP(C159,'SINAPI_COMPOSIÇÕES 062020'!A:D,4,FALSE))</f>
        <v>49.44</v>
      </c>
      <c r="H159" s="79">
        <f t="shared" si="33"/>
        <v>63.96</v>
      </c>
      <c r="I159" s="79">
        <f t="shared" si="34"/>
        <v>447.72</v>
      </c>
    </row>
    <row r="160" spans="1:9" ht="25.5" outlineLevel="2" x14ac:dyDescent="0.2">
      <c r="A160" s="45" t="s">
        <v>13374</v>
      </c>
      <c r="B160" s="45" t="s">
        <v>9</v>
      </c>
      <c r="C160" s="45">
        <v>93663</v>
      </c>
      <c r="D160" s="44" t="str">
        <f>IF(B160="MP-MT",VLOOKUP(C160,'COMPOSIÇÃO DE PREÇO UNITÁRIO'!A:B,2,FALSE),VLOOKUP(C160,'SINAPI_COMPOSIÇÕES 062020'!A:B,2,FALSE))</f>
        <v>DISJUNTOR BIPOLAR TIPO DIN, CORRENTE NOMINAL DE 25A - FORNECIMENTO E INSTALAÇÃO. AF_04/2016</v>
      </c>
      <c r="E160" s="45" t="str">
        <f>IF(B160="MP-MT",VLOOKUP(C160,'COMPOSIÇÃO DE PREÇO UNITÁRIO'!A:H,8,FALSE),VLOOKUP(C160,'SINAPI_COMPOSIÇÕES 062020'!A:C,3,FALSE))</f>
        <v>UN</v>
      </c>
      <c r="F160" s="78">
        <v>3</v>
      </c>
      <c r="G160" s="79">
        <f>IF(B160="MP-MT",VLOOKUP(CONCATENATE("TOTAL DO ÍTEM - ",C160),'COMPOSIÇÃO DE PREÇO UNITÁRIO'!A:H,8,FALSE),VLOOKUP(C160,'SINAPI_COMPOSIÇÕES 062020'!A:D,4,FALSE))</f>
        <v>51.1</v>
      </c>
      <c r="H160" s="79">
        <f t="shared" si="33"/>
        <v>66.11</v>
      </c>
      <c r="I160" s="79">
        <f t="shared" si="34"/>
        <v>198.33</v>
      </c>
    </row>
    <row r="161" spans="1:9" ht="25.5" outlineLevel="2" x14ac:dyDescent="0.2">
      <c r="A161" s="45" t="s">
        <v>13375</v>
      </c>
      <c r="B161" s="45" t="s">
        <v>9</v>
      </c>
      <c r="C161" s="45">
        <v>93664</v>
      </c>
      <c r="D161" s="44" t="str">
        <f>IF(B161="MP-MT",VLOOKUP(C161,'COMPOSIÇÃO DE PREÇO UNITÁRIO'!A:B,2,FALSE),VLOOKUP(C161,'SINAPI_COMPOSIÇÕES 062020'!A:B,2,FALSE))</f>
        <v>DISJUNTOR BIPOLAR TIPO DIN, CORRENTE NOMINAL DE 32A - FORNECIMENTO E INSTALAÇÃO. AF_04/2016</v>
      </c>
      <c r="E161" s="45" t="str">
        <f>IF(B161="MP-MT",VLOOKUP(C161,'COMPOSIÇÃO DE PREÇO UNITÁRIO'!A:H,8,FALSE),VLOOKUP(C161,'SINAPI_COMPOSIÇÕES 062020'!A:C,3,FALSE))</f>
        <v>UN</v>
      </c>
      <c r="F161" s="78">
        <v>1</v>
      </c>
      <c r="G161" s="79">
        <f>IF(B161="MP-MT",VLOOKUP(CONCATENATE("TOTAL DO ÍTEM - ",C161),'COMPOSIÇÃO DE PREÇO UNITÁRIO'!A:H,8,FALSE),VLOOKUP(C161,'SINAPI_COMPOSIÇÕES 062020'!A:D,4,FALSE))</f>
        <v>53.06</v>
      </c>
      <c r="H161" s="79">
        <f t="shared" si="33"/>
        <v>68.650000000000006</v>
      </c>
      <c r="I161" s="79">
        <f t="shared" si="34"/>
        <v>68.650000000000006</v>
      </c>
    </row>
    <row r="162" spans="1:9" ht="25.5" outlineLevel="2" x14ac:dyDescent="0.2">
      <c r="A162" s="45" t="s">
        <v>13376</v>
      </c>
      <c r="B162" s="45" t="s">
        <v>9</v>
      </c>
      <c r="C162" s="45">
        <v>93653</v>
      </c>
      <c r="D162" s="44" t="str">
        <f>IF(B162="MP-MT",VLOOKUP(C162,'COMPOSIÇÃO DE PREÇO UNITÁRIO'!A:B,2,FALSE),VLOOKUP(C162,'SINAPI_COMPOSIÇÕES 062020'!A:B,2,FALSE))</f>
        <v>DISJUNTOR MONOPOLAR TIPO DIN, CORRENTE NOMINAL DE 10A - FORNECIMENTO E INSTALAÇÃO. AF_04/2016</v>
      </c>
      <c r="E162" s="45" t="str">
        <f>IF(B162="MP-MT",VLOOKUP(C162,'COMPOSIÇÃO DE PREÇO UNITÁRIO'!A:H,8,FALSE),VLOOKUP(C162,'SINAPI_COMPOSIÇÕES 062020'!A:C,3,FALSE))</f>
        <v>UN</v>
      </c>
      <c r="F162" s="78">
        <v>47</v>
      </c>
      <c r="G162" s="79">
        <f>IF(B162="MP-MT",VLOOKUP(CONCATENATE("TOTAL DO ÍTEM - ",C162),'COMPOSIÇÃO DE PREÇO UNITÁRIO'!A:H,8,FALSE),VLOOKUP(C162,'SINAPI_COMPOSIÇÕES 062020'!A:D,4,FALSE))</f>
        <v>9.67</v>
      </c>
      <c r="H162" s="79">
        <f t="shared" si="33"/>
        <v>12.51</v>
      </c>
      <c r="I162" s="79">
        <f t="shared" si="34"/>
        <v>587.97</v>
      </c>
    </row>
    <row r="163" spans="1:9" ht="25.5" outlineLevel="2" x14ac:dyDescent="0.2">
      <c r="A163" s="45" t="s">
        <v>13377</v>
      </c>
      <c r="B163" s="45" t="s">
        <v>9</v>
      </c>
      <c r="C163" s="45">
        <v>93654</v>
      </c>
      <c r="D163" s="44" t="str">
        <f>IF(B163="MP-MT",VLOOKUP(C163,'COMPOSIÇÃO DE PREÇO UNITÁRIO'!A:B,2,FALSE),VLOOKUP(C163,'SINAPI_COMPOSIÇÕES 062020'!A:B,2,FALSE))</f>
        <v>DISJUNTOR MONOPOLAR TIPO DIN, CORRENTE NOMINAL DE 16A - FORNECIMENTO E INSTALAÇÃO. AF_04/2016</v>
      </c>
      <c r="E163" s="45" t="str">
        <f>IF(B163="MP-MT",VLOOKUP(C163,'COMPOSIÇÃO DE PREÇO UNITÁRIO'!A:H,8,FALSE),VLOOKUP(C163,'SINAPI_COMPOSIÇÕES 062020'!A:C,3,FALSE))</f>
        <v>UN</v>
      </c>
      <c r="F163" s="78">
        <v>8</v>
      </c>
      <c r="G163" s="79">
        <f>IF(B163="MP-MT",VLOOKUP(CONCATENATE("TOTAL DO ÍTEM - ",C163),'COMPOSIÇÃO DE PREÇO UNITÁRIO'!A:H,8,FALSE),VLOOKUP(C163,'SINAPI_COMPOSIÇÕES 062020'!A:D,4,FALSE))</f>
        <v>10.09</v>
      </c>
      <c r="H163" s="79">
        <f t="shared" si="33"/>
        <v>13.05</v>
      </c>
      <c r="I163" s="79">
        <f t="shared" si="34"/>
        <v>104.4</v>
      </c>
    </row>
    <row r="164" spans="1:9" ht="25.5" outlineLevel="2" x14ac:dyDescent="0.2">
      <c r="A164" s="45" t="s">
        <v>13378</v>
      </c>
      <c r="B164" s="45" t="s">
        <v>9</v>
      </c>
      <c r="C164" s="45">
        <v>93655</v>
      </c>
      <c r="D164" s="44" t="str">
        <f>IF(B164="MP-MT",VLOOKUP(C164,'COMPOSIÇÃO DE PREÇO UNITÁRIO'!A:B,2,FALSE),VLOOKUP(C164,'SINAPI_COMPOSIÇÕES 062020'!A:B,2,FALSE))</f>
        <v>DISJUNTOR MONOPOLAR TIPO DIN, CORRENTE NOMINAL DE 20A - FORNECIMENTO E INSTALAÇÃO. AF_04/2016</v>
      </c>
      <c r="E164" s="45" t="str">
        <f>IF(B164="MP-MT",VLOOKUP(C164,'COMPOSIÇÃO DE PREÇO UNITÁRIO'!A:H,8,FALSE),VLOOKUP(C164,'SINAPI_COMPOSIÇÕES 062020'!A:C,3,FALSE))</f>
        <v>UN</v>
      </c>
      <c r="F164" s="78">
        <v>2</v>
      </c>
      <c r="G164" s="79">
        <f>IF(B164="MP-MT",VLOOKUP(CONCATENATE("TOTAL DO ÍTEM - ",C164),'COMPOSIÇÃO DE PREÇO UNITÁRIO'!A:H,8,FALSE),VLOOKUP(C164,'SINAPI_COMPOSIÇÕES 062020'!A:D,4,FALSE))</f>
        <v>10.89</v>
      </c>
      <c r="H164" s="79">
        <f t="shared" si="33"/>
        <v>14.09</v>
      </c>
      <c r="I164" s="79">
        <f t="shared" si="34"/>
        <v>28.18</v>
      </c>
    </row>
    <row r="165" spans="1:9" ht="25.5" outlineLevel="2" x14ac:dyDescent="0.2">
      <c r="A165" s="45" t="s">
        <v>13379</v>
      </c>
      <c r="B165" s="45" t="s">
        <v>9</v>
      </c>
      <c r="C165" s="45" t="s">
        <v>2919</v>
      </c>
      <c r="D165" s="44" t="str">
        <f>IF(B165="MP-MT",VLOOKUP(C165,'COMPOSIÇÃO DE PREÇO UNITÁRIO'!A:B,2,FALSE),VLOOKUP(C165,'SINAPI_COMPOSIÇÕES 062020'!A:B,2,FALSE))</f>
        <v>DISJUNTOR TERMOMAGNETICO TRIPOLAR EM CAIXA MOLDADA 175 A 225A 240V, FORNECIMENTO E INSTALACAO</v>
      </c>
      <c r="E165" s="45" t="str">
        <f>IF(B165="MP-MT",VLOOKUP(C165,'COMPOSIÇÃO DE PREÇO UNITÁRIO'!A:H,8,FALSE),VLOOKUP(C165,'SINAPI_COMPOSIÇÕES 062020'!A:C,3,FALSE))</f>
        <v>UN</v>
      </c>
      <c r="F165" s="78">
        <v>1</v>
      </c>
      <c r="G165" s="79">
        <f>IF(B165="MP-MT",VLOOKUP(CONCATENATE("TOTAL DO ÍTEM - ",C165),'COMPOSIÇÃO DE PREÇO UNITÁRIO'!A:H,8,FALSE),VLOOKUP(C165,'SINAPI_COMPOSIÇÕES 062020'!A:D,4,FALSE))</f>
        <v>491.52</v>
      </c>
      <c r="H165" s="79">
        <f t="shared" si="33"/>
        <v>635.95000000000005</v>
      </c>
      <c r="I165" s="79">
        <f t="shared" si="34"/>
        <v>635.95000000000005</v>
      </c>
    </row>
    <row r="166" spans="1:9" ht="25.5" outlineLevel="2" x14ac:dyDescent="0.2">
      <c r="A166" s="45" t="s">
        <v>13380</v>
      </c>
      <c r="B166" s="45" t="s">
        <v>194</v>
      </c>
      <c r="C166" s="45" t="s">
        <v>12176</v>
      </c>
      <c r="D166" s="44" t="str">
        <f>IF(B166="MP-MT",VLOOKUP(C166,'COMPOSIÇÃO DE PREÇO UNITÁRIO'!A:B,2,FALSE),VLOOKUP(C166,'SINAPI_COMPOSIÇÕES 062020'!A:B,2,FALSE))</f>
        <v>DISPOSITIVO DPS CLASSE II, 1 POLO, TENSAO MAXIMA DE 175 V, CORRENTE MAXIMA DE 8 KA (TIPO AC) - FORNECIMENTO E INSTALAÇÃO</v>
      </c>
      <c r="E166" s="45" t="str">
        <f>IF(B166="MP-MT",VLOOKUP(C166,'COMPOSIÇÃO DE PREÇO UNITÁRIO'!A:H,8,FALSE),VLOOKUP(C166,'SINAPI_COMPOSIÇÕES 062020'!A:C,3,FALSE))</f>
        <v>UND</v>
      </c>
      <c r="F166" s="78">
        <v>16</v>
      </c>
      <c r="G166" s="79">
        <f>IF(B166="MP-MT",VLOOKUP(CONCATENATE("TOTAL DO ÍTEM - ",C166),'COMPOSIÇÃO DE PREÇO UNITÁRIO'!A:H,8,FALSE),VLOOKUP(C166,'SINAPI_COMPOSIÇÕES 062020'!A:D,4,FALSE))</f>
        <v>60.95</v>
      </c>
      <c r="H166" s="79">
        <f t="shared" si="33"/>
        <v>78.86</v>
      </c>
      <c r="I166" s="79">
        <f t="shared" si="34"/>
        <v>1261.76</v>
      </c>
    </row>
    <row r="167" spans="1:9" ht="25.5" outlineLevel="2" x14ac:dyDescent="0.2">
      <c r="A167" s="45" t="s">
        <v>13381</v>
      </c>
      <c r="B167" s="45" t="s">
        <v>9</v>
      </c>
      <c r="C167" s="45">
        <v>91992</v>
      </c>
      <c r="D167" s="44" t="str">
        <f>IF(B167="MP-MT",VLOOKUP(C167,'COMPOSIÇÃO DE PREÇO UNITÁRIO'!A:B,2,FALSE),VLOOKUP(C167,'SINAPI_COMPOSIÇÕES 062020'!A:B,2,FALSE))</f>
        <v>TOMADA ALTA DE EMBUTIR (1 MÓDULO), 2P+T 10 A, INCLUINDO SUPORTE E PLACA - FORNECIMENTO E INSTALAÇÃO. AF_12/2015</v>
      </c>
      <c r="E167" s="45" t="str">
        <f>IF(B167="MP-MT",VLOOKUP(C167,'COMPOSIÇÃO DE PREÇO UNITÁRIO'!A:H,8,FALSE),VLOOKUP(C167,'SINAPI_COMPOSIÇÕES 062020'!A:C,3,FALSE))</f>
        <v>UN</v>
      </c>
      <c r="F167" s="78">
        <v>38</v>
      </c>
      <c r="G167" s="79">
        <f>IF(B167="MP-MT",VLOOKUP(CONCATENATE("TOTAL DO ÍTEM - ",C167),'COMPOSIÇÃO DE PREÇO UNITÁRIO'!A:H,8,FALSE),VLOOKUP(C167,'SINAPI_COMPOSIÇÕES 062020'!A:D,4,FALSE))</f>
        <v>25.8</v>
      </c>
      <c r="H167" s="79">
        <f t="shared" si="33"/>
        <v>33.380000000000003</v>
      </c>
      <c r="I167" s="79">
        <f t="shared" si="34"/>
        <v>1268.44</v>
      </c>
    </row>
    <row r="168" spans="1:9" ht="25.5" outlineLevel="2" x14ac:dyDescent="0.2">
      <c r="A168" s="45" t="s">
        <v>13382</v>
      </c>
      <c r="B168" s="45" t="s">
        <v>9</v>
      </c>
      <c r="C168" s="45">
        <v>92000</v>
      </c>
      <c r="D168" s="44" t="str">
        <f>IF(B168="MP-MT",VLOOKUP(C168,'COMPOSIÇÃO DE PREÇO UNITÁRIO'!A:B,2,FALSE),VLOOKUP(C168,'SINAPI_COMPOSIÇÕES 062020'!A:B,2,FALSE))</f>
        <v>TOMADA BAIXA DE EMBUTIR (1 MÓDULO), 2P+T 10 A, INCLUINDO SUPORTE E PLACA - FORNECIMENTO E INSTALAÇÃO. AF_12/2015</v>
      </c>
      <c r="E168" s="45" t="str">
        <f>IF(B168="MP-MT",VLOOKUP(C168,'COMPOSIÇÃO DE PREÇO UNITÁRIO'!A:H,8,FALSE),VLOOKUP(C168,'SINAPI_COMPOSIÇÕES 062020'!A:C,3,FALSE))</f>
        <v>UN</v>
      </c>
      <c r="F168" s="78">
        <v>48</v>
      </c>
      <c r="G168" s="79">
        <f>IF(B168="MP-MT",VLOOKUP(CONCATENATE("TOTAL DO ÍTEM - ",C168),'COMPOSIÇÃO DE PREÇO UNITÁRIO'!A:H,8,FALSE),VLOOKUP(C168,'SINAPI_COMPOSIÇÕES 062020'!A:D,4,FALSE))</f>
        <v>17.260000000000002</v>
      </c>
      <c r="H168" s="79">
        <f t="shared" si="33"/>
        <v>22.33</v>
      </c>
      <c r="I168" s="79">
        <f t="shared" si="34"/>
        <v>1071.8399999999999</v>
      </c>
    </row>
    <row r="169" spans="1:9" ht="25.5" outlineLevel="2" x14ac:dyDescent="0.2">
      <c r="A169" s="45" t="s">
        <v>13383</v>
      </c>
      <c r="B169" s="45" t="s">
        <v>9</v>
      </c>
      <c r="C169" s="45">
        <v>92008</v>
      </c>
      <c r="D169" s="44" t="str">
        <f>IF(B169="MP-MT",VLOOKUP(C169,'COMPOSIÇÃO DE PREÇO UNITÁRIO'!A:B,2,FALSE),VLOOKUP(C169,'SINAPI_COMPOSIÇÕES 062020'!A:B,2,FALSE))</f>
        <v>TOMADA BAIXA DE EMBUTIR (2 MÓDULOS), 2P+T 10 A, INCLUINDO SUPORTE E PLACA - FORNECIMENTO E INSTALAÇÃO. AF_12/2015</v>
      </c>
      <c r="E169" s="45" t="str">
        <f>IF(B169="MP-MT",VLOOKUP(C169,'COMPOSIÇÃO DE PREÇO UNITÁRIO'!A:H,8,FALSE),VLOOKUP(C169,'SINAPI_COMPOSIÇÕES 062020'!A:C,3,FALSE))</f>
        <v>UN</v>
      </c>
      <c r="F169" s="78">
        <v>56</v>
      </c>
      <c r="G169" s="79">
        <f>IF(B169="MP-MT",VLOOKUP(CONCATENATE("TOTAL DO ÍTEM - ",C169),'COMPOSIÇÃO DE PREÇO UNITÁRIO'!A:H,8,FALSE),VLOOKUP(C169,'SINAPI_COMPOSIÇÕES 062020'!A:D,4,FALSE))</f>
        <v>27.64</v>
      </c>
      <c r="H169" s="79">
        <f t="shared" si="33"/>
        <v>35.76</v>
      </c>
      <c r="I169" s="79">
        <f t="shared" si="34"/>
        <v>2002.56</v>
      </c>
    </row>
    <row r="170" spans="1:9" ht="25.5" outlineLevel="2" x14ac:dyDescent="0.2">
      <c r="A170" s="45" t="s">
        <v>13384</v>
      </c>
      <c r="B170" s="45" t="s">
        <v>9</v>
      </c>
      <c r="C170" s="45">
        <v>91997</v>
      </c>
      <c r="D170" s="44" t="str">
        <f>IF(B170="MP-MT",VLOOKUP(C170,'COMPOSIÇÃO DE PREÇO UNITÁRIO'!A:B,2,FALSE),VLOOKUP(C170,'SINAPI_COMPOSIÇÕES 062020'!A:B,2,FALSE))</f>
        <v>TOMADA MÉDIA DE EMBUTIR (1 MÓDULO), 2P+T 20 A, INCLUINDO SUPORTE E PLACA - FORNECIMENTO E INSTALAÇÃO. AF_12/2015</v>
      </c>
      <c r="E170" s="45" t="str">
        <f>IF(B170="MP-MT",VLOOKUP(C170,'COMPOSIÇÃO DE PREÇO UNITÁRIO'!A:H,8,FALSE),VLOOKUP(C170,'SINAPI_COMPOSIÇÕES 062020'!A:C,3,FALSE))</f>
        <v>UN</v>
      </c>
      <c r="F170" s="78">
        <v>13</v>
      </c>
      <c r="G170" s="79">
        <f>IF(B170="MP-MT",VLOOKUP(CONCATENATE("TOTAL DO ÍTEM - ",C170),'COMPOSIÇÃO DE PREÇO UNITÁRIO'!A:H,8,FALSE),VLOOKUP(C170,'SINAPI_COMPOSIÇÕES 062020'!A:D,4,FALSE))</f>
        <v>20.96</v>
      </c>
      <c r="H170" s="79">
        <f t="shared" si="33"/>
        <v>27.11</v>
      </c>
      <c r="I170" s="79">
        <f t="shared" si="34"/>
        <v>352.43</v>
      </c>
    </row>
    <row r="171" spans="1:9" ht="25.5" outlineLevel="2" x14ac:dyDescent="0.2">
      <c r="A171" s="45" t="s">
        <v>13385</v>
      </c>
      <c r="B171" s="45" t="s">
        <v>9</v>
      </c>
      <c r="C171" s="45">
        <v>91953</v>
      </c>
      <c r="D171" s="44" t="str">
        <f>IF(B171="MP-MT",VLOOKUP(C171,'COMPOSIÇÃO DE PREÇO UNITÁRIO'!A:B,2,FALSE),VLOOKUP(C171,'SINAPI_COMPOSIÇÕES 062020'!A:B,2,FALSE))</f>
        <v>INTERRUPTOR SIMPLES (1 MÓDULO), 10A/250V, INCLUINDO SUPORTE E PLACA - FORNECIMENTO E INSTALAÇÃO. AF_12/2015</v>
      </c>
      <c r="E171" s="45" t="str">
        <f>IF(B171="MP-MT",VLOOKUP(C171,'COMPOSIÇÃO DE PREÇO UNITÁRIO'!A:H,8,FALSE),VLOOKUP(C171,'SINAPI_COMPOSIÇÕES 062020'!A:C,3,FALSE))</f>
        <v>UN</v>
      </c>
      <c r="F171" s="78">
        <v>27</v>
      </c>
      <c r="G171" s="79">
        <f>IF(B171="MP-MT",VLOOKUP(CONCATENATE("TOTAL DO ÍTEM - ",C171),'COMPOSIÇÃO DE PREÇO UNITÁRIO'!A:H,8,FALSE),VLOOKUP(C171,'SINAPI_COMPOSIÇÕES 062020'!A:D,4,FALSE))</f>
        <v>16.37</v>
      </c>
      <c r="H171" s="79">
        <f t="shared" si="33"/>
        <v>21.18</v>
      </c>
      <c r="I171" s="79">
        <f t="shared" si="34"/>
        <v>571.86</v>
      </c>
    </row>
    <row r="172" spans="1:9" ht="25.5" outlineLevel="2" x14ac:dyDescent="0.2">
      <c r="A172" s="45" t="s">
        <v>13386</v>
      </c>
      <c r="B172" s="45" t="s">
        <v>9</v>
      </c>
      <c r="C172" s="45">
        <v>91959</v>
      </c>
      <c r="D172" s="44" t="str">
        <f>IF(B172="MP-MT",VLOOKUP(C172,'COMPOSIÇÃO DE PREÇO UNITÁRIO'!A:B,2,FALSE),VLOOKUP(C172,'SINAPI_COMPOSIÇÕES 062020'!A:B,2,FALSE))</f>
        <v>INTERRUPTOR SIMPLES (2 MÓDULOS), 10A/250V, INCLUINDO SUPORTE E PLACA - FORNECIMENTO E INSTALAÇÃO. AF_12/2015</v>
      </c>
      <c r="E172" s="45" t="str">
        <f>IF(B172="MP-MT",VLOOKUP(C172,'COMPOSIÇÃO DE PREÇO UNITÁRIO'!A:H,8,FALSE),VLOOKUP(C172,'SINAPI_COMPOSIÇÕES 062020'!A:C,3,FALSE))</f>
        <v>UN</v>
      </c>
      <c r="F172" s="78">
        <v>3</v>
      </c>
      <c r="G172" s="79">
        <f>IF(B172="MP-MT",VLOOKUP(CONCATENATE("TOTAL DO ÍTEM - ",C172),'COMPOSIÇÃO DE PREÇO UNITÁRIO'!A:H,8,FALSE),VLOOKUP(C172,'SINAPI_COMPOSIÇÕES 062020'!A:D,4,FALSE))</f>
        <v>25.87</v>
      </c>
      <c r="H172" s="79">
        <f t="shared" si="33"/>
        <v>33.47</v>
      </c>
      <c r="I172" s="79">
        <f t="shared" si="34"/>
        <v>100.41</v>
      </c>
    </row>
    <row r="173" spans="1:9" ht="38.25" outlineLevel="2" x14ac:dyDescent="0.2">
      <c r="A173" s="45" t="s">
        <v>13387</v>
      </c>
      <c r="B173" s="45" t="s">
        <v>9</v>
      </c>
      <c r="C173" s="45">
        <v>91957</v>
      </c>
      <c r="D173" s="44" t="str">
        <f>IF(B173="MP-MT",VLOOKUP(C173,'COMPOSIÇÃO DE PREÇO UNITÁRIO'!A:B,2,FALSE),VLOOKUP(C173,'SINAPI_COMPOSIÇÕES 062020'!A:B,2,FALSE))</f>
        <v>INTERRUPTOR SIMPLES (1 MÓDULO) COM INTERRUPTOR PARALELO (1 MÓDULO), 10A/250V, INCLUINDO SUPORTE E PLACA - FORNECIMENTO E INSTALAÇÃO. AF_12/2015</v>
      </c>
      <c r="E173" s="45" t="str">
        <f>IF(B173="MP-MT",VLOOKUP(C173,'COMPOSIÇÃO DE PREÇO UNITÁRIO'!A:H,8,FALSE),VLOOKUP(C173,'SINAPI_COMPOSIÇÕES 062020'!A:C,3,FALSE))</f>
        <v>UN</v>
      </c>
      <c r="F173" s="78">
        <v>1</v>
      </c>
      <c r="G173" s="79">
        <f>IF(B173="MP-MT",VLOOKUP(CONCATENATE("TOTAL DO ÍTEM - ",C173),'COMPOSIÇÃO DE PREÇO UNITÁRIO'!A:H,8,FALSE),VLOOKUP(C173,'SINAPI_COMPOSIÇÕES 062020'!A:D,4,FALSE))</f>
        <v>29.8</v>
      </c>
      <c r="H173" s="79">
        <f t="shared" si="33"/>
        <v>38.549999999999997</v>
      </c>
      <c r="I173" s="79">
        <f t="shared" si="34"/>
        <v>38.549999999999997</v>
      </c>
    </row>
    <row r="174" spans="1:9" ht="38.25" outlineLevel="2" x14ac:dyDescent="0.2">
      <c r="A174" s="45" t="s">
        <v>13388</v>
      </c>
      <c r="B174" s="45" t="s">
        <v>9</v>
      </c>
      <c r="C174" s="45">
        <v>91965</v>
      </c>
      <c r="D174" s="44" t="str">
        <f>IF(B174="MP-MT",VLOOKUP(C174,'COMPOSIÇÃO DE PREÇO UNITÁRIO'!A:B,2,FALSE),VLOOKUP(C174,'SINAPI_COMPOSIÇÕES 062020'!A:B,2,FALSE))</f>
        <v>INTERRUPTOR SIMPLES (2 MÓDULOS) COM INTERRUPTOR PARALELO (1 MÓDULO), 10A/250V, INCLUINDO SUPORTE E PLACA - FORNECIMENTO E INSTALAÇÃO. AF_12/2015</v>
      </c>
      <c r="E174" s="45" t="str">
        <f>IF(B174="MP-MT",VLOOKUP(C174,'COMPOSIÇÃO DE PREÇO UNITÁRIO'!A:H,8,FALSE),VLOOKUP(C174,'SINAPI_COMPOSIÇÕES 062020'!A:C,3,FALSE))</f>
        <v>UN</v>
      </c>
      <c r="F174" s="78">
        <v>1</v>
      </c>
      <c r="G174" s="79">
        <f>IF(B174="MP-MT",VLOOKUP(CONCATENATE("TOTAL DO ÍTEM - ",C174),'COMPOSIÇÃO DE PREÇO UNITÁRIO'!A:H,8,FALSE),VLOOKUP(C174,'SINAPI_COMPOSIÇÕES 062020'!A:D,4,FALSE))</f>
        <v>39.299999999999997</v>
      </c>
      <c r="H174" s="79">
        <f t="shared" si="33"/>
        <v>50.84</v>
      </c>
      <c r="I174" s="79">
        <f t="shared" si="34"/>
        <v>50.84</v>
      </c>
    </row>
    <row r="175" spans="1:9" ht="25.5" outlineLevel="2" x14ac:dyDescent="0.2">
      <c r="A175" s="45" t="s">
        <v>13389</v>
      </c>
      <c r="B175" s="45" t="s">
        <v>9</v>
      </c>
      <c r="C175" s="45">
        <v>91955</v>
      </c>
      <c r="D175" s="44" t="str">
        <f>IF(B175="MP-MT",VLOOKUP(C175,'COMPOSIÇÃO DE PREÇO UNITÁRIO'!A:B,2,FALSE),VLOOKUP(C175,'SINAPI_COMPOSIÇÕES 062020'!A:B,2,FALSE))</f>
        <v>INTERRUPTOR PARALELO (1 MÓDULO), 10A/250V, INCLUINDO SUPORTE E PLACA - FORNECIMENTO E INSTALAÇÃO. AF_12/2015</v>
      </c>
      <c r="E175" s="45" t="str">
        <f>IF(B175="MP-MT",VLOOKUP(C175,'COMPOSIÇÃO DE PREÇO UNITÁRIO'!A:H,8,FALSE),VLOOKUP(C175,'SINAPI_COMPOSIÇÕES 062020'!A:C,3,FALSE))</f>
        <v>UN</v>
      </c>
      <c r="F175" s="78">
        <v>8</v>
      </c>
      <c r="G175" s="79">
        <f>IF(B175="MP-MT",VLOOKUP(CONCATENATE("TOTAL DO ÍTEM - ",C175),'COMPOSIÇÃO DE PREÇO UNITÁRIO'!A:H,8,FALSE),VLOOKUP(C175,'SINAPI_COMPOSIÇÕES 062020'!A:D,4,FALSE))</f>
        <v>20.329999999999998</v>
      </c>
      <c r="H175" s="79">
        <f t="shared" si="33"/>
        <v>26.3</v>
      </c>
      <c r="I175" s="79">
        <f t="shared" si="34"/>
        <v>210.4</v>
      </c>
    </row>
    <row r="176" spans="1:9" ht="25.5" outlineLevel="2" x14ac:dyDescent="0.2">
      <c r="A176" s="45" t="s">
        <v>13390</v>
      </c>
      <c r="B176" s="45" t="s">
        <v>9</v>
      </c>
      <c r="C176" s="45">
        <v>91961</v>
      </c>
      <c r="D176" s="44" t="str">
        <f>IF(B176="MP-MT",VLOOKUP(C176,'COMPOSIÇÃO DE PREÇO UNITÁRIO'!A:B,2,FALSE),VLOOKUP(C176,'SINAPI_COMPOSIÇÕES 062020'!A:B,2,FALSE))</f>
        <v>INTERRUPTOR PARALELO (2 MÓDULOS), 10A/250V, INCLUINDO SUPORTE E PLACA - FORNECIMENTO E INSTALAÇÃO. AF_12/2015</v>
      </c>
      <c r="E176" s="45" t="str">
        <f>IF(B176="MP-MT",VLOOKUP(C176,'COMPOSIÇÃO DE PREÇO UNITÁRIO'!A:H,8,FALSE),VLOOKUP(C176,'SINAPI_COMPOSIÇÕES 062020'!A:C,3,FALSE))</f>
        <v>UN</v>
      </c>
      <c r="F176" s="78">
        <v>2</v>
      </c>
      <c r="G176" s="79">
        <f>IF(B176="MP-MT",VLOOKUP(CONCATENATE("TOTAL DO ÍTEM - ",C176),'COMPOSIÇÃO DE PREÇO UNITÁRIO'!A:H,8,FALSE),VLOOKUP(C176,'SINAPI_COMPOSIÇÕES 062020'!A:D,4,FALSE))</f>
        <v>33.76</v>
      </c>
      <c r="H176" s="79">
        <f t="shared" si="33"/>
        <v>43.68</v>
      </c>
      <c r="I176" s="79">
        <f t="shared" si="34"/>
        <v>87.36</v>
      </c>
    </row>
    <row r="177" spans="1:9" ht="25.5" outlineLevel="2" x14ac:dyDescent="0.2">
      <c r="A177" s="45" t="s">
        <v>13391</v>
      </c>
      <c r="B177" s="45" t="s">
        <v>9</v>
      </c>
      <c r="C177" s="45">
        <v>91979</v>
      </c>
      <c r="D177" s="44" t="str">
        <f>IF(B177="MP-MT",VLOOKUP(C177,'COMPOSIÇÃO DE PREÇO UNITÁRIO'!A:B,2,FALSE),VLOOKUP(C177,'SINAPI_COMPOSIÇÕES 062020'!A:B,2,FALSE))</f>
        <v>INTERRUPTOR INTERMEDIÁRIO (1 MÓDULO), 10A/250V, INCLUINDO SUPORTE E PLACA - FORNECIMENTO E INSTALAÇÃO. AF_09/2017</v>
      </c>
      <c r="E177" s="45" t="str">
        <f>IF(B177="MP-MT",VLOOKUP(C177,'COMPOSIÇÃO DE PREÇO UNITÁRIO'!A:H,8,FALSE),VLOOKUP(C177,'SINAPI_COMPOSIÇÕES 062020'!A:C,3,FALSE))</f>
        <v>UN</v>
      </c>
      <c r="F177" s="78">
        <v>1</v>
      </c>
      <c r="G177" s="79">
        <f>IF(B177="MP-MT",VLOOKUP(CONCATENATE("TOTAL DO ÍTEM - ",C177),'COMPOSIÇÃO DE PREÇO UNITÁRIO'!A:H,8,FALSE),VLOOKUP(C177,'SINAPI_COMPOSIÇÕES 062020'!A:D,4,FALSE))</f>
        <v>29.03</v>
      </c>
      <c r="H177" s="79">
        <f t="shared" si="33"/>
        <v>37.56</v>
      </c>
      <c r="I177" s="79">
        <f t="shared" si="34"/>
        <v>37.56</v>
      </c>
    </row>
    <row r="178" spans="1:9" ht="25.5" outlineLevel="2" x14ac:dyDescent="0.2">
      <c r="A178" s="45" t="s">
        <v>13392</v>
      </c>
      <c r="B178" s="45" t="s">
        <v>9</v>
      </c>
      <c r="C178" s="45">
        <v>91985</v>
      </c>
      <c r="D178" s="44" t="str">
        <f>IF(B178="MP-MT",VLOOKUP(C178,'COMPOSIÇÃO DE PREÇO UNITÁRIO'!A:B,2,FALSE),VLOOKUP(C178,'SINAPI_COMPOSIÇÕES 062020'!A:B,2,FALSE))</f>
        <v>INTERRUPTOR PULSADOR CAMPAINHA (1 MÓDULO), 10A/250V, INCLUINDO SUPORTE E PLACA - FORNECIMENTO E INSTALAÇÃO. AF_09/2017</v>
      </c>
      <c r="E178" s="45" t="str">
        <f>IF(B178="MP-MT",VLOOKUP(C178,'COMPOSIÇÃO DE PREÇO UNITÁRIO'!A:H,8,FALSE),VLOOKUP(C178,'SINAPI_COMPOSIÇÕES 062020'!A:C,3,FALSE))</f>
        <v>UN</v>
      </c>
      <c r="F178" s="78">
        <v>4</v>
      </c>
      <c r="G178" s="79">
        <f>IF(B178="MP-MT",VLOOKUP(CONCATENATE("TOTAL DO ÍTEM - ",C178),'COMPOSIÇÃO DE PREÇO UNITÁRIO'!A:H,8,FALSE),VLOOKUP(C178,'SINAPI_COMPOSIÇÕES 062020'!A:D,4,FALSE))</f>
        <v>15.7</v>
      </c>
      <c r="H178" s="79">
        <f t="shared" si="33"/>
        <v>20.309999999999999</v>
      </c>
      <c r="I178" s="79">
        <f t="shared" si="34"/>
        <v>81.239999999999995</v>
      </c>
    </row>
    <row r="179" spans="1:9" ht="25.5" outlineLevel="2" x14ac:dyDescent="0.2">
      <c r="A179" s="45" t="s">
        <v>13393</v>
      </c>
      <c r="B179" s="45" t="s">
        <v>9</v>
      </c>
      <c r="C179" s="45">
        <v>91987</v>
      </c>
      <c r="D179" s="44" t="str">
        <f>IF(B179="MP-MT",VLOOKUP(C179,'COMPOSIÇÃO DE PREÇO UNITÁRIO'!A:B,2,FALSE),VLOOKUP(C179,'SINAPI_COMPOSIÇÕES 062020'!A:B,2,FALSE))</f>
        <v>CAMPAINHA CIGARRA (1 MÓDULO), 10A/250V, INCLUINDO SUPORTE E PLACA - FORNECIMENTO E INSTALAÇÃO. AF_09/2017</v>
      </c>
      <c r="E179" s="45" t="str">
        <f>IF(B179="MP-MT",VLOOKUP(C179,'COMPOSIÇÃO DE PREÇO UNITÁRIO'!A:H,8,FALSE),VLOOKUP(C179,'SINAPI_COMPOSIÇÕES 062020'!A:C,3,FALSE))</f>
        <v>UN</v>
      </c>
      <c r="F179" s="78">
        <v>4</v>
      </c>
      <c r="G179" s="79">
        <f>IF(B179="MP-MT",VLOOKUP(CONCATENATE("TOTAL DO ÍTEM - ",C179),'COMPOSIÇÃO DE PREÇO UNITÁRIO'!A:H,8,FALSE),VLOOKUP(C179,'SINAPI_COMPOSIÇÕES 062020'!A:D,4,FALSE))</f>
        <v>27.4</v>
      </c>
      <c r="H179" s="79">
        <f t="shared" si="33"/>
        <v>35.450000000000003</v>
      </c>
      <c r="I179" s="79">
        <f t="shared" si="34"/>
        <v>141.80000000000001</v>
      </c>
    </row>
    <row r="180" spans="1:9" ht="38.25" outlineLevel="2" x14ac:dyDescent="0.2">
      <c r="A180" s="45" t="s">
        <v>13394</v>
      </c>
      <c r="B180" s="45" t="s">
        <v>194</v>
      </c>
      <c r="C180" s="45" t="s">
        <v>12180</v>
      </c>
      <c r="D180" s="44" t="str">
        <f>IF(B180="MP-MT",VLOOKUP(C180,'COMPOSIÇÃO DE PREÇO UNITÁRIO'!A:B,2,FALSE),VLOOKUP(C180,'SINAPI_COMPOSIÇÕES 062020'!A:B,2,FALSE))</f>
        <v>FORNECIMENTO E INSTALAÇÃO DE RELE/SENSOR FOTOELÉTRICO, BIVOLT, COM BASE, PARA QUALQUER TIPO DE LAMPADA, POTENCIA MÁXIMA 1000W, USO EXTERNO</v>
      </c>
      <c r="E180" s="45" t="str">
        <f>IF(B180="MP-MT",VLOOKUP(C180,'COMPOSIÇÃO DE PREÇO UNITÁRIO'!A:H,8,FALSE),VLOOKUP(C180,'SINAPI_COMPOSIÇÕES 062020'!A:C,3,FALSE))</f>
        <v>UND</v>
      </c>
      <c r="F180" s="78">
        <v>3</v>
      </c>
      <c r="G180" s="79">
        <f>IF(B180="MP-MT",VLOOKUP(CONCATENATE("TOTAL DO ÍTEM - ",C180),'COMPOSIÇÃO DE PREÇO UNITÁRIO'!A:H,8,FALSE),VLOOKUP(C180,'SINAPI_COMPOSIÇÕES 062020'!A:D,4,FALSE))</f>
        <v>38.44</v>
      </c>
      <c r="H180" s="79">
        <f t="shared" si="33"/>
        <v>49.73</v>
      </c>
      <c r="I180" s="79">
        <f t="shared" si="34"/>
        <v>149.19</v>
      </c>
    </row>
    <row r="181" spans="1:9" ht="25.5" outlineLevel="2" x14ac:dyDescent="0.2">
      <c r="A181" s="45" t="s">
        <v>13395</v>
      </c>
      <c r="B181" s="45" t="s">
        <v>194</v>
      </c>
      <c r="C181" s="45" t="s">
        <v>12699</v>
      </c>
      <c r="D181" s="44" t="str">
        <f>IF(B181="MP-MT",VLOOKUP(C181,'COMPOSIÇÃO DE PREÇO UNITÁRIO'!A:B,2,FALSE),VLOOKUP(C181,'SINAPI_COMPOSIÇÕES 062020'!A:B,2,FALSE))</f>
        <v>LUMINÁRIA PLAFON LED 30W, SOBREPOR QUADRADO 30 X 30 CM, BRANCO FRIO 6000K - FORNECIMENTO E INSTALAÇÃO</v>
      </c>
      <c r="E181" s="45" t="str">
        <f>IF(B181="MP-MT",VLOOKUP(C181,'COMPOSIÇÃO DE PREÇO UNITÁRIO'!A:H,8,FALSE),VLOOKUP(C181,'SINAPI_COMPOSIÇÕES 062020'!A:C,3,FALSE))</f>
        <v>UND</v>
      </c>
      <c r="F181" s="78">
        <v>93</v>
      </c>
      <c r="G181" s="79">
        <f>IF(B181="MP-MT",VLOOKUP(CONCATENATE("TOTAL DO ÍTEM - ",C181),'COMPOSIÇÃO DE PREÇO UNITÁRIO'!A:H,8,FALSE),VLOOKUP(C181,'SINAPI_COMPOSIÇÕES 062020'!A:D,4,FALSE))</f>
        <v>96.13</v>
      </c>
      <c r="H181" s="79">
        <f t="shared" si="33"/>
        <v>124.37</v>
      </c>
      <c r="I181" s="79">
        <f t="shared" si="34"/>
        <v>11566.41</v>
      </c>
    </row>
    <row r="182" spans="1:9" ht="25.5" outlineLevel="2" x14ac:dyDescent="0.2">
      <c r="A182" s="45" t="s">
        <v>13396</v>
      </c>
      <c r="B182" s="45" t="s">
        <v>194</v>
      </c>
      <c r="C182" s="45" t="s">
        <v>12711</v>
      </c>
      <c r="D182" s="44" t="str">
        <f>IF(B182="MP-MT",VLOOKUP(C182,'COMPOSIÇÃO DE PREÇO UNITÁRIO'!A:B,2,FALSE),VLOOKUP(C182,'SINAPI_COMPOSIÇÕES 062020'!A:B,2,FALSE))</f>
        <v>LUMINÁRIA PLAFON LED 18W, SOBREPOR QUADRADO 30 X 30 CM, BRANCO FRIO 6000K - FORNECIMENTO E INSTALAÇÃO</v>
      </c>
      <c r="E182" s="45" t="str">
        <f>IF(B182="MP-MT",VLOOKUP(C182,'COMPOSIÇÃO DE PREÇO UNITÁRIO'!A:H,8,FALSE),VLOOKUP(C182,'SINAPI_COMPOSIÇÕES 062020'!A:C,3,FALSE))</f>
        <v>UND</v>
      </c>
      <c r="F182" s="78">
        <v>43</v>
      </c>
      <c r="G182" s="79">
        <f>IF(B182="MP-MT",VLOOKUP(CONCATENATE("TOTAL DO ÍTEM - ",C182),'COMPOSIÇÃO DE PREÇO UNITÁRIO'!A:H,8,FALSE),VLOOKUP(C182,'SINAPI_COMPOSIÇÕES 062020'!A:D,4,FALSE))</f>
        <v>66.349999999999994</v>
      </c>
      <c r="H182" s="79">
        <f t="shared" si="33"/>
        <v>85.84</v>
      </c>
      <c r="I182" s="79">
        <f t="shared" si="34"/>
        <v>3691.12</v>
      </c>
    </row>
    <row r="183" spans="1:9" ht="25.5" outlineLevel="2" x14ac:dyDescent="0.2">
      <c r="A183" s="45" t="s">
        <v>13397</v>
      </c>
      <c r="B183" s="45" t="s">
        <v>194</v>
      </c>
      <c r="C183" s="45" t="s">
        <v>12719</v>
      </c>
      <c r="D183" s="44" t="str">
        <f>IF(B183="MP-MT",VLOOKUP(C183,'COMPOSIÇÃO DE PREÇO UNITÁRIO'!A:B,2,FALSE),VLOOKUP(C183,'SINAPI_COMPOSIÇÕES 062020'!A:B,2,FALSE))</f>
        <v>FORNECIMENTO E INSTALAÇÃO DE LUMINARIA LED, TIPO REFLETOR RETANGULAR, 10 W</v>
      </c>
      <c r="E183" s="45" t="str">
        <f>IF(B183="MP-MT",VLOOKUP(C183,'COMPOSIÇÃO DE PREÇO UNITÁRIO'!A:H,8,FALSE),VLOOKUP(C183,'SINAPI_COMPOSIÇÕES 062020'!A:C,3,FALSE))</f>
        <v>UND</v>
      </c>
      <c r="F183" s="78">
        <v>13</v>
      </c>
      <c r="G183" s="79">
        <f>IF(B183="MP-MT",VLOOKUP(CONCATENATE("TOTAL DO ÍTEM - ",C183),'COMPOSIÇÃO DE PREÇO UNITÁRIO'!A:H,8,FALSE),VLOOKUP(C183,'SINAPI_COMPOSIÇÕES 062020'!A:D,4,FALSE))</f>
        <v>28.1</v>
      </c>
      <c r="H183" s="79">
        <f t="shared" si="33"/>
        <v>36.35</v>
      </c>
      <c r="I183" s="79">
        <f t="shared" si="34"/>
        <v>472.55</v>
      </c>
    </row>
    <row r="184" spans="1:9" ht="25.5" outlineLevel="2" x14ac:dyDescent="0.2">
      <c r="A184" s="45" t="s">
        <v>13398</v>
      </c>
      <c r="B184" s="45" t="s">
        <v>194</v>
      </c>
      <c r="C184" s="45" t="s">
        <v>12723</v>
      </c>
      <c r="D184" s="44" t="str">
        <f>IF(B184="MP-MT",VLOOKUP(C184,'COMPOSIÇÃO DE PREÇO UNITÁRIO'!A:B,2,FALSE),VLOOKUP(C184,'SINAPI_COMPOSIÇÕES 062020'!A:B,2,FALSE))</f>
        <v>FORNECIMENTO E INSTALAÇÃO DE LUMINARIA LED, TIPO REFLETOR RETANGULAR, 30 W</v>
      </c>
      <c r="E184" s="45" t="str">
        <f>IF(B184="MP-MT",VLOOKUP(C184,'COMPOSIÇÃO DE PREÇO UNITÁRIO'!A:H,8,FALSE),VLOOKUP(C184,'SINAPI_COMPOSIÇÕES 062020'!A:C,3,FALSE))</f>
        <v>UND</v>
      </c>
      <c r="F184" s="78">
        <v>2</v>
      </c>
      <c r="G184" s="79">
        <f>IF(B184="MP-MT",VLOOKUP(CONCATENATE("TOTAL DO ÍTEM - ",C184),'COMPOSIÇÃO DE PREÇO UNITÁRIO'!A:H,8,FALSE),VLOOKUP(C184,'SINAPI_COMPOSIÇÕES 062020'!A:D,4,FALSE))</f>
        <v>47.21</v>
      </c>
      <c r="H184" s="79">
        <f t="shared" si="33"/>
        <v>61.08</v>
      </c>
      <c r="I184" s="79">
        <f t="shared" si="34"/>
        <v>122.16</v>
      </c>
    </row>
    <row r="185" spans="1:9" ht="38.25" outlineLevel="2" x14ac:dyDescent="0.2">
      <c r="A185" s="45" t="s">
        <v>13399</v>
      </c>
      <c r="B185" s="45" t="s">
        <v>9</v>
      </c>
      <c r="C185" s="45">
        <v>97891</v>
      </c>
      <c r="D185" s="44" t="str">
        <f>IF(B185="MP-MT",VLOOKUP(C185,'COMPOSIÇÃO DE PREÇO UNITÁRIO'!A:B,2,FALSE),VLOOKUP(C185,'SINAPI_COMPOSIÇÕES 062020'!A:B,2,FALSE))</f>
        <v>CAIXA ENTERRADA ELÉTRICA RETANGULAR, EM ALVENARIA COM BLOCOS DE CONCRETO, FUNDO COM BRITA, DIMENSÕES INTERNAS: 0,4X0,4X0,4 M. AF_05/2018</v>
      </c>
      <c r="E185" s="45" t="str">
        <f>IF(B185="MP-MT",VLOOKUP(C185,'COMPOSIÇÃO DE PREÇO UNITÁRIO'!A:H,8,FALSE),VLOOKUP(C185,'SINAPI_COMPOSIÇÕES 062020'!A:C,3,FALSE))</f>
        <v>UN</v>
      </c>
      <c r="F185" s="78">
        <v>6</v>
      </c>
      <c r="G185" s="79">
        <f>IF(B185="MP-MT",VLOOKUP(CONCATENATE("TOTAL DO ÍTEM - ",C185),'COMPOSIÇÃO DE PREÇO UNITÁRIO'!A:H,8,FALSE),VLOOKUP(C185,'SINAPI_COMPOSIÇÕES 062020'!A:D,4,FALSE))</f>
        <v>143.44</v>
      </c>
      <c r="H185" s="79">
        <f t="shared" ref="H185" si="39">TRUNC(G185*(1+$F$1),2)</f>
        <v>185.58</v>
      </c>
      <c r="I185" s="79">
        <f t="shared" ref="I185" si="40">TRUNC(H185*F185,2)</f>
        <v>1113.48</v>
      </c>
    </row>
    <row r="186" spans="1:9" ht="25.5" outlineLevel="2" x14ac:dyDescent="0.2">
      <c r="A186" s="45" t="s">
        <v>13400</v>
      </c>
      <c r="B186" s="45" t="s">
        <v>9</v>
      </c>
      <c r="C186" s="45">
        <v>93358</v>
      </c>
      <c r="D186" s="44" t="str">
        <f>IF(B186="MP-MT",VLOOKUP(C186,'COMPOSIÇÃO DE PREÇO UNITÁRIO'!A:B,2,FALSE),VLOOKUP(C186,'SINAPI_COMPOSIÇÕES 062020'!A:B,2,FALSE))</f>
        <v>ESCAVAÇÃO MANUAL DE VALA COM PROFUNDIDADE MENOR OU IGUAL A 1,30 M. AF_03/2016</v>
      </c>
      <c r="E186" s="45" t="str">
        <f>IF(B186="MP-MT",VLOOKUP(C186,'COMPOSIÇÃO DE PREÇO UNITÁRIO'!A:H,8,FALSE),VLOOKUP(C186,'SINAPI_COMPOSIÇÕES 062020'!A:C,3,FALSE))</f>
        <v>M3</v>
      </c>
      <c r="F186" s="78">
        <f>0.3*0.5*84.02</f>
        <v>12.603</v>
      </c>
      <c r="G186" s="79">
        <f>IF(B186="MP-MT",VLOOKUP(CONCATENATE("TOTAL DO ÍTEM - ",C186),'COMPOSIÇÃO DE PREÇO UNITÁRIO'!A:H,8,FALSE),VLOOKUP(C186,'SINAPI_COMPOSIÇÕES 062020'!A:D,4,FALSE))</f>
        <v>56.84</v>
      </c>
      <c r="H186" s="79">
        <f t="shared" ref="H186:H189" si="41">TRUNC(G186*(1+$F$1),2)</f>
        <v>73.540000000000006</v>
      </c>
      <c r="I186" s="79">
        <f t="shared" ref="I186:I189" si="42">TRUNC(H186*F186,2)</f>
        <v>926.82</v>
      </c>
    </row>
    <row r="187" spans="1:9" ht="25.5" outlineLevel="2" x14ac:dyDescent="0.2">
      <c r="A187" s="45" t="s">
        <v>13401</v>
      </c>
      <c r="B187" s="45" t="s">
        <v>194</v>
      </c>
      <c r="C187" s="45" t="s">
        <v>12149</v>
      </c>
      <c r="D187" s="44" t="str">
        <f>IF(B187="MP-MT",VLOOKUP(C187,'COMPOSIÇÃO DE PREÇO UNITÁRIO'!A:B,2,FALSE),VLOOKUP(C187,'SINAPI_COMPOSIÇÕES 062020'!A:B,2,FALSE))</f>
        <v>ELETRODUTO FLEXÍVEL CORRUGADO, PVC, DN 50 MM (2"),INSTALADO EM PISO/CHÃO - FORNECIMENTO E INSTALAÇÃO</v>
      </c>
      <c r="E187" s="45" t="str">
        <f>IF(B187="MP-MT",VLOOKUP(C187,'COMPOSIÇÃO DE PREÇO UNITÁRIO'!A:H,8,FALSE),VLOOKUP(C187,'SINAPI_COMPOSIÇÕES 062020'!A:C,3,FALSE))</f>
        <v>M</v>
      </c>
      <c r="F187" s="78">
        <v>84.02</v>
      </c>
      <c r="G187" s="79">
        <f>IF(B187="MP-MT",VLOOKUP(CONCATENATE("TOTAL DO ÍTEM - ",C187),'COMPOSIÇÃO DE PREÇO UNITÁRIO'!A:H,8,FALSE),VLOOKUP(C187,'SINAPI_COMPOSIÇÕES 062020'!A:D,4,FALSE))</f>
        <v>8.59</v>
      </c>
      <c r="H187" s="79">
        <f t="shared" si="41"/>
        <v>11.11</v>
      </c>
      <c r="I187" s="79">
        <f t="shared" si="42"/>
        <v>933.46</v>
      </c>
    </row>
    <row r="188" spans="1:9" outlineLevel="2" x14ac:dyDescent="0.2">
      <c r="A188" s="45" t="s">
        <v>13402</v>
      </c>
      <c r="B188" s="45" t="s">
        <v>9</v>
      </c>
      <c r="C188" s="45">
        <v>96995</v>
      </c>
      <c r="D188" s="44" t="str">
        <f>IF(B188="MP-MT",VLOOKUP(C188,'COMPOSIÇÃO DE PREÇO UNITÁRIO'!A:B,2,FALSE),VLOOKUP(C188,'SINAPI_COMPOSIÇÕES 062020'!A:B,2,FALSE))</f>
        <v>REATERRO MANUAL APILOADO COM SOQUETE. AF_10/2017</v>
      </c>
      <c r="E188" s="45" t="str">
        <f>IF(B188="MP-MT",VLOOKUP(C188,'COMPOSIÇÃO DE PREÇO UNITÁRIO'!A:H,8,FALSE),VLOOKUP(C188,'SINAPI_COMPOSIÇÕES 062020'!A:C,3,FALSE))</f>
        <v>M3</v>
      </c>
      <c r="F188" s="78">
        <f>F186*0.9</f>
        <v>11.342700000000001</v>
      </c>
      <c r="G188" s="79">
        <f>IF(B188="MP-MT",VLOOKUP(CONCATENATE("TOTAL DO ÍTEM - ",C188),'COMPOSIÇÃO DE PREÇO UNITÁRIO'!A:H,8,FALSE),VLOOKUP(C188,'SINAPI_COMPOSIÇÕES 062020'!A:D,4,FALSE))</f>
        <v>34.46</v>
      </c>
      <c r="H188" s="79">
        <f t="shared" si="41"/>
        <v>44.58</v>
      </c>
      <c r="I188" s="79">
        <f t="shared" si="42"/>
        <v>505.65</v>
      </c>
    </row>
    <row r="189" spans="1:9" ht="25.5" outlineLevel="2" x14ac:dyDescent="0.2">
      <c r="A189" s="45" t="s">
        <v>13403</v>
      </c>
      <c r="B189" s="45" t="s">
        <v>194</v>
      </c>
      <c r="C189" s="45" t="s">
        <v>12990</v>
      </c>
      <c r="D189" s="44" t="str">
        <f>IF(B189="MP-MT",VLOOKUP(C189,'COMPOSIÇÃO DE PREÇO UNITÁRIO'!A:B,2,FALSE),VLOOKUP(C189,'SINAPI_COMPOSIÇÕES 062020'!A:B,2,FALSE))</f>
        <v>ELETRODUTO DE AÇO GALVANIZADO, CLASSE LEVE, DN 2", APARENTE, INSTALADO EM POSTE - FORNECIMENTO E INSTALAÇÃO</v>
      </c>
      <c r="E189" s="45" t="str">
        <f>IF(B189="MP-MT",VLOOKUP(C189,'COMPOSIÇÃO DE PREÇO UNITÁRIO'!A:H,8,FALSE),VLOOKUP(C189,'SINAPI_COMPOSIÇÕES 062020'!A:C,3,FALSE))</f>
        <v>M</v>
      </c>
      <c r="F189" s="78">
        <v>19</v>
      </c>
      <c r="G189" s="79">
        <f>IF(B189="MP-MT",VLOOKUP(CONCATENATE("TOTAL DO ÍTEM - ",C189),'COMPOSIÇÃO DE PREÇO UNITÁRIO'!A:H,8,FALSE),VLOOKUP(C189,'SINAPI_COMPOSIÇÕES 062020'!A:D,4,FALSE))</f>
        <v>55.01</v>
      </c>
      <c r="H189" s="79">
        <f t="shared" si="41"/>
        <v>71.17</v>
      </c>
      <c r="I189" s="79">
        <f t="shared" si="42"/>
        <v>1352.23</v>
      </c>
    </row>
    <row r="190" spans="1:9" ht="25.5" outlineLevel="2" x14ac:dyDescent="0.2">
      <c r="A190" s="45" t="s">
        <v>13404</v>
      </c>
      <c r="B190" s="45" t="s">
        <v>9</v>
      </c>
      <c r="C190" s="45">
        <v>95728</v>
      </c>
      <c r="D190" s="44" t="str">
        <f>IF(B190="MP-MT",VLOOKUP(C190,'COMPOSIÇÃO DE PREÇO UNITÁRIO'!A:B,2,FALSE),VLOOKUP(C190,'SINAPI_COMPOSIÇÕES 062020'!A:B,2,FALSE))</f>
        <v>ELETRODUTO RÍGIDO SOLDÁVEL, PVC, DN 32 MM (1), APARENTE, INSTALADO EM TETO - FORNECIMENTO E INSTALAÇÃO. AF_11/2016_P</v>
      </c>
      <c r="E190" s="45" t="str">
        <f>IF(B190="MP-MT",VLOOKUP(C190,'COMPOSIÇÃO DE PREÇO UNITÁRIO'!A:H,8,FALSE),VLOOKUP(C190,'SINAPI_COMPOSIÇÕES 062020'!A:C,3,FALSE))</f>
        <v>M</v>
      </c>
      <c r="F190" s="78">
        <v>102.5</v>
      </c>
      <c r="G190" s="79">
        <f>IF(B190="MP-MT",VLOOKUP(CONCATENATE("TOTAL DO ÍTEM - ",C190),'COMPOSIÇÃO DE PREÇO UNITÁRIO'!A:H,8,FALSE),VLOOKUP(C190,'SINAPI_COMPOSIÇÕES 062020'!A:D,4,FALSE))</f>
        <v>6.38</v>
      </c>
      <c r="H190" s="79">
        <f t="shared" si="33"/>
        <v>8.25</v>
      </c>
      <c r="I190" s="79">
        <f t="shared" si="34"/>
        <v>845.62</v>
      </c>
    </row>
    <row r="191" spans="1:9" ht="38.25" outlineLevel="2" x14ac:dyDescent="0.2">
      <c r="A191" s="45" t="s">
        <v>13405</v>
      </c>
      <c r="B191" s="45" t="s">
        <v>9</v>
      </c>
      <c r="C191" s="45">
        <v>91893</v>
      </c>
      <c r="D191" s="44" t="str">
        <f>IF(B191="MP-MT",VLOOKUP(C191,'COMPOSIÇÃO DE PREÇO UNITÁRIO'!A:B,2,FALSE),VLOOKUP(C191,'SINAPI_COMPOSIÇÕES 062020'!A:B,2,FALSE))</f>
        <v>CURVA 90 GRAUS PARA ELETRODUTO, PVC, ROSCÁVEL, DN 32 MM (1"), PARA CIRCUITOS TERMINAIS, INSTALADA EM FORRO - FORNECIMENTO E INSTALAÇÃO. AF_12/2015</v>
      </c>
      <c r="E191" s="45" t="str">
        <f>IF(B191="MP-MT",VLOOKUP(C191,'COMPOSIÇÃO DE PREÇO UNITÁRIO'!A:H,8,FALSE),VLOOKUP(C191,'SINAPI_COMPOSIÇÕES 062020'!A:C,3,FALSE))</f>
        <v>UN</v>
      </c>
      <c r="F191" s="78">
        <v>58</v>
      </c>
      <c r="G191" s="79">
        <f>IF(B191="MP-MT",VLOOKUP(CONCATENATE("TOTAL DO ÍTEM - ",C191),'COMPOSIÇÃO DE PREÇO UNITÁRIO'!A:H,8,FALSE),VLOOKUP(C191,'SINAPI_COMPOSIÇÕES 062020'!A:D,4,FALSE))</f>
        <v>9.73</v>
      </c>
      <c r="H191" s="79">
        <f t="shared" si="33"/>
        <v>12.58</v>
      </c>
      <c r="I191" s="79">
        <f t="shared" si="34"/>
        <v>729.64</v>
      </c>
    </row>
    <row r="192" spans="1:9" ht="38.25" outlineLevel="2" x14ac:dyDescent="0.2">
      <c r="A192" s="45" t="s">
        <v>13406</v>
      </c>
      <c r="B192" s="45" t="s">
        <v>9</v>
      </c>
      <c r="C192" s="45">
        <v>91876</v>
      </c>
      <c r="D192" s="44" t="str">
        <f>IF(B192="MP-MT",VLOOKUP(C192,'COMPOSIÇÃO DE PREÇO UNITÁRIO'!A:B,2,FALSE),VLOOKUP(C192,'SINAPI_COMPOSIÇÕES 062020'!A:B,2,FALSE))</f>
        <v>LUVA PARA ELETRODUTO, PVC, ROSCÁVEL, DN 32 MM (1"), PARA CIRCUITOS TERMINAIS, INSTALADA EM FORRO - FORNECIMENTO E INSTALAÇÃO. AF_12/2015</v>
      </c>
      <c r="E192" s="45" t="str">
        <f>IF(B192="MP-MT",VLOOKUP(C192,'COMPOSIÇÃO DE PREÇO UNITÁRIO'!A:H,8,FALSE),VLOOKUP(C192,'SINAPI_COMPOSIÇÕES 062020'!A:C,3,FALSE))</f>
        <v>UN</v>
      </c>
      <c r="F192" s="78">
        <v>116</v>
      </c>
      <c r="G192" s="79">
        <f>IF(B192="MP-MT",VLOOKUP(CONCATENATE("TOTAL DO ÍTEM - ",C192),'COMPOSIÇÃO DE PREÇO UNITÁRIO'!A:H,8,FALSE),VLOOKUP(C192,'SINAPI_COMPOSIÇÕES 062020'!A:D,4,FALSE))</f>
        <v>5.7</v>
      </c>
      <c r="H192" s="79">
        <f t="shared" si="33"/>
        <v>7.37</v>
      </c>
      <c r="I192" s="79">
        <f t="shared" si="34"/>
        <v>854.92</v>
      </c>
    </row>
    <row r="193" spans="1:9" ht="25.5" outlineLevel="2" x14ac:dyDescent="0.2">
      <c r="A193" s="45" t="s">
        <v>13407</v>
      </c>
      <c r="B193" s="45" t="s">
        <v>194</v>
      </c>
      <c r="C193" s="45" t="s">
        <v>12462</v>
      </c>
      <c r="D193" s="44" t="str">
        <f>IF(B193="MP-MT",VLOOKUP(C193,'COMPOSIÇÃO DE PREÇO UNITÁRIO'!A:B,2,FALSE),VLOOKUP(C193,'SINAPI_COMPOSIÇÕES 062020'!A:B,2,FALSE))</f>
        <v>FORNECIMENTO E INSTALAÇÃO DE CANALETA DUPLA COM TAMPA, EM ALUMINIO, D 25MM, REF. DUTOTEC OU EQUIVALENTE</v>
      </c>
      <c r="E193" s="45" t="str">
        <f>IF(B193="MP-MT",VLOOKUP(C193,'COMPOSIÇÃO DE PREÇO UNITÁRIO'!A:H,8,FALSE),VLOOKUP(C193,'SINAPI_COMPOSIÇÕES 062020'!A:C,3,FALSE))</f>
        <v>M</v>
      </c>
      <c r="F193" s="78">
        <v>196</v>
      </c>
      <c r="G193" s="79">
        <f>IF(B193="MP-MT",VLOOKUP(CONCATENATE("TOTAL DO ÍTEM - ",C193),'COMPOSIÇÃO DE PREÇO UNITÁRIO'!A:H,8,FALSE),VLOOKUP(C193,'SINAPI_COMPOSIÇÕES 062020'!A:D,4,FALSE))</f>
        <v>96.14</v>
      </c>
      <c r="H193" s="79">
        <f t="shared" si="33"/>
        <v>124.39</v>
      </c>
      <c r="I193" s="79">
        <f t="shared" si="34"/>
        <v>24380.44</v>
      </c>
    </row>
    <row r="194" spans="1:9" ht="25.5" outlineLevel="2" x14ac:dyDescent="0.2">
      <c r="A194" s="45" t="s">
        <v>13408</v>
      </c>
      <c r="B194" s="45" t="s">
        <v>194</v>
      </c>
      <c r="C194" s="45" t="s">
        <v>12477</v>
      </c>
      <c r="D194" s="44" t="str">
        <f>IF(B194="MP-MT",VLOOKUP(C194,'COMPOSIÇÃO DE PREÇO UNITÁRIO'!A:B,2,FALSE),VLOOKUP(C194,'SINAPI_COMPOSIÇÕES 062020'!A:B,2,FALSE))</f>
        <v>CAIXA DE SOBREPOR PARA SISTEMA DE CANALETA, SENDO 1 MÓDULO RJ45-CAT6 E 2 MÓDULOS CEGOS - FORNECIMENTO E INSTALAÇÃO</v>
      </c>
      <c r="E194" s="45" t="str">
        <f>IF(B194="MP-MT",VLOOKUP(C194,'COMPOSIÇÃO DE PREÇO UNITÁRIO'!A:H,8,FALSE),VLOOKUP(C194,'SINAPI_COMPOSIÇÕES 062020'!A:C,3,FALSE))</f>
        <v>UND</v>
      </c>
      <c r="F194" s="78">
        <v>36</v>
      </c>
      <c r="G194" s="79">
        <f>IF(B194="MP-MT",VLOOKUP(CONCATENATE("TOTAL DO ÍTEM - ",C194),'COMPOSIÇÃO DE PREÇO UNITÁRIO'!A:H,8,FALSE),VLOOKUP(C194,'SINAPI_COMPOSIÇÕES 062020'!A:D,4,FALSE))</f>
        <v>49.069999999999993</v>
      </c>
      <c r="H194" s="79">
        <f t="shared" ref="H194:H203" si="43">TRUNC(G194*(1+$F$1),2)</f>
        <v>63.48</v>
      </c>
      <c r="I194" s="79">
        <f t="shared" ref="I194:I203" si="44">TRUNC(H194*F194,2)</f>
        <v>2285.2800000000002</v>
      </c>
    </row>
    <row r="195" spans="1:9" ht="25.5" outlineLevel="2" x14ac:dyDescent="0.2">
      <c r="A195" s="45" t="s">
        <v>13409</v>
      </c>
      <c r="B195" s="45" t="s">
        <v>194</v>
      </c>
      <c r="C195" s="45" t="s">
        <v>12487</v>
      </c>
      <c r="D195" s="44" t="str">
        <f>IF(B195="MP-MT",VLOOKUP(C195,'COMPOSIÇÃO DE PREÇO UNITÁRIO'!A:B,2,FALSE),VLOOKUP(C195,'SINAPI_COMPOSIÇÕES 062020'!A:B,2,FALSE))</f>
        <v>CAIXA DE SOBREPOR PARA SISTEMA DE CANALETA, SENDO 2 MÓDULOS RJ45-CAT6 E 1 MÓDULO CEGO-FORNECIMENTO E INSTALAÇÃO</v>
      </c>
      <c r="E195" s="45" t="str">
        <f>IF(B195="MP-MT",VLOOKUP(C195,'COMPOSIÇÃO DE PREÇO UNITÁRIO'!A:H,8,FALSE),VLOOKUP(C195,'SINAPI_COMPOSIÇÕES 062020'!A:C,3,FALSE))</f>
        <v>UND</v>
      </c>
      <c r="F195" s="78">
        <v>36</v>
      </c>
      <c r="G195" s="79">
        <f>IF(B195="MP-MT",VLOOKUP(CONCATENATE("TOTAL DO ÍTEM - ",C195),'COMPOSIÇÃO DE PREÇO UNITÁRIO'!A:H,8,FALSE),VLOOKUP(C195,'SINAPI_COMPOSIÇÕES 062020'!A:D,4,FALSE))</f>
        <v>64.08</v>
      </c>
      <c r="H195" s="79">
        <f t="shared" si="43"/>
        <v>82.9</v>
      </c>
      <c r="I195" s="79">
        <f t="shared" si="44"/>
        <v>2984.4</v>
      </c>
    </row>
    <row r="196" spans="1:9" ht="25.5" outlineLevel="2" x14ac:dyDescent="0.2">
      <c r="A196" s="45" t="s">
        <v>13410</v>
      </c>
      <c r="B196" s="45" t="s">
        <v>194</v>
      </c>
      <c r="C196" s="45" t="s">
        <v>12490</v>
      </c>
      <c r="D196" s="44" t="str">
        <f>IF(B196="MP-MT",VLOOKUP(C196,'COMPOSIÇÃO DE PREÇO UNITÁRIO'!A:B,2,FALSE),VLOOKUP(C196,'SINAPI_COMPOSIÇÕES 062020'!A:B,2,FALSE))</f>
        <v>CAIXA DE SOBREPOR PARA SISTEMA DE CANALETA, SENDO 3 MÓDULOS RJ45-CAT6 - FORNECIMENTO E INSTALAÇÃO</v>
      </c>
      <c r="E196" s="45" t="str">
        <f>IF(B196="MP-MT",VLOOKUP(C196,'COMPOSIÇÃO DE PREÇO UNITÁRIO'!A:H,8,FALSE),VLOOKUP(C196,'SINAPI_COMPOSIÇÕES 062020'!A:C,3,FALSE))</f>
        <v>UND</v>
      </c>
      <c r="F196" s="78">
        <v>2</v>
      </c>
      <c r="G196" s="79">
        <f>IF(B196="MP-MT",VLOOKUP(CONCATENATE("TOTAL DO ÍTEM - ",C196),'COMPOSIÇÃO DE PREÇO UNITÁRIO'!A:H,8,FALSE),VLOOKUP(C196,'SINAPI_COMPOSIÇÕES 062020'!A:D,4,FALSE))</f>
        <v>79.09</v>
      </c>
      <c r="H196" s="79">
        <f t="shared" si="43"/>
        <v>102.33</v>
      </c>
      <c r="I196" s="79">
        <f t="shared" si="44"/>
        <v>204.66</v>
      </c>
    </row>
    <row r="197" spans="1:9" ht="25.5" outlineLevel="2" x14ac:dyDescent="0.2">
      <c r="A197" s="45" t="s">
        <v>13411</v>
      </c>
      <c r="B197" s="45" t="s">
        <v>194</v>
      </c>
      <c r="C197" s="45" t="s">
        <v>12492</v>
      </c>
      <c r="D197" s="44" t="str">
        <f>IF(B197="MP-MT",VLOOKUP(C197,'COMPOSIÇÃO DE PREÇO UNITÁRIO'!A:B,2,FALSE),VLOOKUP(C197,'SINAPI_COMPOSIÇÕES 062020'!A:B,2,FALSE))</f>
        <v>CURVA VERTICAL INTERNA, MOD. REF.: DT 38041.30 OU EQUIVALENTE - FORNECIMENTO E INSTALAÇÃO</v>
      </c>
      <c r="E197" s="45" t="str">
        <f>IF(B197="MP-MT",VLOOKUP(C197,'COMPOSIÇÃO DE PREÇO UNITÁRIO'!A:H,8,FALSE),VLOOKUP(C197,'SINAPI_COMPOSIÇÕES 062020'!A:C,3,FALSE))</f>
        <v>UND</v>
      </c>
      <c r="F197" s="78">
        <f>18+3</f>
        <v>21</v>
      </c>
      <c r="G197" s="79">
        <f>IF(B197="MP-MT",VLOOKUP(CONCATENATE("TOTAL DO ÍTEM - ",C197),'COMPOSIÇÃO DE PREÇO UNITÁRIO'!A:H,8,FALSE),VLOOKUP(C197,'SINAPI_COMPOSIÇÕES 062020'!A:D,4,FALSE))</f>
        <v>29.84</v>
      </c>
      <c r="H197" s="79">
        <f t="shared" si="43"/>
        <v>38.6</v>
      </c>
      <c r="I197" s="79">
        <f t="shared" si="44"/>
        <v>810.6</v>
      </c>
    </row>
    <row r="198" spans="1:9" ht="38.25" outlineLevel="2" x14ac:dyDescent="0.2">
      <c r="A198" s="45" t="s">
        <v>13412</v>
      </c>
      <c r="B198" s="45" t="s">
        <v>194</v>
      </c>
      <c r="C198" s="45" t="s">
        <v>12506</v>
      </c>
      <c r="D198" s="44" t="str">
        <f>IF(B198="MP-MT",VLOOKUP(C198,'COMPOSIÇÃO DE PREÇO UNITÁRIO'!A:B,2,FALSE),VLOOKUP(C198,'SINAPI_COMPOSIÇÕES 062020'!A:B,2,FALSE))</f>
        <v>FORNECIMENTO E INSTALAÇÃO DE ADAPTADOR PARA CANALETA/ELETRODUTO 3"X3/4", 3 ENTRADAS, PARA CANALETA D=25MM METALICA. REF. DUTOTEC OU EQUIVALENTE</v>
      </c>
      <c r="E198" s="45" t="str">
        <f>IF(B198="MP-MT",VLOOKUP(C198,'COMPOSIÇÃO DE PREÇO UNITÁRIO'!A:H,8,FALSE),VLOOKUP(C198,'SINAPI_COMPOSIÇÕES 062020'!A:C,3,FALSE))</f>
        <v>UND</v>
      </c>
      <c r="F198" s="78">
        <v>35</v>
      </c>
      <c r="G198" s="79">
        <f>IF(B198="MP-MT",VLOOKUP(CONCATENATE("TOTAL DO ÍTEM - ",C198),'COMPOSIÇÃO DE PREÇO UNITÁRIO'!A:H,8,FALSE),VLOOKUP(C198,'SINAPI_COMPOSIÇÕES 062020'!A:D,4,FALSE))</f>
        <v>39.909999999999997</v>
      </c>
      <c r="H198" s="79">
        <f t="shared" si="43"/>
        <v>51.63</v>
      </c>
      <c r="I198" s="79">
        <f t="shared" si="44"/>
        <v>1807.05</v>
      </c>
    </row>
    <row r="199" spans="1:9" ht="25.5" outlineLevel="2" x14ac:dyDescent="0.2">
      <c r="A199" s="45" t="s">
        <v>13413</v>
      </c>
      <c r="B199" s="45" t="s">
        <v>9</v>
      </c>
      <c r="C199" s="45">
        <v>90456</v>
      </c>
      <c r="D199" s="44" t="str">
        <f>IF(B199="MP-MT",VLOOKUP(C199,'COMPOSIÇÃO DE PREÇO UNITÁRIO'!A:B,2,FALSE),VLOOKUP(C199,'SINAPI_COMPOSIÇÕES 062020'!A:B,2,FALSE))</f>
        <v>QUEBRA EM ALVENARIA PARA INSTALAÇÃO DE CAIXA DE TOMADA (4X4 OU 4X2). AF_05/2015</v>
      </c>
      <c r="E199" s="45" t="str">
        <f>IF(B199="MP-MT",VLOOKUP(C199,'COMPOSIÇÃO DE PREÇO UNITÁRIO'!A:H,8,FALSE),VLOOKUP(C199,'SINAPI_COMPOSIÇÕES 062020'!A:C,3,FALSE))</f>
        <v>UN</v>
      </c>
      <c r="F199" s="78">
        <v>35</v>
      </c>
      <c r="G199" s="79">
        <f>IF(B199="MP-MT",VLOOKUP(CONCATENATE("TOTAL DO ÍTEM - ",C199),'COMPOSIÇÃO DE PREÇO UNITÁRIO'!A:H,8,FALSE),VLOOKUP(C199,'SINAPI_COMPOSIÇÕES 062020'!A:D,4,FALSE))</f>
        <v>2.87</v>
      </c>
      <c r="H199" s="79">
        <f t="shared" si="43"/>
        <v>3.71</v>
      </c>
      <c r="I199" s="79">
        <f t="shared" si="44"/>
        <v>129.85</v>
      </c>
    </row>
    <row r="200" spans="1:9" ht="25.5" outlineLevel="2" x14ac:dyDescent="0.2">
      <c r="A200" s="45" t="s">
        <v>13414</v>
      </c>
      <c r="B200" s="45" t="s">
        <v>9</v>
      </c>
      <c r="C200" s="45">
        <v>91939</v>
      </c>
      <c r="D200" s="44" t="str">
        <f>IF(B200="MP-MT",VLOOKUP(C200,'COMPOSIÇÃO DE PREÇO UNITÁRIO'!A:B,2,FALSE),VLOOKUP(C200,'SINAPI_COMPOSIÇÕES 062020'!A:B,2,FALSE))</f>
        <v>CAIXA RETANGULAR 4" X 2" ALTA (2,00 M DO PISO), PVC, INSTALADA EM PAREDE - FORNECIMENTO E INSTALAÇÃO. AF_12/2015</v>
      </c>
      <c r="E200" s="45" t="str">
        <f>IF(B200="MP-MT",VLOOKUP(C200,'COMPOSIÇÃO DE PREÇO UNITÁRIO'!A:H,8,FALSE),VLOOKUP(C200,'SINAPI_COMPOSIÇÕES 062020'!A:C,3,FALSE))</f>
        <v>UN</v>
      </c>
      <c r="F200" s="78">
        <v>25</v>
      </c>
      <c r="G200" s="79">
        <f>IF(B200="MP-MT",VLOOKUP(CONCATENATE("TOTAL DO ÍTEM - ",C200),'COMPOSIÇÃO DE PREÇO UNITÁRIO'!A:H,8,FALSE),VLOOKUP(C200,'SINAPI_COMPOSIÇÕES 062020'!A:D,4,FALSE))</f>
        <v>18.989999999999998</v>
      </c>
      <c r="H200" s="79">
        <f t="shared" si="43"/>
        <v>24.57</v>
      </c>
      <c r="I200" s="79">
        <f t="shared" si="44"/>
        <v>614.25</v>
      </c>
    </row>
    <row r="201" spans="1:9" ht="25.5" outlineLevel="2" x14ac:dyDescent="0.2">
      <c r="A201" s="45" t="s">
        <v>13415</v>
      </c>
      <c r="B201" s="45" t="s">
        <v>9</v>
      </c>
      <c r="C201" s="45">
        <v>91940</v>
      </c>
      <c r="D201" s="44" t="str">
        <f>IF(B201="MP-MT",VLOOKUP(C201,'COMPOSIÇÃO DE PREÇO UNITÁRIO'!A:B,2,FALSE),VLOOKUP(C201,'SINAPI_COMPOSIÇÕES 062020'!A:B,2,FALSE))</f>
        <v>CAIXA RETANGULAR 4" X 2" MÉDIA (1,30 M DO PISO), PVC, INSTALADA EM PAREDE - FORNECIMENTO E INSTALAÇÃO. AF_12/2015</v>
      </c>
      <c r="E201" s="45" t="str">
        <f>IF(B201="MP-MT",VLOOKUP(C201,'COMPOSIÇÃO DE PREÇO UNITÁRIO'!A:H,8,FALSE),VLOOKUP(C201,'SINAPI_COMPOSIÇÕES 062020'!A:C,3,FALSE))</f>
        <v>UN</v>
      </c>
      <c r="F201" s="78">
        <v>10</v>
      </c>
      <c r="G201" s="79">
        <f>IF(B201="MP-MT",VLOOKUP(CONCATENATE("TOTAL DO ÍTEM - ",C201),'COMPOSIÇÃO DE PREÇO UNITÁRIO'!A:H,8,FALSE),VLOOKUP(C201,'SINAPI_COMPOSIÇÕES 062020'!A:D,4,FALSE))</f>
        <v>10.09</v>
      </c>
      <c r="H201" s="79">
        <f t="shared" si="43"/>
        <v>13.05</v>
      </c>
      <c r="I201" s="79">
        <f t="shared" si="44"/>
        <v>130.5</v>
      </c>
    </row>
    <row r="202" spans="1:9" outlineLevel="2" x14ac:dyDescent="0.2">
      <c r="A202" s="45" t="s">
        <v>13416</v>
      </c>
      <c r="B202" s="45" t="s">
        <v>9</v>
      </c>
      <c r="C202" s="45">
        <v>98307</v>
      </c>
      <c r="D202" s="44" t="str">
        <f>IF(B202="MP-MT",VLOOKUP(C202,'COMPOSIÇÃO DE PREÇO UNITÁRIO'!A:B,2,FALSE),VLOOKUP(C202,'SINAPI_COMPOSIÇÕES 062020'!A:B,2,FALSE))</f>
        <v>TOMADA DE REDE RJ45 - FORNECIMENTO E INSTALAÇÃO. AF_11/2019</v>
      </c>
      <c r="E202" s="45" t="str">
        <f>IF(B202="MP-MT",VLOOKUP(C202,'COMPOSIÇÃO DE PREÇO UNITÁRIO'!A:H,8,FALSE),VLOOKUP(C202,'SINAPI_COMPOSIÇÕES 062020'!A:C,3,FALSE))</f>
        <v>UN</v>
      </c>
      <c r="F202" s="78">
        <v>35</v>
      </c>
      <c r="G202" s="79">
        <f>IF(B202="MP-MT",VLOOKUP(CONCATENATE("TOTAL DO ÍTEM - ",C202),'COMPOSIÇÃO DE PREÇO UNITÁRIO'!A:H,8,FALSE),VLOOKUP(C202,'SINAPI_COMPOSIÇÕES 062020'!A:D,4,FALSE))</f>
        <v>28.12</v>
      </c>
      <c r="H202" s="79">
        <f t="shared" si="43"/>
        <v>36.380000000000003</v>
      </c>
      <c r="I202" s="79">
        <f t="shared" si="44"/>
        <v>1273.3</v>
      </c>
    </row>
    <row r="203" spans="1:9" ht="25.5" outlineLevel="2" x14ac:dyDescent="0.2">
      <c r="A203" s="45" t="s">
        <v>13417</v>
      </c>
      <c r="B203" s="45" t="s">
        <v>9</v>
      </c>
      <c r="C203" s="45">
        <v>98297</v>
      </c>
      <c r="D203" s="44" t="str">
        <f>IF(B203="MP-MT",VLOOKUP(C203,'COMPOSIÇÃO DE PREÇO UNITÁRIO'!A:B,2,FALSE),VLOOKUP(C203,'SINAPI_COMPOSIÇÕES 062020'!A:B,2,FALSE))</f>
        <v>CABO ELETRÔNICO CATEGORIA 6, INSTALADO EM EDIFICAÇÃO INSTITUCIONAL - FORNECIMENTO E INSTALAÇÃO. AF_11/2019</v>
      </c>
      <c r="E203" s="45" t="str">
        <f>IF(B203="MP-MT",VLOOKUP(C203,'COMPOSIÇÃO DE PREÇO UNITÁRIO'!A:H,8,FALSE),VLOOKUP(C203,'SINAPI_COMPOSIÇÕES 062020'!A:C,3,FALSE))</f>
        <v>M</v>
      </c>
      <c r="F203" s="78">
        <v>2308.6</v>
      </c>
      <c r="G203" s="79">
        <f>IF(B203="MP-MT",VLOOKUP(CONCATENATE("TOTAL DO ÍTEM - ",C203),'COMPOSIÇÃO DE PREÇO UNITÁRIO'!A:H,8,FALSE),VLOOKUP(C203,'SINAPI_COMPOSIÇÕES 062020'!A:D,4,FALSE))</f>
        <v>1.66</v>
      </c>
      <c r="H203" s="79">
        <f t="shared" si="43"/>
        <v>2.14</v>
      </c>
      <c r="I203" s="79">
        <f t="shared" si="44"/>
        <v>4940.3999999999996</v>
      </c>
    </row>
    <row r="204" spans="1:9" ht="38.25" outlineLevel="2" x14ac:dyDescent="0.2">
      <c r="A204" s="45" t="s">
        <v>13418</v>
      </c>
      <c r="B204" s="45" t="s">
        <v>194</v>
      </c>
      <c r="C204" s="45" t="s">
        <v>12441</v>
      </c>
      <c r="D204" s="44" t="str">
        <f>IF(B204="MP-MT",VLOOKUP(C204,'COMPOSIÇÃO DE PREÇO UNITÁRIO'!A:B,2,FALSE),VLOOKUP(C204,'SINAPI_COMPOSIÇÕES 062020'!A:B,2,FALSE))</f>
        <v>ELETROCALHA LISA OU PERFURADA EM AÇO GALVANIZADO, LARGURA 150MM E ALTURA 100MM, INCLUSIVE TAMPA E FIXAÇÃO - FORNECIMENTO E INSTALAÇÃO</v>
      </c>
      <c r="E204" s="45" t="str">
        <f>IF(B204="MP-MT",VLOOKUP(C204,'COMPOSIÇÃO DE PREÇO UNITÁRIO'!A:H,8,FALSE),VLOOKUP(C204,'SINAPI_COMPOSIÇÕES 062020'!A:C,3,FALSE))</f>
        <v>M</v>
      </c>
      <c r="F204" s="78">
        <v>81.5</v>
      </c>
      <c r="G204" s="79">
        <f>IF(B204="MP-MT",VLOOKUP(CONCATENATE("TOTAL DO ÍTEM - ",C204),'COMPOSIÇÃO DE PREÇO UNITÁRIO'!A:H,8,FALSE),VLOOKUP(C204,'SINAPI_COMPOSIÇÕES 062020'!A:D,4,FALSE))</f>
        <v>119.16</v>
      </c>
      <c r="H204" s="79">
        <f>TRUNC(G204*(1+$F$1),2)</f>
        <v>154.16999999999999</v>
      </c>
      <c r="I204" s="79">
        <f>TRUNC(H204*F204,2)</f>
        <v>12564.85</v>
      </c>
    </row>
    <row r="205" spans="1:9" ht="38.25" outlineLevel="2" x14ac:dyDescent="0.2">
      <c r="A205" s="45" t="s">
        <v>13419</v>
      </c>
      <c r="B205" s="45" t="s">
        <v>194</v>
      </c>
      <c r="C205" s="45" t="s">
        <v>12454</v>
      </c>
      <c r="D205" s="44" t="str">
        <f>IF(B205="MP-MT",VLOOKUP(C205,'COMPOSIÇÃO DE PREÇO UNITÁRIO'!A:B,2,FALSE),VLOOKUP(C205,'SINAPI_COMPOSIÇÕES 062020'!A:B,2,FALSE))</f>
        <v>ELETROCALHA LISA OU PERFURADA EM AÇO GALVANIZADO, LARGURA 50MM E ALTURA 50MM, INCLUSIVE TAMPA, EMENDA E FIXAÇÃO - FORNECIMENTO E INSTALAÇÃO</v>
      </c>
      <c r="E205" s="45" t="str">
        <f>IF(B205="MP-MT",VLOOKUP(C205,'COMPOSIÇÃO DE PREÇO UNITÁRIO'!A:H,8,FALSE),VLOOKUP(C205,'SINAPI_COMPOSIÇÕES 062020'!A:C,3,FALSE))</f>
        <v>M</v>
      </c>
      <c r="F205" s="78">
        <v>48.3</v>
      </c>
      <c r="G205" s="79">
        <f>IF(B205="MP-MT",VLOOKUP(CONCATENATE("TOTAL DO ÍTEM - ",C205),'COMPOSIÇÃO DE PREÇO UNITÁRIO'!A:H,8,FALSE),VLOOKUP(C205,'SINAPI_COMPOSIÇÕES 062020'!A:D,4,FALSE))</f>
        <v>61.04</v>
      </c>
      <c r="H205" s="79">
        <f>TRUNC(G205*(1+$F$1),2)</f>
        <v>78.97</v>
      </c>
      <c r="I205" s="79">
        <f>TRUNC(H205*F205,2)</f>
        <v>3814.25</v>
      </c>
    </row>
    <row r="206" spans="1:9" ht="38.25" outlineLevel="2" x14ac:dyDescent="0.2">
      <c r="A206" s="45" t="s">
        <v>13420</v>
      </c>
      <c r="B206" s="45" t="s">
        <v>194</v>
      </c>
      <c r="C206" s="45" t="s">
        <v>12733</v>
      </c>
      <c r="D206" s="44" t="str">
        <f>IF(B206="MP-MT",VLOOKUP(C206,'COMPOSIÇÃO DE PREÇO UNITÁRIO'!A:B,2,FALSE),VLOOKUP(C206,'SINAPI_COMPOSIÇÕES 062020'!A:B,2,FALSE))</f>
        <v>FORNECIMENTO E INSTALAÇÃO DE COTOVELO RETO DE 90º PARA ELETROCALHA, ACABAMENTO PRÉ ZINCADO, DIMENSÃO: 150 X 100 MM, INCLUSIVE TAMPA E FIXAÇÃO</v>
      </c>
      <c r="E206" s="45" t="str">
        <f>IF(B206="MP-MT",VLOOKUP(C206,'COMPOSIÇÃO DE PREÇO UNITÁRIO'!A:H,8,FALSE),VLOOKUP(C206,'SINAPI_COMPOSIÇÕES 062020'!A:C,3,FALSE))</f>
        <v>UND</v>
      </c>
      <c r="F206" s="78">
        <v>5</v>
      </c>
      <c r="G206" s="79">
        <f>IF(B206="MP-MT",VLOOKUP(CONCATENATE("TOTAL DO ÍTEM - ",C206),'COMPOSIÇÃO DE PREÇO UNITÁRIO'!A:H,8,FALSE),VLOOKUP(C206,'SINAPI_COMPOSIÇÕES 062020'!A:D,4,FALSE))</f>
        <v>69.38</v>
      </c>
      <c r="H206" s="79">
        <f t="shared" ref="H206:H210" si="45">TRUNC(G206*(1+$F$1),2)</f>
        <v>89.76</v>
      </c>
      <c r="I206" s="79">
        <f t="shared" ref="I206:I210" si="46">TRUNC(H206*F206,2)</f>
        <v>448.8</v>
      </c>
    </row>
    <row r="207" spans="1:9" ht="25.5" outlineLevel="2" x14ac:dyDescent="0.2">
      <c r="A207" s="45" t="s">
        <v>13421</v>
      </c>
      <c r="B207" s="45" t="s">
        <v>194</v>
      </c>
      <c r="C207" s="45" t="s">
        <v>12739</v>
      </c>
      <c r="D207" s="44" t="str">
        <f>IF(B207="MP-MT",VLOOKUP(C207,'COMPOSIÇÃO DE PREÇO UNITÁRIO'!A:B,2,FALSE),VLOOKUP(C207,'SINAPI_COMPOSIÇÕES 062020'!A:B,2,FALSE))</f>
        <v>TÊ HORIZONTAL DE 90º PARA ELETROCALHA, ACABAMENTO PRÉ ZINCADO, DIMENSÃO: 150X100MM - FORNECIMENTO E INSTALAÇÃO</v>
      </c>
      <c r="E207" s="45" t="str">
        <f>IF(B207="MP-MT",VLOOKUP(C207,'COMPOSIÇÃO DE PREÇO UNITÁRIO'!A:H,8,FALSE),VLOOKUP(C207,'SINAPI_COMPOSIÇÕES 062020'!A:C,3,FALSE))</f>
        <v>UND</v>
      </c>
      <c r="F207" s="78">
        <v>8</v>
      </c>
      <c r="G207" s="79">
        <f>IF(B207="MP-MT",VLOOKUP(CONCATENATE("TOTAL DO ÍTEM - ",C207),'COMPOSIÇÃO DE PREÇO UNITÁRIO'!A:H,8,FALSE),VLOOKUP(C207,'SINAPI_COMPOSIÇÕES 062020'!A:D,4,FALSE))</f>
        <v>60.49</v>
      </c>
      <c r="H207" s="79">
        <f t="shared" si="45"/>
        <v>78.260000000000005</v>
      </c>
      <c r="I207" s="79">
        <f t="shared" si="46"/>
        <v>626.08000000000004</v>
      </c>
    </row>
    <row r="208" spans="1:9" ht="25.5" outlineLevel="2" x14ac:dyDescent="0.2">
      <c r="A208" s="45" t="s">
        <v>13422</v>
      </c>
      <c r="B208" s="45" t="s">
        <v>194</v>
      </c>
      <c r="C208" s="45" t="s">
        <v>12748</v>
      </c>
      <c r="D208" s="44" t="str">
        <f>IF(B208="MP-MT",VLOOKUP(C208,'COMPOSIÇÃO DE PREÇO UNITÁRIO'!A:B,2,FALSE),VLOOKUP(C208,'SINAPI_COMPOSIÇÕES 062020'!A:B,2,FALSE))</f>
        <v>FORNECIMENTO E INSTALAÇÃO DE CURVA DE INVERSÃO PARA ELETROCALHA, ACABAMENTO PRÉ ZINCADO, DIMENSÃO: 150X100MM</v>
      </c>
      <c r="E208" s="45" t="str">
        <f>IF(B208="MP-MT",VLOOKUP(C208,'COMPOSIÇÃO DE PREÇO UNITÁRIO'!A:H,8,FALSE),VLOOKUP(C208,'SINAPI_COMPOSIÇÕES 062020'!A:C,3,FALSE))</f>
        <v>UND</v>
      </c>
      <c r="F208" s="78">
        <v>1</v>
      </c>
      <c r="G208" s="79">
        <f>IF(B208="MP-MT",VLOOKUP(CONCATENATE("TOTAL DO ÍTEM - ",C208),'COMPOSIÇÃO DE PREÇO UNITÁRIO'!A:H,8,FALSE),VLOOKUP(C208,'SINAPI_COMPOSIÇÕES 062020'!A:D,4,FALSE))</f>
        <v>75.709999999999994</v>
      </c>
      <c r="H208" s="79">
        <f t="shared" si="45"/>
        <v>97.95</v>
      </c>
      <c r="I208" s="79">
        <f t="shared" si="46"/>
        <v>97.95</v>
      </c>
    </row>
    <row r="209" spans="1:9" ht="25.5" outlineLevel="2" x14ac:dyDescent="0.2">
      <c r="A209" s="45" t="s">
        <v>13423</v>
      </c>
      <c r="B209" s="45" t="s">
        <v>194</v>
      </c>
      <c r="C209" s="45" t="s">
        <v>12753</v>
      </c>
      <c r="D209" s="44" t="str">
        <f>IF(B209="MP-MT",VLOOKUP(C209,'COMPOSIÇÃO DE PREÇO UNITÁRIO'!A:B,2,FALSE),VLOOKUP(C209,'SINAPI_COMPOSIÇÕES 062020'!A:B,2,FALSE))</f>
        <v>SAÍDA HORIZONTAL PARA ELETRODUTO, Ø 1" - FORNECIMENTO E INSTALAÇÃO</v>
      </c>
      <c r="E209" s="45" t="str">
        <f>IF(B209="MP-MT",VLOOKUP(C209,'COMPOSIÇÃO DE PREÇO UNITÁRIO'!A:H,8,FALSE),VLOOKUP(C209,'SINAPI_COMPOSIÇÕES 062020'!A:C,3,FALSE))</f>
        <v>UND</v>
      </c>
      <c r="F209" s="78">
        <v>55</v>
      </c>
      <c r="G209" s="79">
        <f>IF(B209="MP-MT",VLOOKUP(CONCATENATE("TOTAL DO ÍTEM - ",C209),'COMPOSIÇÃO DE PREÇO UNITÁRIO'!A:H,8,FALSE),VLOOKUP(C209,'SINAPI_COMPOSIÇÕES 062020'!A:D,4,FALSE))</f>
        <v>6.61</v>
      </c>
      <c r="H209" s="79">
        <f t="shared" si="45"/>
        <v>8.5500000000000007</v>
      </c>
      <c r="I209" s="79">
        <f t="shared" si="46"/>
        <v>470.25</v>
      </c>
    </row>
    <row r="210" spans="1:9" ht="25.5" outlineLevel="2" x14ac:dyDescent="0.2">
      <c r="A210" s="45" t="s">
        <v>13424</v>
      </c>
      <c r="B210" s="45" t="s">
        <v>194</v>
      </c>
      <c r="C210" s="45" t="s">
        <v>12758</v>
      </c>
      <c r="D210" s="44" t="str">
        <f>IF(B210="MP-MT",VLOOKUP(C210,'COMPOSIÇÃO DE PREÇO UNITÁRIO'!A:B,2,FALSE),VLOOKUP(C210,'SINAPI_COMPOSIÇÕES 062020'!A:B,2,FALSE))</f>
        <v>RACK 44U, 19", NA COR PRETO, COM VISOR FRONTAL E LATERAIS REMOVÍVEIS - INSTALAÇÃO</v>
      </c>
      <c r="E210" s="45" t="str">
        <f>IF(B210="MP-MT",VLOOKUP(C210,'COMPOSIÇÃO DE PREÇO UNITÁRIO'!A:H,8,FALSE),VLOOKUP(C210,'SINAPI_COMPOSIÇÕES 062020'!A:C,3,FALSE))</f>
        <v>UND</v>
      </c>
      <c r="F210" s="78">
        <v>2</v>
      </c>
      <c r="G210" s="79">
        <f>IF(B210="MP-MT",VLOOKUP(CONCATENATE("TOTAL DO ÍTEM - ",C210),'COMPOSIÇÃO DE PREÇO UNITÁRIO'!A:H,8,FALSE),VLOOKUP(C210,'SINAPI_COMPOSIÇÕES 062020'!A:D,4,FALSE))</f>
        <v>38.230000000000004</v>
      </c>
      <c r="H210" s="79">
        <f t="shared" si="45"/>
        <v>49.46</v>
      </c>
      <c r="I210" s="79">
        <f t="shared" si="46"/>
        <v>98.92</v>
      </c>
    </row>
    <row r="211" spans="1:9" outlineLevel="2" x14ac:dyDescent="0.2">
      <c r="A211" s="45" t="s">
        <v>13425</v>
      </c>
      <c r="B211" s="45" t="s">
        <v>194</v>
      </c>
      <c r="C211" s="45" t="s">
        <v>12772</v>
      </c>
      <c r="D211" s="44" t="str">
        <f>IF(B211="MP-MT",VLOOKUP(C211,'COMPOSIÇÃO DE PREÇO UNITÁRIO'!A:B,2,FALSE),VLOOKUP(C211,'SINAPI_COMPOSIÇÕES 062020'!A:B,2,FALSE))</f>
        <v>SWITCH 24 PORTAS POE, 4P SFP - INSTALAÇÃO</v>
      </c>
      <c r="E211" s="45" t="str">
        <f>IF(B211="MP-MT",VLOOKUP(C211,'COMPOSIÇÃO DE PREÇO UNITÁRIO'!A:H,8,FALSE),VLOOKUP(C211,'SINAPI_COMPOSIÇÕES 062020'!A:C,3,FALSE))</f>
        <v>UND</v>
      </c>
      <c r="F211" s="78">
        <v>2</v>
      </c>
      <c r="G211" s="79">
        <f>IF(B211="MP-MT",VLOOKUP(CONCATENATE("TOTAL DO ÍTEM - ",C211),'COMPOSIÇÃO DE PREÇO UNITÁRIO'!A:H,8,FALSE),VLOOKUP(C211,'SINAPI_COMPOSIÇÕES 062020'!A:D,4,FALSE))</f>
        <v>202.81</v>
      </c>
      <c r="H211" s="79">
        <f t="shared" ref="H211:H236" si="47">TRUNC(G211*(1+$F$1),2)</f>
        <v>262.39999999999998</v>
      </c>
      <c r="I211" s="79">
        <f t="shared" ref="I211:I236" si="48">TRUNC(H211*F211,2)</f>
        <v>524.79999999999995</v>
      </c>
    </row>
    <row r="212" spans="1:9" ht="25.5" outlineLevel="2" x14ac:dyDescent="0.2">
      <c r="A212" s="45" t="s">
        <v>13426</v>
      </c>
      <c r="B212" s="45" t="s">
        <v>194</v>
      </c>
      <c r="C212" s="45" t="s">
        <v>12779</v>
      </c>
      <c r="D212" s="44" t="str">
        <f>IF(B212="MP-MT",VLOOKUP(C212,'COMPOSIÇÃO DE PREÇO UNITÁRIO'!A:B,2,FALSE),VLOOKUP(C212,'SINAPI_COMPOSIÇÕES 062020'!A:B,2,FALSE))</f>
        <v>SWITCH GERENCIÁVEL 48 PORTAS GIGABIT ETHERNET, 4 PORTAS MINI-GBIC SFP - INSTALAÇÃO</v>
      </c>
      <c r="E212" s="45" t="str">
        <f>IF(B212="MP-MT",VLOOKUP(C212,'COMPOSIÇÃO DE PREÇO UNITÁRIO'!A:H,8,FALSE),VLOOKUP(C212,'SINAPI_COMPOSIÇÕES 062020'!A:C,3,FALSE))</f>
        <v>UND</v>
      </c>
      <c r="F212" s="78">
        <v>3</v>
      </c>
      <c r="G212" s="79">
        <f>IF(B212="MP-MT",VLOOKUP(CONCATENATE("TOTAL DO ÍTEM - ",C212),'COMPOSIÇÃO DE PREÇO UNITÁRIO'!A:H,8,FALSE),VLOOKUP(C212,'SINAPI_COMPOSIÇÕES 062020'!A:D,4,FALSE))</f>
        <v>202.81</v>
      </c>
      <c r="H212" s="79">
        <f t="shared" si="47"/>
        <v>262.39999999999998</v>
      </c>
      <c r="I212" s="79">
        <f t="shared" si="48"/>
        <v>787.2</v>
      </c>
    </row>
    <row r="213" spans="1:9" outlineLevel="2" x14ac:dyDescent="0.2">
      <c r="A213" s="45" t="s">
        <v>13427</v>
      </c>
      <c r="B213" s="45" t="s">
        <v>194</v>
      </c>
      <c r="C213" s="45" t="s">
        <v>12784</v>
      </c>
      <c r="D213" s="44" t="str">
        <f>IF(B213="MP-MT",VLOOKUP(C213,'COMPOSIÇÃO DE PREÇO UNITÁRIO'!A:B,2,FALSE),VLOOKUP(C213,'SINAPI_COMPOSIÇÕES 062020'!A:B,2,FALSE))</f>
        <v>TRANSCEIVER (GBIC) 1000BASE-SX PARA SWITCHES - INSTALAÇÃO</v>
      </c>
      <c r="E213" s="45" t="str">
        <f>IF(B213="MP-MT",VLOOKUP(C213,'COMPOSIÇÃO DE PREÇO UNITÁRIO'!A:H,8,FALSE),VLOOKUP(C213,'SINAPI_COMPOSIÇÕES 062020'!A:C,3,FALSE))</f>
        <v>UND</v>
      </c>
      <c r="F213" s="78">
        <v>4</v>
      </c>
      <c r="G213" s="79">
        <f>IF(B213="MP-MT",VLOOKUP(CONCATENATE("TOTAL DO ÍTEM - ",C213),'COMPOSIÇÃO DE PREÇO UNITÁRIO'!A:H,8,FALSE),VLOOKUP(C213,'SINAPI_COMPOSIÇÕES 062020'!A:D,4,FALSE))</f>
        <v>1.43</v>
      </c>
      <c r="H213" s="79">
        <f t="shared" si="47"/>
        <v>1.85</v>
      </c>
      <c r="I213" s="79">
        <f t="shared" si="48"/>
        <v>7.4</v>
      </c>
    </row>
    <row r="214" spans="1:9" outlineLevel="2" x14ac:dyDescent="0.2">
      <c r="A214" s="45" t="s">
        <v>13428</v>
      </c>
      <c r="B214" s="45" t="s">
        <v>194</v>
      </c>
      <c r="C214" s="45" t="s">
        <v>12796</v>
      </c>
      <c r="D214" s="44" t="str">
        <f>IF(B214="MP-MT",VLOOKUP(C214,'COMPOSIÇÃO DE PREÇO UNITÁRIO'!A:B,2,FALSE),VLOOKUP(C214,'SINAPI_COMPOSIÇÕES 062020'!A:B,2,FALSE))</f>
        <v>PATCH PANEL 24 PORTAS, CATEGORIA 6 - INSTALAÇÃO</v>
      </c>
      <c r="E214" s="45" t="str">
        <f>IF(B214="MP-MT",VLOOKUP(C214,'COMPOSIÇÃO DE PREÇO UNITÁRIO'!A:H,8,FALSE),VLOOKUP(C214,'SINAPI_COMPOSIÇÕES 062020'!A:C,3,FALSE))</f>
        <v>UND</v>
      </c>
      <c r="F214" s="78">
        <v>10</v>
      </c>
      <c r="G214" s="79">
        <f>IF(B214="MP-MT",VLOOKUP(CONCATENATE("TOTAL DO ÍTEM - ",C214),'COMPOSIÇÃO DE PREÇO UNITÁRIO'!A:H,8,FALSE),VLOOKUP(C214,'SINAPI_COMPOSIÇÕES 062020'!A:D,4,FALSE))</f>
        <v>403.09000000000003</v>
      </c>
      <c r="H214" s="79">
        <f t="shared" si="47"/>
        <v>521.53</v>
      </c>
      <c r="I214" s="79">
        <f t="shared" si="48"/>
        <v>5215.3</v>
      </c>
    </row>
    <row r="215" spans="1:9" outlineLevel="2" x14ac:dyDescent="0.2">
      <c r="A215" s="45" t="s">
        <v>13429</v>
      </c>
      <c r="B215" s="45" t="s">
        <v>194</v>
      </c>
      <c r="C215" s="45" t="s">
        <v>12802</v>
      </c>
      <c r="D215" s="44" t="str">
        <f>IF(B215="MP-MT",VLOOKUP(C215,'COMPOSIÇÃO DE PREÇO UNITÁRIO'!A:B,2,FALSE),VLOOKUP(C215,'SINAPI_COMPOSIÇÕES 062020'!A:B,2,FALSE))</f>
        <v>DISTRIBUIDOR ÓPTICO (D.I.O) COMPLETO, 19", ATÉ 12FO - INSTALAÇÃO</v>
      </c>
      <c r="E215" s="45" t="str">
        <f>IF(B215="MP-MT",VLOOKUP(C215,'COMPOSIÇÃO DE PREÇO UNITÁRIO'!A:H,8,FALSE),VLOOKUP(C215,'SINAPI_COMPOSIÇÕES 062020'!A:C,3,FALSE))</f>
        <v>UND</v>
      </c>
      <c r="F215" s="78">
        <v>2</v>
      </c>
      <c r="G215" s="79">
        <f>IF(B215="MP-MT",VLOOKUP(CONCATENATE("TOTAL DO ÍTEM - ",C215),'COMPOSIÇÃO DE PREÇO UNITÁRIO'!A:H,8,FALSE),VLOOKUP(C215,'SINAPI_COMPOSIÇÕES 062020'!A:D,4,FALSE))</f>
        <v>68.680000000000007</v>
      </c>
      <c r="H215" s="79">
        <f t="shared" si="47"/>
        <v>88.86</v>
      </c>
      <c r="I215" s="79">
        <f t="shared" si="48"/>
        <v>177.72</v>
      </c>
    </row>
    <row r="216" spans="1:9" ht="25.5" outlineLevel="2" x14ac:dyDescent="0.2">
      <c r="A216" s="45" t="s">
        <v>13430</v>
      </c>
      <c r="B216" s="45" t="s">
        <v>194</v>
      </c>
      <c r="C216" s="45" t="s">
        <v>12809</v>
      </c>
      <c r="D216" s="44" t="str">
        <f>IF(B216="MP-MT",VLOOKUP(C216,'COMPOSIÇÃO DE PREÇO UNITÁRIO'!A:B,2,FALSE),VLOOKUP(C216,'SINAPI_COMPOSIÇÕES 062020'!A:B,2,FALSE))</f>
        <v>PATCH CORD, CORDÃO ÓPTICO DUPLEX ZIP-CORD - FORNECIMENTO E INSTALAÇÃO</v>
      </c>
      <c r="E216" s="45" t="str">
        <f>IF(B216="MP-MT",VLOOKUP(C216,'COMPOSIÇÃO DE PREÇO UNITÁRIO'!A:H,8,FALSE),VLOOKUP(C216,'SINAPI_COMPOSIÇÕES 062020'!A:C,3,FALSE))</f>
        <v>UND</v>
      </c>
      <c r="F216" s="78">
        <v>4</v>
      </c>
      <c r="G216" s="79">
        <f>IF(B216="MP-MT",VLOOKUP(CONCATENATE("TOTAL DO ÍTEM - ",C216),'COMPOSIÇÃO DE PREÇO UNITÁRIO'!A:H,8,FALSE),VLOOKUP(C216,'SINAPI_COMPOSIÇÕES 062020'!A:D,4,FALSE))</f>
        <v>62.06</v>
      </c>
      <c r="H216" s="79">
        <f t="shared" si="47"/>
        <v>80.290000000000006</v>
      </c>
      <c r="I216" s="79">
        <f t="shared" si="48"/>
        <v>321.16000000000003</v>
      </c>
    </row>
    <row r="217" spans="1:9" outlineLevel="2" x14ac:dyDescent="0.2">
      <c r="A217" s="45" t="s">
        <v>13431</v>
      </c>
      <c r="B217" s="45" t="s">
        <v>194</v>
      </c>
      <c r="C217" s="45" t="s">
        <v>12816</v>
      </c>
      <c r="D217" s="44" t="str">
        <f>IF(B217="MP-MT",VLOOKUP(C217,'COMPOSIÇÃO DE PREÇO UNITÁRIO'!A:B,2,FALSE),VLOOKUP(C217,'SINAPI_COMPOSIÇÕES 062020'!A:B,2,FALSE))</f>
        <v>PATCH CORD, CAT6, 1,5 M - FORNECIMENTO E INSTALAÇÃO</v>
      </c>
      <c r="E217" s="45" t="str">
        <f>IF(B217="MP-MT",VLOOKUP(C217,'COMPOSIÇÃO DE PREÇO UNITÁRIO'!A:H,8,FALSE),VLOOKUP(C217,'SINAPI_COMPOSIÇÕES 062020'!A:C,3,FALSE))</f>
        <v>UND</v>
      </c>
      <c r="F217" s="78">
        <v>180</v>
      </c>
      <c r="G217" s="79">
        <f>IF(B217="MP-MT",VLOOKUP(CONCATENATE("TOTAL DO ÍTEM - ",C217),'COMPOSIÇÃO DE PREÇO UNITÁRIO'!A:H,8,FALSE),VLOOKUP(C217,'SINAPI_COMPOSIÇÕES 062020'!A:D,4,FALSE))</f>
        <v>15.12</v>
      </c>
      <c r="H217" s="79">
        <f t="shared" si="47"/>
        <v>19.559999999999999</v>
      </c>
      <c r="I217" s="79">
        <f t="shared" si="48"/>
        <v>3520.8</v>
      </c>
    </row>
    <row r="218" spans="1:9" outlineLevel="2" x14ac:dyDescent="0.2">
      <c r="A218" s="45" t="s">
        <v>13432</v>
      </c>
      <c r="B218" s="45" t="s">
        <v>194</v>
      </c>
      <c r="C218" s="45" t="s">
        <v>12820</v>
      </c>
      <c r="D218" s="44" t="str">
        <f>IF(B218="MP-MT",VLOOKUP(C218,'COMPOSIÇÃO DE PREÇO UNITÁRIO'!A:B,2,FALSE),VLOOKUP(C218,'SINAPI_COMPOSIÇÕES 062020'!A:B,2,FALSE))</f>
        <v>PATCH CORD, CAT6, 2,5 M - FORNECIMENTO E INSTALAÇÃO</v>
      </c>
      <c r="E218" s="45" t="str">
        <f>IF(B218="MP-MT",VLOOKUP(C218,'COMPOSIÇÃO DE PREÇO UNITÁRIO'!A:H,8,FALSE),VLOOKUP(C218,'SINAPI_COMPOSIÇÕES 062020'!A:C,3,FALSE))</f>
        <v>UND</v>
      </c>
      <c r="F218" s="78">
        <v>80</v>
      </c>
      <c r="G218" s="79">
        <f>IF(B218="MP-MT",VLOOKUP(CONCATENATE("TOTAL DO ÍTEM - ",C218),'COMPOSIÇÃO DE PREÇO UNITÁRIO'!A:H,8,FALSE),VLOOKUP(C218,'SINAPI_COMPOSIÇÕES 062020'!A:D,4,FALSE))</f>
        <v>17.220000000000002</v>
      </c>
      <c r="H218" s="79">
        <f t="shared" si="47"/>
        <v>22.28</v>
      </c>
      <c r="I218" s="79">
        <f t="shared" si="48"/>
        <v>1782.4</v>
      </c>
    </row>
    <row r="219" spans="1:9" ht="25.5" outlineLevel="2" x14ac:dyDescent="0.2">
      <c r="A219" s="45" t="s">
        <v>13433</v>
      </c>
      <c r="B219" s="361" t="s">
        <v>9</v>
      </c>
      <c r="C219" s="361">
        <v>98270</v>
      </c>
      <c r="D219" s="44" t="str">
        <f>IF(B219="MP-MT",VLOOKUP(C219,'COMPOSIÇÃO DE PREÇO UNITÁRIO'!A:B,2,FALSE),VLOOKUP(C219,'SINAPI_COMPOSIÇÕES 062020'!A:B,2,FALSE))</f>
        <v>CABO TELEFÔNICO CI-50 50 PARES INSTALADO EM ENTRADA DE EDIFICAÇÃO - FORNECIMENTO E INSTALAÇÃO. AF_11/2019</v>
      </c>
      <c r="E219" s="45" t="str">
        <f>IF(B219="MP-MT",VLOOKUP(C219,'COMPOSIÇÃO DE PREÇO UNITÁRIO'!A:H,8,FALSE),VLOOKUP(C219,'SINAPI_COMPOSIÇÕES 062020'!A:C,3,FALSE))</f>
        <v>M</v>
      </c>
      <c r="F219" s="78">
        <v>40.9</v>
      </c>
      <c r="G219" s="79">
        <f>IF(B219="MP-MT",VLOOKUP(CONCATENATE("TOTAL DO ÍTEM - ",C219),'COMPOSIÇÃO DE PREÇO UNITÁRIO'!A:H,8,FALSE),VLOOKUP(C219,'SINAPI_COMPOSIÇÕES 062020'!A:D,4,FALSE))</f>
        <v>36.9</v>
      </c>
      <c r="H219" s="79">
        <f t="shared" si="47"/>
        <v>47.74</v>
      </c>
      <c r="I219" s="79">
        <f t="shared" si="48"/>
        <v>1952.56</v>
      </c>
    </row>
    <row r="220" spans="1:9" outlineLevel="2" x14ac:dyDescent="0.2">
      <c r="A220" s="45" t="s">
        <v>13434</v>
      </c>
      <c r="B220" s="45" t="s">
        <v>194</v>
      </c>
      <c r="C220" s="45" t="s">
        <v>12822</v>
      </c>
      <c r="D220" s="44" t="str">
        <f>IF(B220="MP-MT",VLOOKUP(C220,'COMPOSIÇÃO DE PREÇO UNITÁRIO'!A:B,2,FALSE),VLOOKUP(C220,'SINAPI_COMPOSIÇÕES 062020'!A:B,2,FALSE))</f>
        <v>CERTIFICAÇÃO DE REDE LÓGICA, INCLUSIVE EMISSÃO DE RELATÓRIO</v>
      </c>
      <c r="E220" s="45" t="str">
        <f>IF(B220="MP-MT",VLOOKUP(C220,'COMPOSIÇÃO DE PREÇO UNITÁRIO'!A:H,8,FALSE),VLOOKUP(C220,'SINAPI_COMPOSIÇÕES 062020'!A:C,3,FALSE))</f>
        <v>UND</v>
      </c>
      <c r="F220" s="78">
        <v>114</v>
      </c>
      <c r="G220" s="79">
        <f>IF(B220="MP-MT",VLOOKUP(CONCATENATE("TOTAL DO ÍTEM - ",C220),'COMPOSIÇÃO DE PREÇO UNITÁRIO'!A:H,8,FALSE),VLOOKUP(C220,'SINAPI_COMPOSIÇÕES 062020'!A:D,4,FALSE))</f>
        <v>16.350000000000001</v>
      </c>
      <c r="H220" s="79">
        <f t="shared" si="47"/>
        <v>21.15</v>
      </c>
      <c r="I220" s="79">
        <f t="shared" si="48"/>
        <v>2411.1</v>
      </c>
    </row>
    <row r="221" spans="1:9" ht="25.5" outlineLevel="2" x14ac:dyDescent="0.2">
      <c r="A221" s="45" t="s">
        <v>13435</v>
      </c>
      <c r="B221" s="45" t="s">
        <v>194</v>
      </c>
      <c r="C221" s="45" t="s">
        <v>12923</v>
      </c>
      <c r="D221" s="44" t="str">
        <f>IF(B221="MP-MT",VLOOKUP(C221,'COMPOSIÇÃO DE PREÇO UNITÁRIO'!A:B,2,FALSE),VLOOKUP(C221,'SINAPI_COMPOSIÇÕES 062020'!A:B,2,FALSE))</f>
        <v>CENTRAL PABX HÍBRIDA, REF. INTELBRAS IMPACTA 140 OU EQUIVALENTE - INSTALAÇÃO</v>
      </c>
      <c r="E221" s="45" t="str">
        <f>IF(B221="MP-MT",VLOOKUP(C221,'COMPOSIÇÃO DE PREÇO UNITÁRIO'!A:H,8,FALSE),VLOOKUP(C221,'SINAPI_COMPOSIÇÕES 062020'!A:C,3,FALSE))</f>
        <v>UND</v>
      </c>
      <c r="F221" s="78">
        <v>1</v>
      </c>
      <c r="G221" s="79">
        <f>IF(B221="MP-MT",VLOOKUP(CONCATENATE("TOTAL DO ÍTEM - ",C221),'COMPOSIÇÃO DE PREÇO UNITÁRIO'!A:H,8,FALSE),VLOOKUP(C221,'SINAPI_COMPOSIÇÕES 062020'!A:D,4,FALSE))</f>
        <v>49.06</v>
      </c>
      <c r="H221" s="79">
        <f t="shared" si="47"/>
        <v>63.47</v>
      </c>
      <c r="I221" s="79">
        <f t="shared" si="48"/>
        <v>63.47</v>
      </c>
    </row>
    <row r="222" spans="1:9" outlineLevel="2" x14ac:dyDescent="0.2">
      <c r="A222" s="45" t="s">
        <v>13436</v>
      </c>
      <c r="B222" s="45" t="s">
        <v>194</v>
      </c>
      <c r="C222" s="45" t="s">
        <v>12824</v>
      </c>
      <c r="D222" s="44" t="str">
        <f>IF(B222="MP-MT",VLOOKUP(C222,'COMPOSIÇÃO DE PREÇO UNITÁRIO'!A:B,2,FALSE),VLOOKUP(C222,'SINAPI_COMPOSIÇÕES 062020'!A:B,2,FALSE))</f>
        <v>FUSÃO/EMENDA DE FIBRA ÓPTICA</v>
      </c>
      <c r="E222" s="45" t="str">
        <f>IF(B222="MP-MT",VLOOKUP(C222,'COMPOSIÇÃO DE PREÇO UNITÁRIO'!A:H,8,FALSE),VLOOKUP(C222,'SINAPI_COMPOSIÇÕES 062020'!A:C,3,FALSE))</f>
        <v>UND</v>
      </c>
      <c r="F222" s="78">
        <f>4+1</f>
        <v>5</v>
      </c>
      <c r="G222" s="79">
        <f>IF(B222="MP-MT",VLOOKUP(CONCATENATE("TOTAL DO ÍTEM - ",C222),'COMPOSIÇÃO DE PREÇO UNITÁRIO'!A:H,8,FALSE),VLOOKUP(C222,'SINAPI_COMPOSIÇÕES 062020'!A:D,4,FALSE))</f>
        <v>65</v>
      </c>
      <c r="H222" s="79">
        <f t="shared" si="47"/>
        <v>84.1</v>
      </c>
      <c r="I222" s="79">
        <f t="shared" si="48"/>
        <v>420.5</v>
      </c>
    </row>
    <row r="223" spans="1:9" ht="25.5" outlineLevel="2" x14ac:dyDescent="0.2">
      <c r="A223" s="45" t="s">
        <v>13437</v>
      </c>
      <c r="B223" s="45" t="s">
        <v>194</v>
      </c>
      <c r="C223" s="45" t="s">
        <v>12830</v>
      </c>
      <c r="D223" s="44" t="str">
        <f>IF(B223="MP-MT",VLOOKUP(C223,'COMPOSIÇÃO DE PREÇO UNITÁRIO'!A:B,2,FALSE),VLOOKUP(C223,'SINAPI_COMPOSIÇÕES 062020'!A:B,2,FALSE))</f>
        <v>CABO ÓPTICO MULTIMODO COM PROTEÇÃO METÁLICA ANTI ROEDOR, 2XFO, INSTALADO EM EDIFICAÇÃO INSTITUCIONAL - INSTALAÇÃO</v>
      </c>
      <c r="E223" s="45" t="str">
        <f>IF(B223="MP-MT",VLOOKUP(C223,'COMPOSIÇÃO DE PREÇO UNITÁRIO'!A:H,8,FALSE),VLOOKUP(C223,'SINAPI_COMPOSIÇÕES 062020'!A:C,3,FALSE))</f>
        <v>M</v>
      </c>
      <c r="F223" s="78">
        <v>40.9</v>
      </c>
      <c r="G223" s="79">
        <f>IF(B223="MP-MT",VLOOKUP(CONCATENATE("TOTAL DO ÍTEM - ",C223),'COMPOSIÇÃO DE PREÇO UNITÁRIO'!A:H,8,FALSE),VLOOKUP(C223,'SINAPI_COMPOSIÇÕES 062020'!A:D,4,FALSE))</f>
        <v>19.725000000000001</v>
      </c>
      <c r="H223" s="79">
        <f t="shared" si="47"/>
        <v>25.52</v>
      </c>
      <c r="I223" s="79">
        <f t="shared" si="48"/>
        <v>1043.76</v>
      </c>
    </row>
    <row r="224" spans="1:9" outlineLevel="2" x14ac:dyDescent="0.2">
      <c r="A224" s="45" t="s">
        <v>13438</v>
      </c>
      <c r="B224" s="45" t="s">
        <v>194</v>
      </c>
      <c r="C224" s="45" t="s">
        <v>12835</v>
      </c>
      <c r="D224" s="44" t="str">
        <f>IF(B224="MP-MT",VLOOKUP(C224,'COMPOSIÇÃO DE PREÇO UNITÁRIO'!A:B,2,FALSE),VLOOKUP(C224,'SINAPI_COMPOSIÇÕES 062020'!A:B,2,FALSE))</f>
        <v>SERVIÇO DE IDENTIFICAÇÃO DE CABO ÓPTICO COM PLAQUETAS</v>
      </c>
      <c r="E224" s="45" t="str">
        <f>IF(B224="MP-MT",VLOOKUP(C224,'COMPOSIÇÃO DE PREÇO UNITÁRIO'!A:H,8,FALSE),VLOOKUP(C224,'SINAPI_COMPOSIÇÕES 062020'!A:C,3,FALSE))</f>
        <v>UND</v>
      </c>
      <c r="F224" s="78">
        <v>7</v>
      </c>
      <c r="G224" s="79">
        <f>IF(B224="MP-MT",VLOOKUP(CONCATENATE("TOTAL DO ÍTEM - ",C224),'COMPOSIÇÃO DE PREÇO UNITÁRIO'!A:H,8,FALSE),VLOOKUP(C224,'SINAPI_COMPOSIÇÕES 062020'!A:D,4,FALSE))</f>
        <v>7</v>
      </c>
      <c r="H224" s="79">
        <f t="shared" si="47"/>
        <v>9.0500000000000007</v>
      </c>
      <c r="I224" s="79">
        <f t="shared" si="48"/>
        <v>63.35</v>
      </c>
    </row>
    <row r="225" spans="1:9" outlineLevel="2" x14ac:dyDescent="0.2">
      <c r="A225" s="45" t="s">
        <v>13439</v>
      </c>
      <c r="B225" s="45" t="s">
        <v>194</v>
      </c>
      <c r="C225" s="45" t="s">
        <v>12838</v>
      </c>
      <c r="D225" s="44" t="str">
        <f>IF(B225="MP-MT",VLOOKUP(C225,'COMPOSIÇÃO DE PREÇO UNITÁRIO'!A:B,2,FALSE),VLOOKUP(C225,'SINAPI_COMPOSIÇÕES 062020'!A:B,2,FALSE))</f>
        <v>FORNECIMENTO E COLOCAÇÃO DE ANILHA PARA IDENTIFICAÇÃO DE CABOS</v>
      </c>
      <c r="E225" s="45" t="str">
        <f>IF(B225="MP-MT",VLOOKUP(C225,'COMPOSIÇÃO DE PREÇO UNITÁRIO'!A:H,8,FALSE),VLOOKUP(C225,'SINAPI_COMPOSIÇÕES 062020'!A:C,3,FALSE))</f>
        <v>UND</v>
      </c>
      <c r="F225" s="78">
        <v>1368</v>
      </c>
      <c r="G225" s="79">
        <f>IF(B225="MP-MT",VLOOKUP(CONCATENATE("TOTAL DO ÍTEM - ",C225),'COMPOSIÇÃO DE PREÇO UNITÁRIO'!A:H,8,FALSE),VLOOKUP(C225,'SINAPI_COMPOSIÇÕES 062020'!A:D,4,FALSE))</f>
        <v>0.72</v>
      </c>
      <c r="H225" s="79">
        <f t="shared" si="47"/>
        <v>0.93</v>
      </c>
      <c r="I225" s="79">
        <f t="shared" si="48"/>
        <v>1272.24</v>
      </c>
    </row>
    <row r="226" spans="1:9" outlineLevel="2" x14ac:dyDescent="0.2">
      <c r="A226" s="45" t="s">
        <v>13440</v>
      </c>
      <c r="B226" s="45" t="s">
        <v>194</v>
      </c>
      <c r="C226" s="45" t="s">
        <v>12850</v>
      </c>
      <c r="D226" s="44" t="str">
        <f>IF(B226="MP-MT",VLOOKUP(C226,'COMPOSIÇÃO DE PREÇO UNITÁRIO'!A:B,2,FALSE),VLOOKUP(C226,'SINAPI_COMPOSIÇÕES 062020'!A:B,2,FALSE))</f>
        <v>CRIMPAGEM DE CABOS UTP 4 PAR. CAT.6</v>
      </c>
      <c r="E226" s="45" t="str">
        <f>IF(B226="MP-MT",VLOOKUP(C226,'COMPOSIÇÃO DE PREÇO UNITÁRIO'!A:H,8,FALSE),VLOOKUP(C226,'SINAPI_COMPOSIÇÕES 062020'!A:C,3,FALSE))</f>
        <v>UND</v>
      </c>
      <c r="F226" s="78">
        <f>388+1</f>
        <v>389</v>
      </c>
      <c r="G226" s="79">
        <f>IF(B226="MP-MT",VLOOKUP(CONCATENATE("TOTAL DO ÍTEM - ",C226),'COMPOSIÇÃO DE PREÇO UNITÁRIO'!A:H,8,FALSE),VLOOKUP(C226,'SINAPI_COMPOSIÇÕES 062020'!A:D,4,FALSE))</f>
        <v>6.5299999999999994</v>
      </c>
      <c r="H226" s="79">
        <f t="shared" si="47"/>
        <v>8.44</v>
      </c>
      <c r="I226" s="79">
        <f t="shared" si="48"/>
        <v>3283.16</v>
      </c>
    </row>
    <row r="227" spans="1:9" outlineLevel="2" x14ac:dyDescent="0.2">
      <c r="A227" s="45" t="s">
        <v>13441</v>
      </c>
      <c r="B227" s="45" t="s">
        <v>194</v>
      </c>
      <c r="C227" s="45" t="s">
        <v>12854</v>
      </c>
      <c r="D227" s="44" t="str">
        <f>IF(B227="MP-MT",VLOOKUP(C227,'COMPOSIÇÃO DE PREÇO UNITÁRIO'!A:B,2,FALSE),VLOOKUP(C227,'SINAPI_COMPOSIÇÕES 062020'!A:B,2,FALSE))</f>
        <v>IDENTIFICAÇÃO DE PONTOS/TOMADA RJ45, COM ETIQUETA AUTOCOLANTE</v>
      </c>
      <c r="E227" s="45" t="str">
        <f>IF(B227="MP-MT",VLOOKUP(C227,'COMPOSIÇÃO DE PREÇO UNITÁRIO'!A:H,8,FALSE),VLOOKUP(C227,'SINAPI_COMPOSIÇÕES 062020'!A:C,3,FALSE))</f>
        <v>PTO</v>
      </c>
      <c r="F227" s="78">
        <v>140</v>
      </c>
      <c r="G227" s="79">
        <f>IF(B227="MP-MT",VLOOKUP(CONCATENATE("TOTAL DO ÍTEM - ",C227),'COMPOSIÇÃO DE PREÇO UNITÁRIO'!A:H,8,FALSE),VLOOKUP(C227,'SINAPI_COMPOSIÇÕES 062020'!A:D,4,FALSE))</f>
        <v>1.9125000000000001</v>
      </c>
      <c r="H227" s="79">
        <f t="shared" si="47"/>
        <v>2.4700000000000002</v>
      </c>
      <c r="I227" s="79">
        <f t="shared" si="48"/>
        <v>345.8</v>
      </c>
    </row>
    <row r="228" spans="1:9" outlineLevel="2" x14ac:dyDescent="0.2">
      <c r="A228" s="45" t="s">
        <v>13442</v>
      </c>
      <c r="B228" s="45" t="s">
        <v>194</v>
      </c>
      <c r="C228" s="45" t="s">
        <v>12866</v>
      </c>
      <c r="D228" s="44" t="str">
        <f>IF(B228="MP-MT",VLOOKUP(C228,'COMPOSIÇÃO DE PREÇO UNITÁRIO'!A:B,2,FALSE),VLOOKUP(C228,'SINAPI_COMPOSIÇÕES 062020'!A:B,2,FALSE))</f>
        <v>SERVIÇO DE CERTIFICAÇÃO DE INSTALAÇÃO DE FIBRA ÓPTICA</v>
      </c>
      <c r="E228" s="45" t="str">
        <f>IF(B228="MP-MT",VLOOKUP(C228,'COMPOSIÇÃO DE PREÇO UNITÁRIO'!A:H,8,FALSE),VLOOKUP(C228,'SINAPI_COMPOSIÇÕES 062020'!A:C,3,FALSE))</f>
        <v>UND</v>
      </c>
      <c r="F228" s="78">
        <f>1+1</f>
        <v>2</v>
      </c>
      <c r="G228" s="79">
        <f>IF(B228="MP-MT",VLOOKUP(CONCATENATE("TOTAL DO ÍTEM - ",C228),'COMPOSIÇÃO DE PREÇO UNITÁRIO'!A:H,8,FALSE),VLOOKUP(C228,'SINAPI_COMPOSIÇÕES 062020'!A:D,4,FALSE))</f>
        <v>50</v>
      </c>
      <c r="H228" s="79">
        <f t="shared" si="47"/>
        <v>64.69</v>
      </c>
      <c r="I228" s="79">
        <f t="shared" si="48"/>
        <v>129.38</v>
      </c>
    </row>
    <row r="229" spans="1:9" ht="25.5" outlineLevel="2" x14ac:dyDescent="0.2">
      <c r="A229" s="45" t="s">
        <v>13443</v>
      </c>
      <c r="B229" s="45" t="s">
        <v>194</v>
      </c>
      <c r="C229" s="45" t="s">
        <v>12868</v>
      </c>
      <c r="D229" s="44" t="str">
        <f>IF(B229="MP-MT",VLOOKUP(C229,'COMPOSIÇÃO DE PREÇO UNITÁRIO'!A:B,2,FALSE),VLOOKUP(C229,'SINAPI_COMPOSIÇÕES 062020'!A:B,2,FALSE))</f>
        <v>ABRACADEIRA DE NYLON PARA AMARRACAO DE CABOS, COMPRIMENTO DE 100 X 2,5 MM - FORNCECIMENTO E INSTALAÇÃO</v>
      </c>
      <c r="E229" s="45" t="str">
        <f>IF(B229="MP-MT",VLOOKUP(C229,'COMPOSIÇÃO DE PREÇO UNITÁRIO'!A:H,8,FALSE),VLOOKUP(C229,'SINAPI_COMPOSIÇÕES 062020'!A:C,3,FALSE))</f>
        <v>UND</v>
      </c>
      <c r="F229" s="78">
        <v>120</v>
      </c>
      <c r="G229" s="79">
        <f>IF(B229="MP-MT",VLOOKUP(CONCATENATE("TOTAL DO ÍTEM - ",C229),'COMPOSIÇÃO DE PREÇO UNITÁRIO'!A:H,8,FALSE),VLOOKUP(C229,'SINAPI_COMPOSIÇÕES 062020'!A:D,4,FALSE))</f>
        <v>0.38</v>
      </c>
      <c r="H229" s="79">
        <f t="shared" si="47"/>
        <v>0.49</v>
      </c>
      <c r="I229" s="79">
        <f t="shared" si="48"/>
        <v>58.8</v>
      </c>
    </row>
    <row r="230" spans="1:9" ht="25.5" outlineLevel="2" x14ac:dyDescent="0.2">
      <c r="A230" s="45" t="s">
        <v>13444</v>
      </c>
      <c r="B230" s="45" t="s">
        <v>194</v>
      </c>
      <c r="C230" s="45" t="s">
        <v>12871</v>
      </c>
      <c r="D230" s="44" t="str">
        <f>IF(B230="MP-MT",VLOOKUP(C230,'COMPOSIÇÃO DE PREÇO UNITÁRIO'!A:B,2,FALSE),VLOOKUP(C230,'SINAPI_COMPOSIÇÕES 062020'!A:B,2,FALSE))</f>
        <v>BANDEJA FIXA PARA RACK 19", 600 X 480 X 45, CAPACIDADE DE CARGA DE ATÉ 50KG - INSTALAÇÃO</v>
      </c>
      <c r="E230" s="45" t="str">
        <f>IF(B230="MP-MT",VLOOKUP(C230,'COMPOSIÇÃO DE PREÇO UNITÁRIO'!A:H,8,FALSE),VLOOKUP(C230,'SINAPI_COMPOSIÇÕES 062020'!A:C,3,FALSE))</f>
        <v>UND</v>
      </c>
      <c r="F230" s="78">
        <v>4</v>
      </c>
      <c r="G230" s="79">
        <f>IF(B230="MP-MT",VLOOKUP(CONCATENATE("TOTAL DO ÍTEM - ",C230),'COMPOSIÇÃO DE PREÇO UNITÁRIO'!A:H,8,FALSE),VLOOKUP(C230,'SINAPI_COMPOSIÇÕES 062020'!A:D,4,FALSE))</f>
        <v>27.83</v>
      </c>
      <c r="H230" s="79">
        <f t="shared" si="47"/>
        <v>36</v>
      </c>
      <c r="I230" s="79">
        <f t="shared" si="48"/>
        <v>144</v>
      </c>
    </row>
    <row r="231" spans="1:9" outlineLevel="2" x14ac:dyDescent="0.2">
      <c r="A231" s="45" t="s">
        <v>13445</v>
      </c>
      <c r="B231" s="45" t="s">
        <v>194</v>
      </c>
      <c r="C231" s="45" t="s">
        <v>12881</v>
      </c>
      <c r="D231" s="44" t="str">
        <f>IF(B231="MP-MT",VLOOKUP(C231,'COMPOSIÇÃO DE PREÇO UNITÁRIO'!A:B,2,FALSE),VLOOKUP(C231,'SINAPI_COMPOSIÇÕES 062020'!A:B,2,FALSE))</f>
        <v>PAINEL/TAMPA CEGA PARA RACK 19", 1U - INSTALAÇÃO</v>
      </c>
      <c r="E231" s="45" t="str">
        <f>IF(B231="MP-MT",VLOOKUP(C231,'COMPOSIÇÃO DE PREÇO UNITÁRIO'!A:H,8,FALSE),VLOOKUP(C231,'SINAPI_COMPOSIÇÕES 062020'!A:C,3,FALSE))</f>
        <v>UND</v>
      </c>
      <c r="F231" s="78">
        <v>4</v>
      </c>
      <c r="G231" s="79">
        <f>IF(B231="MP-MT",VLOOKUP(CONCATENATE("TOTAL DO ÍTEM - ",C231),'COMPOSIÇÃO DE PREÇO UNITÁRIO'!A:H,8,FALSE),VLOOKUP(C231,'SINAPI_COMPOSIÇÕES 062020'!A:D,4,FALSE))</f>
        <v>2.86</v>
      </c>
      <c r="H231" s="79">
        <f t="shared" si="47"/>
        <v>3.7</v>
      </c>
      <c r="I231" s="79">
        <f t="shared" si="48"/>
        <v>14.8</v>
      </c>
    </row>
    <row r="232" spans="1:9" outlineLevel="2" x14ac:dyDescent="0.2">
      <c r="A232" s="45" t="s">
        <v>13446</v>
      </c>
      <c r="B232" s="45" t="s">
        <v>194</v>
      </c>
      <c r="C232" s="45" t="s">
        <v>12885</v>
      </c>
      <c r="D232" s="44" t="str">
        <f>IF(B232="MP-MT",VLOOKUP(C232,'COMPOSIÇÃO DE PREÇO UNITÁRIO'!A:B,2,FALSE),VLOOKUP(C232,'SINAPI_COMPOSIÇÕES 062020'!A:B,2,FALSE))</f>
        <v>PAINEL/TAMPA CEGA PARA RACK 19", 2U - INSTALAÇÃO</v>
      </c>
      <c r="E232" s="45" t="str">
        <f>IF(B232="MP-MT",VLOOKUP(C232,'COMPOSIÇÃO DE PREÇO UNITÁRIO'!A:H,8,FALSE),VLOOKUP(C232,'SINAPI_COMPOSIÇÕES 062020'!A:C,3,FALSE))</f>
        <v>UND</v>
      </c>
      <c r="F232" s="78">
        <v>10</v>
      </c>
      <c r="G232" s="79">
        <f>IF(B232="MP-MT",VLOOKUP(CONCATENATE("TOTAL DO ÍTEM - ",C232),'COMPOSIÇÃO DE PREÇO UNITÁRIO'!A:H,8,FALSE),VLOOKUP(C232,'SINAPI_COMPOSIÇÕES 062020'!A:D,4,FALSE))</f>
        <v>2.86</v>
      </c>
      <c r="H232" s="79">
        <f t="shared" si="47"/>
        <v>3.7</v>
      </c>
      <c r="I232" s="79">
        <f t="shared" si="48"/>
        <v>37</v>
      </c>
    </row>
    <row r="233" spans="1:9" outlineLevel="2" x14ac:dyDescent="0.2">
      <c r="A233" s="45" t="s">
        <v>13447</v>
      </c>
      <c r="B233" s="45" t="s">
        <v>194</v>
      </c>
      <c r="C233" s="45" t="s">
        <v>12893</v>
      </c>
      <c r="D233" s="44" t="str">
        <f>IF(B233="MP-MT",VLOOKUP(C233,'COMPOSIÇÃO DE PREÇO UNITÁRIO'!A:B,2,FALSE),VLOOKUP(C233,'SINAPI_COMPOSIÇÕES 062020'!A:B,2,FALSE))</f>
        <v>GUIA DE CABOS PARA RACK 19", 1U - INSTALAÇÃO</v>
      </c>
      <c r="E233" s="45" t="str">
        <f>IF(B233="MP-MT",VLOOKUP(C233,'COMPOSIÇÃO DE PREÇO UNITÁRIO'!A:H,8,FALSE),VLOOKUP(C233,'SINAPI_COMPOSIÇÕES 062020'!A:C,3,FALSE))</f>
        <v>UND</v>
      </c>
      <c r="F233" s="78">
        <v>18</v>
      </c>
      <c r="G233" s="79">
        <f>IF(B233="MP-MT",VLOOKUP(CONCATENATE("TOTAL DO ÍTEM - ",C233),'COMPOSIÇÃO DE PREÇO UNITÁRIO'!A:H,8,FALSE),VLOOKUP(C233,'SINAPI_COMPOSIÇÕES 062020'!A:D,4,FALSE))</f>
        <v>2.86</v>
      </c>
      <c r="H233" s="79">
        <f t="shared" si="47"/>
        <v>3.7</v>
      </c>
      <c r="I233" s="79">
        <f t="shared" si="48"/>
        <v>66.599999999999994</v>
      </c>
    </row>
    <row r="234" spans="1:9" outlineLevel="2" x14ac:dyDescent="0.2">
      <c r="A234" s="45" t="s">
        <v>13448</v>
      </c>
      <c r="B234" s="45" t="s">
        <v>194</v>
      </c>
      <c r="C234" s="45" t="s">
        <v>12895</v>
      </c>
      <c r="D234" s="44" t="str">
        <f>IF(B234="MP-MT",VLOOKUP(C234,'COMPOSIÇÃO DE PREÇO UNITÁRIO'!A:B,2,FALSE),VLOOKUP(C234,'SINAPI_COMPOSIÇÕES 062020'!A:B,2,FALSE))</f>
        <v>GUIA DE CABOS PARA RACK 19", 2U - INSTALAÇÃO</v>
      </c>
      <c r="E234" s="45" t="str">
        <f>IF(B234="MP-MT",VLOOKUP(C234,'COMPOSIÇÃO DE PREÇO UNITÁRIO'!A:H,8,FALSE),VLOOKUP(C234,'SINAPI_COMPOSIÇÕES 062020'!A:C,3,FALSE))</f>
        <v>UND</v>
      </c>
      <c r="F234" s="78">
        <v>8</v>
      </c>
      <c r="G234" s="79">
        <f>IF(B234="MP-MT",VLOOKUP(CONCATENATE("TOTAL DO ÍTEM - ",C234),'COMPOSIÇÃO DE PREÇO UNITÁRIO'!A:H,8,FALSE),VLOOKUP(C234,'SINAPI_COMPOSIÇÕES 062020'!A:D,4,FALSE))</f>
        <v>2.86</v>
      </c>
      <c r="H234" s="79">
        <f t="shared" si="47"/>
        <v>3.7</v>
      </c>
      <c r="I234" s="79">
        <f t="shared" si="48"/>
        <v>29.6</v>
      </c>
    </row>
    <row r="235" spans="1:9" outlineLevel="2" x14ac:dyDescent="0.2">
      <c r="A235" s="45" t="s">
        <v>13449</v>
      </c>
      <c r="B235" s="45" t="s">
        <v>194</v>
      </c>
      <c r="C235" s="45" t="s">
        <v>12903</v>
      </c>
      <c r="D235" s="44" t="str">
        <f>IF(B235="MP-MT",VLOOKUP(C235,'COMPOSIÇÃO DE PREÇO UNITÁRIO'!A:B,2,FALSE),VLOOKUP(C235,'SINAPI_COMPOSIÇÕES 062020'!A:B,2,FALSE))</f>
        <v>KIT VENTILAÇÃO PARA RACK, COM 4 VENTILADORES - INSTALAÇÃO</v>
      </c>
      <c r="E235" s="45" t="str">
        <f>IF(B235="MP-MT",VLOOKUP(C235,'COMPOSIÇÃO DE PREÇO UNITÁRIO'!A:H,8,FALSE),VLOOKUP(C235,'SINAPI_COMPOSIÇÕES 062020'!A:C,3,FALSE))</f>
        <v>UND</v>
      </c>
      <c r="F235" s="78">
        <v>2</v>
      </c>
      <c r="G235" s="79">
        <f>IF(B235="MP-MT",VLOOKUP(CONCATENATE("TOTAL DO ÍTEM - ",C235),'COMPOSIÇÃO DE PREÇO UNITÁRIO'!A:H,8,FALSE),VLOOKUP(C235,'SINAPI_COMPOSIÇÕES 062020'!A:D,4,FALSE))</f>
        <v>2.86</v>
      </c>
      <c r="H235" s="79">
        <f t="shared" si="47"/>
        <v>3.7</v>
      </c>
      <c r="I235" s="79">
        <f t="shared" si="48"/>
        <v>7.4</v>
      </c>
    </row>
    <row r="236" spans="1:9" outlineLevel="2" x14ac:dyDescent="0.2">
      <c r="A236" s="45" t="s">
        <v>13450</v>
      </c>
      <c r="B236" s="45" t="s">
        <v>194</v>
      </c>
      <c r="C236" s="45" t="s">
        <v>12908</v>
      </c>
      <c r="D236" s="44" t="str">
        <f>IF(B236="MP-MT",VLOOKUP(C236,'COMPOSIÇÃO DE PREÇO UNITÁRIO'!A:B,2,FALSE),VLOOKUP(C236,'SINAPI_COMPOSIÇÕES 062020'!A:B,2,FALSE))</f>
        <v>REGUA PARA RACK 8 TOMADAS-INSTALAÇÃO</v>
      </c>
      <c r="E236" s="45" t="str">
        <f>IF(B236="MP-MT",VLOOKUP(C236,'COMPOSIÇÃO DE PREÇO UNITÁRIO'!A:H,8,FALSE),VLOOKUP(C236,'SINAPI_COMPOSIÇÕES 062020'!A:C,3,FALSE))</f>
        <v>UND</v>
      </c>
      <c r="F236" s="78">
        <v>4</v>
      </c>
      <c r="G236" s="79">
        <f>IF(B236="MP-MT",VLOOKUP(CONCATENATE("TOTAL DO ÍTEM - ",C236),'COMPOSIÇÃO DE PREÇO UNITÁRIO'!A:H,8,FALSE),VLOOKUP(C236,'SINAPI_COMPOSIÇÕES 062020'!A:D,4,FALSE))</f>
        <v>16.350000000000001</v>
      </c>
      <c r="H236" s="79">
        <f t="shared" si="47"/>
        <v>21.15</v>
      </c>
      <c r="I236" s="79">
        <f t="shared" si="48"/>
        <v>84.6</v>
      </c>
    </row>
    <row r="237" spans="1:9" outlineLevel="1" x14ac:dyDescent="0.2">
      <c r="A237" s="76"/>
      <c r="B237" s="76"/>
      <c r="C237" s="76"/>
      <c r="D237" s="91" t="str">
        <f>CONCATENATE("TOTAL DO ITEM - ",A127)</f>
        <v>TOTAL DO ITEM - 10.0</v>
      </c>
      <c r="E237" s="76"/>
      <c r="F237" s="92"/>
      <c r="G237" s="93"/>
      <c r="H237" s="93"/>
      <c r="I237" s="93">
        <f>SUM(I128:I236)</f>
        <v>204612.2699999999</v>
      </c>
    </row>
    <row r="238" spans="1:9" outlineLevel="1" x14ac:dyDescent="0.2">
      <c r="A238" s="232" t="s">
        <v>34</v>
      </c>
      <c r="B238" s="232"/>
      <c r="C238" s="232"/>
      <c r="D238" s="88" t="s">
        <v>12512</v>
      </c>
      <c r="E238" s="232"/>
      <c r="F238" s="89"/>
      <c r="G238" s="90"/>
      <c r="H238" s="90"/>
      <c r="I238" s="90"/>
    </row>
    <row r="239" spans="1:9" ht="25.5" outlineLevel="2" x14ac:dyDescent="0.2">
      <c r="A239" s="45" t="s">
        <v>13233</v>
      </c>
      <c r="B239" s="45" t="s">
        <v>194</v>
      </c>
      <c r="C239" s="45" t="s">
        <v>12762</v>
      </c>
      <c r="D239" s="44" t="str">
        <f>IF(B239="MP-MT",VLOOKUP(C239,'COMPOSIÇÃO DE PREÇO UNITÁRIO'!A:B,2,FALSE),VLOOKUP(C239,'SINAPI_COMPOSIÇÕES 062020'!A:B,2,FALSE))</f>
        <v>RACK 44U, 19", NA COR PRETO, COM VISOR FRONTAL E LATERAIS REMOVÍVEIS - FORNECIMENTO</v>
      </c>
      <c r="E239" s="45" t="str">
        <f>IF(B239="MP-MT",VLOOKUP(C239,'COMPOSIÇÃO DE PREÇO UNITÁRIO'!A:H,8,FALSE),VLOOKUP(C239,'SINAPI_COMPOSIÇÕES 062020'!A:C,3,FALSE))</f>
        <v>UND</v>
      </c>
      <c r="F239" s="78">
        <v>2</v>
      </c>
      <c r="G239" s="79">
        <f>IF(B239="MP-MT",VLOOKUP(CONCATENATE("TOTAL DO ÍTEM - ",C239),'COMPOSIÇÃO DE PREÇO UNITÁRIO'!A:H,8,FALSE),VLOOKUP(C239,'SINAPI_COMPOSIÇÕES 062020'!A:D,4,FALSE))</f>
        <v>2161.67</v>
      </c>
      <c r="H239" s="79">
        <f>TRUNC(G239*(1+$F$2),2)</f>
        <v>2514.52</v>
      </c>
      <c r="I239" s="79">
        <f t="shared" ref="I239:I250" si="49">TRUNC(H239*F239,2)</f>
        <v>5029.04</v>
      </c>
    </row>
    <row r="240" spans="1:9" outlineLevel="2" x14ac:dyDescent="0.2">
      <c r="A240" s="45" t="s">
        <v>13451</v>
      </c>
      <c r="B240" s="45" t="s">
        <v>194</v>
      </c>
      <c r="C240" s="45" t="s">
        <v>12776</v>
      </c>
      <c r="D240" s="44" t="str">
        <f>IF(B240="MP-MT",VLOOKUP(C240,'COMPOSIÇÃO DE PREÇO UNITÁRIO'!A:B,2,FALSE),VLOOKUP(C240,'SINAPI_COMPOSIÇÕES 062020'!A:B,2,FALSE))</f>
        <v>SWITCH 24 PORTAS POE, 4P SFP - FORNECIMENTO</v>
      </c>
      <c r="E240" s="45" t="str">
        <f>IF(B240="MP-MT",VLOOKUP(C240,'COMPOSIÇÃO DE PREÇO UNITÁRIO'!A:H,8,FALSE),VLOOKUP(C240,'SINAPI_COMPOSIÇÕES 062020'!A:C,3,FALSE))</f>
        <v>UND</v>
      </c>
      <c r="F240" s="78">
        <v>2</v>
      </c>
      <c r="G240" s="79">
        <f>IF(B240="MP-MT",VLOOKUP(CONCATENATE("TOTAL DO ÍTEM - ",C240),'COMPOSIÇÃO DE PREÇO UNITÁRIO'!A:H,8,FALSE),VLOOKUP(C240,'SINAPI_COMPOSIÇÕES 062020'!A:D,4,FALSE))</f>
        <v>3553.12</v>
      </c>
      <c r="H240" s="79">
        <f t="shared" ref="H240:H252" si="50">TRUNC(G240*(1+$F$2),2)</f>
        <v>4133.1099999999997</v>
      </c>
      <c r="I240" s="79">
        <f t="shared" si="49"/>
        <v>8266.2199999999993</v>
      </c>
    </row>
    <row r="241" spans="1:9" ht="25.5" outlineLevel="2" x14ac:dyDescent="0.2">
      <c r="A241" s="45" t="s">
        <v>13452</v>
      </c>
      <c r="B241" s="45" t="s">
        <v>194</v>
      </c>
      <c r="C241" s="45" t="s">
        <v>12781</v>
      </c>
      <c r="D241" s="44" t="str">
        <f>IF(B241="MP-MT",VLOOKUP(C241,'COMPOSIÇÃO DE PREÇO UNITÁRIO'!A:B,2,FALSE),VLOOKUP(C241,'SINAPI_COMPOSIÇÕES 062020'!A:B,2,FALSE))</f>
        <v>SWITCH GERENCIÁVEL 48 PORTAS GIGABIT ETHERNET, 4 PORTAS MINI-GBIC SFP - FORNECIMENTO</v>
      </c>
      <c r="E241" s="45" t="str">
        <f>IF(B241="MP-MT",VLOOKUP(C241,'COMPOSIÇÃO DE PREÇO UNITÁRIO'!A:H,8,FALSE),VLOOKUP(C241,'SINAPI_COMPOSIÇÕES 062020'!A:C,3,FALSE))</f>
        <v>UND</v>
      </c>
      <c r="F241" s="78">
        <v>3</v>
      </c>
      <c r="G241" s="79">
        <f>IF(B241="MP-MT",VLOOKUP(CONCATENATE("TOTAL DO ÍTEM - ",C241),'COMPOSIÇÃO DE PREÇO UNITÁRIO'!A:H,8,FALSE),VLOOKUP(C241,'SINAPI_COMPOSIÇÕES 062020'!A:D,4,FALSE))</f>
        <v>3755.7</v>
      </c>
      <c r="H241" s="79">
        <f t="shared" si="50"/>
        <v>4368.76</v>
      </c>
      <c r="I241" s="79">
        <f t="shared" si="49"/>
        <v>13106.28</v>
      </c>
    </row>
    <row r="242" spans="1:9" outlineLevel="2" x14ac:dyDescent="0.2">
      <c r="A242" s="45" t="s">
        <v>13453</v>
      </c>
      <c r="B242" s="45" t="s">
        <v>194</v>
      </c>
      <c r="C242" s="45" t="s">
        <v>12788</v>
      </c>
      <c r="D242" s="44" t="str">
        <f>IF(B242="MP-MT",VLOOKUP(C242,'COMPOSIÇÃO DE PREÇO UNITÁRIO'!A:B,2,FALSE),VLOOKUP(C242,'SINAPI_COMPOSIÇÕES 062020'!A:B,2,FALSE))</f>
        <v>TRANSCEIVER (GBIC) 1000BASE-SX PARA SWITCHES - FORNECIMENTO</v>
      </c>
      <c r="E242" s="45" t="str">
        <f>IF(B242="MP-MT",VLOOKUP(C242,'COMPOSIÇÃO DE PREÇO UNITÁRIO'!A:H,8,FALSE),VLOOKUP(C242,'SINAPI_COMPOSIÇÕES 062020'!A:C,3,FALSE))</f>
        <v>UND</v>
      </c>
      <c r="F242" s="78">
        <v>4</v>
      </c>
      <c r="G242" s="79">
        <f>IF(B242="MP-MT",VLOOKUP(CONCATENATE("TOTAL DO ÍTEM - ",C242),'COMPOSIÇÃO DE PREÇO UNITÁRIO'!A:H,8,FALSE),VLOOKUP(C242,'SINAPI_COMPOSIÇÕES 062020'!A:D,4,FALSE))</f>
        <v>422.43</v>
      </c>
      <c r="H242" s="79">
        <f t="shared" si="50"/>
        <v>491.38</v>
      </c>
      <c r="I242" s="79">
        <f t="shared" si="49"/>
        <v>1965.52</v>
      </c>
    </row>
    <row r="243" spans="1:9" outlineLevel="2" x14ac:dyDescent="0.2">
      <c r="A243" s="45" t="s">
        <v>13454</v>
      </c>
      <c r="B243" s="45" t="s">
        <v>194</v>
      </c>
      <c r="C243" s="45" t="s">
        <v>12800</v>
      </c>
      <c r="D243" s="44" t="str">
        <f>IF(B243="MP-MT",VLOOKUP(C243,'COMPOSIÇÃO DE PREÇO UNITÁRIO'!A:B,2,FALSE),VLOOKUP(C243,'SINAPI_COMPOSIÇÕES 062020'!A:B,2,FALSE))</f>
        <v>PATCH PANEL 24 PORTAS, CATEGORIA 6 - FORNECIMENTO</v>
      </c>
      <c r="E243" s="45" t="str">
        <f>IF(B243="MP-MT",VLOOKUP(C243,'COMPOSIÇÃO DE PREÇO UNITÁRIO'!A:H,8,FALSE),VLOOKUP(C243,'SINAPI_COMPOSIÇÕES 062020'!A:C,3,FALSE))</f>
        <v>UND</v>
      </c>
      <c r="F243" s="78">
        <v>10</v>
      </c>
      <c r="G243" s="79">
        <f>IF(B243="MP-MT",VLOOKUP(CONCATENATE("TOTAL DO ÍTEM - ",C243),'COMPOSIÇÃO DE PREÇO UNITÁRIO'!A:H,8,FALSE),VLOOKUP(C243,'SINAPI_COMPOSIÇÕES 062020'!A:D,4,FALSE))</f>
        <v>270.16000000000003</v>
      </c>
      <c r="H243" s="79">
        <f t="shared" si="50"/>
        <v>314.25</v>
      </c>
      <c r="I243" s="79">
        <f t="shared" si="49"/>
        <v>3142.5</v>
      </c>
    </row>
    <row r="244" spans="1:9" outlineLevel="2" x14ac:dyDescent="0.2">
      <c r="A244" s="45" t="s">
        <v>13455</v>
      </c>
      <c r="B244" s="45" t="s">
        <v>194</v>
      </c>
      <c r="C244" s="45" t="s">
        <v>12806</v>
      </c>
      <c r="D244" s="44" t="str">
        <f>IF(B244="MP-MT",VLOOKUP(C244,'COMPOSIÇÃO DE PREÇO UNITÁRIO'!A:B,2,FALSE),VLOOKUP(C244,'SINAPI_COMPOSIÇÕES 062020'!A:B,2,FALSE))</f>
        <v>DISTRIBUIDOR ÓPTICO (D.I.O) COMPLETO, 19", ATÉ 12FO - FORNECIMENTO</v>
      </c>
      <c r="E244" s="45" t="str">
        <f>IF(B244="MP-MT",VLOOKUP(C244,'COMPOSIÇÃO DE PREÇO UNITÁRIO'!A:H,8,FALSE),VLOOKUP(C244,'SINAPI_COMPOSIÇÕES 062020'!A:C,3,FALSE))</f>
        <v>UND</v>
      </c>
      <c r="F244" s="78">
        <v>2</v>
      </c>
      <c r="G244" s="79">
        <f>IF(B244="MP-MT",VLOOKUP(CONCATENATE("TOTAL DO ÍTEM - ",C244),'COMPOSIÇÃO DE PREÇO UNITÁRIO'!A:H,8,FALSE),VLOOKUP(C244,'SINAPI_COMPOSIÇÕES 062020'!A:D,4,FALSE))</f>
        <v>485.91</v>
      </c>
      <c r="H244" s="79">
        <f t="shared" si="50"/>
        <v>565.22</v>
      </c>
      <c r="I244" s="79">
        <f t="shared" si="49"/>
        <v>1130.44</v>
      </c>
    </row>
    <row r="245" spans="1:9" ht="25.5" outlineLevel="2" x14ac:dyDescent="0.2">
      <c r="A245" s="45" t="s">
        <v>13456</v>
      </c>
      <c r="B245" s="45" t="s">
        <v>194</v>
      </c>
      <c r="C245" s="45" t="s">
        <v>12875</v>
      </c>
      <c r="D245" s="44" t="str">
        <f>IF(B245="MP-MT",VLOOKUP(C245,'COMPOSIÇÃO DE PREÇO UNITÁRIO'!A:B,2,FALSE),VLOOKUP(C245,'SINAPI_COMPOSIÇÕES 062020'!A:B,2,FALSE))</f>
        <v>BANDEJA FIXA PARA RACK 19", 600 X 480 X 45, CAPACIDADE DE CARGA DE ATÉ 50KG - FORNCECIMENTO</v>
      </c>
      <c r="E245" s="45" t="str">
        <f>IF(B245="MP-MT",VLOOKUP(C245,'COMPOSIÇÃO DE PREÇO UNITÁRIO'!A:H,8,FALSE),VLOOKUP(C245,'SINAPI_COMPOSIÇÕES 062020'!A:C,3,FALSE))</f>
        <v>UND</v>
      </c>
      <c r="F245" s="78">
        <v>4</v>
      </c>
      <c r="G245" s="79">
        <f>IF(B245="MP-MT",VLOOKUP(CONCATENATE("TOTAL DO ÍTEM - ",C245),'COMPOSIÇÃO DE PREÇO UNITÁRIO'!A:H,8,FALSE),VLOOKUP(C245,'SINAPI_COMPOSIÇÕES 062020'!A:D,4,FALSE))</f>
        <v>95.3</v>
      </c>
      <c r="H245" s="79">
        <f t="shared" si="50"/>
        <v>110.85</v>
      </c>
      <c r="I245" s="79">
        <f t="shared" si="49"/>
        <v>443.4</v>
      </c>
    </row>
    <row r="246" spans="1:9" outlineLevel="2" x14ac:dyDescent="0.2">
      <c r="A246" s="45" t="s">
        <v>13457</v>
      </c>
      <c r="B246" s="45" t="s">
        <v>194</v>
      </c>
      <c r="C246" s="45" t="s">
        <v>12887</v>
      </c>
      <c r="D246" s="44" t="str">
        <f>IF(B246="MP-MT",VLOOKUP(C246,'COMPOSIÇÃO DE PREÇO UNITÁRIO'!A:B,2,FALSE),VLOOKUP(C246,'SINAPI_COMPOSIÇÕES 062020'!A:B,2,FALSE))</f>
        <v>PAINEL/TAMPA CEGA PARA RACK 19", 1U - FORNECIMENTO</v>
      </c>
      <c r="E246" s="45" t="str">
        <f>IF(B246="MP-MT",VLOOKUP(C246,'COMPOSIÇÃO DE PREÇO UNITÁRIO'!A:H,8,FALSE),VLOOKUP(C246,'SINAPI_COMPOSIÇÕES 062020'!A:C,3,FALSE))</f>
        <v>UND</v>
      </c>
      <c r="F246" s="78">
        <v>4</v>
      </c>
      <c r="G246" s="79">
        <f>IF(B246="MP-MT",VLOOKUP(CONCATENATE("TOTAL DO ÍTEM - ",C246),'COMPOSIÇÃO DE PREÇO UNITÁRIO'!A:H,8,FALSE),VLOOKUP(C246,'SINAPI_COMPOSIÇÕES 062020'!A:D,4,FALSE))</f>
        <v>8.3699999999999992</v>
      </c>
      <c r="H246" s="79">
        <f t="shared" si="50"/>
        <v>9.73</v>
      </c>
      <c r="I246" s="79">
        <f t="shared" si="49"/>
        <v>38.92</v>
      </c>
    </row>
    <row r="247" spans="1:9" outlineLevel="2" x14ac:dyDescent="0.2">
      <c r="A247" s="45" t="s">
        <v>13458</v>
      </c>
      <c r="B247" s="45" t="s">
        <v>194</v>
      </c>
      <c r="C247" s="45" t="s">
        <v>12890</v>
      </c>
      <c r="D247" s="44" t="str">
        <f>IF(B247="MP-MT",VLOOKUP(C247,'COMPOSIÇÃO DE PREÇO UNITÁRIO'!A:B,2,FALSE),VLOOKUP(C247,'SINAPI_COMPOSIÇÕES 062020'!A:B,2,FALSE))</f>
        <v>PAINEL/TAMPA CEGA PARA RACK 19", 2U - FORNECIMENTO</v>
      </c>
      <c r="E247" s="45" t="str">
        <f>IF(B247="MP-MT",VLOOKUP(C247,'COMPOSIÇÃO DE PREÇO UNITÁRIO'!A:H,8,FALSE),VLOOKUP(C247,'SINAPI_COMPOSIÇÕES 062020'!A:C,3,FALSE))</f>
        <v>UND</v>
      </c>
      <c r="F247" s="78">
        <v>10</v>
      </c>
      <c r="G247" s="79">
        <f>IF(B247="MP-MT",VLOOKUP(CONCATENATE("TOTAL DO ÍTEM - ",C247),'COMPOSIÇÃO DE PREÇO UNITÁRIO'!A:H,8,FALSE),VLOOKUP(C247,'SINAPI_COMPOSIÇÕES 062020'!A:D,4,FALSE))</f>
        <v>12.84</v>
      </c>
      <c r="H247" s="79">
        <f t="shared" si="50"/>
        <v>14.93</v>
      </c>
      <c r="I247" s="79">
        <f t="shared" si="49"/>
        <v>149.30000000000001</v>
      </c>
    </row>
    <row r="248" spans="1:9" outlineLevel="2" x14ac:dyDescent="0.2">
      <c r="A248" s="45" t="s">
        <v>13459</v>
      </c>
      <c r="B248" s="45" t="s">
        <v>194</v>
      </c>
      <c r="C248" s="45" t="s">
        <v>12897</v>
      </c>
      <c r="D248" s="44" t="str">
        <f>IF(B248="MP-MT",VLOOKUP(C248,'COMPOSIÇÃO DE PREÇO UNITÁRIO'!A:B,2,FALSE),VLOOKUP(C248,'SINAPI_COMPOSIÇÕES 062020'!A:B,2,FALSE))</f>
        <v>GUIA DE CABOS PARA RACK 19", 1U - FORNECIMENTO</v>
      </c>
      <c r="E248" s="45" t="str">
        <f>IF(B248="MP-MT",VLOOKUP(C248,'COMPOSIÇÃO DE PREÇO UNITÁRIO'!A:H,8,FALSE),VLOOKUP(C248,'SINAPI_COMPOSIÇÕES 062020'!A:C,3,FALSE))</f>
        <v>UND</v>
      </c>
      <c r="F248" s="78">
        <v>18</v>
      </c>
      <c r="G248" s="79">
        <f>IF(B248="MP-MT",VLOOKUP(CONCATENATE("TOTAL DO ÍTEM - ",C248),'COMPOSIÇÃO DE PREÇO UNITÁRIO'!A:H,8,FALSE),VLOOKUP(C248,'SINAPI_COMPOSIÇÕES 062020'!A:D,4,FALSE))</f>
        <v>17.96</v>
      </c>
      <c r="H248" s="79">
        <f t="shared" si="50"/>
        <v>20.89</v>
      </c>
      <c r="I248" s="79">
        <f t="shared" si="49"/>
        <v>376.02</v>
      </c>
    </row>
    <row r="249" spans="1:9" outlineLevel="2" x14ac:dyDescent="0.2">
      <c r="A249" s="45" t="s">
        <v>13460</v>
      </c>
      <c r="B249" s="45" t="s">
        <v>194</v>
      </c>
      <c r="C249" s="45" t="s">
        <v>12900</v>
      </c>
      <c r="D249" s="44" t="str">
        <f>IF(B249="MP-MT",VLOOKUP(C249,'COMPOSIÇÃO DE PREÇO UNITÁRIO'!A:B,2,FALSE),VLOOKUP(C249,'SINAPI_COMPOSIÇÕES 062020'!A:B,2,FALSE))</f>
        <v>GUIA DE CABOS PARA RACK 19", 2U - FORNECIMENTO</v>
      </c>
      <c r="E249" s="45" t="str">
        <f>IF(B249="MP-MT",VLOOKUP(C249,'COMPOSIÇÃO DE PREÇO UNITÁRIO'!A:H,8,FALSE),VLOOKUP(C249,'SINAPI_COMPOSIÇÕES 062020'!A:C,3,FALSE))</f>
        <v>UND</v>
      </c>
      <c r="F249" s="78">
        <v>5</v>
      </c>
      <c r="G249" s="79">
        <f>IF(B249="MP-MT",VLOOKUP(CONCATENATE("TOTAL DO ÍTEM - ",C249),'COMPOSIÇÃO DE PREÇO UNITÁRIO'!A:H,8,FALSE),VLOOKUP(C249,'SINAPI_COMPOSIÇÕES 062020'!A:D,4,FALSE))</f>
        <v>32</v>
      </c>
      <c r="H249" s="79">
        <f t="shared" si="50"/>
        <v>37.22</v>
      </c>
      <c r="I249" s="79">
        <f t="shared" si="49"/>
        <v>186.1</v>
      </c>
    </row>
    <row r="250" spans="1:9" outlineLevel="2" x14ac:dyDescent="0.2">
      <c r="A250" s="45" t="s">
        <v>13461</v>
      </c>
      <c r="B250" s="45" t="s">
        <v>194</v>
      </c>
      <c r="C250" s="45" t="s">
        <v>12905</v>
      </c>
      <c r="D250" s="44" t="str">
        <f>IF(B250="MP-MT",VLOOKUP(C250,'COMPOSIÇÃO DE PREÇO UNITÁRIO'!A:B,2,FALSE),VLOOKUP(C250,'SINAPI_COMPOSIÇÕES 062020'!A:B,2,FALSE))</f>
        <v>KIT VENTILAÇÃO PARA RACK, COM 4 VENTILADORES - FORNECIMENTO</v>
      </c>
      <c r="E250" s="45" t="str">
        <f>IF(B250="MP-MT",VLOOKUP(C250,'COMPOSIÇÃO DE PREÇO UNITÁRIO'!A:H,8,FALSE),VLOOKUP(C250,'SINAPI_COMPOSIÇÕES 062020'!A:C,3,FALSE))</f>
        <v>UND</v>
      </c>
      <c r="F250" s="78">
        <v>2</v>
      </c>
      <c r="G250" s="79">
        <f>IF(B250="MP-MT",VLOOKUP(CONCATENATE("TOTAL DO ÍTEM - ",C250),'COMPOSIÇÃO DE PREÇO UNITÁRIO'!A:H,8,FALSE),VLOOKUP(C250,'SINAPI_COMPOSIÇÕES 062020'!A:D,4,FALSE))</f>
        <v>349</v>
      </c>
      <c r="H250" s="79">
        <f t="shared" si="50"/>
        <v>405.96</v>
      </c>
      <c r="I250" s="79">
        <f t="shared" si="49"/>
        <v>811.92</v>
      </c>
    </row>
    <row r="251" spans="1:9" outlineLevel="2" x14ac:dyDescent="0.2">
      <c r="A251" s="45" t="s">
        <v>13462</v>
      </c>
      <c r="B251" s="45" t="s">
        <v>194</v>
      </c>
      <c r="C251" s="45" t="s">
        <v>12912</v>
      </c>
      <c r="D251" s="44" t="str">
        <f>IF(B251="MP-MT",VLOOKUP(C251,'COMPOSIÇÃO DE PREÇO UNITÁRIO'!A:B,2,FALSE),VLOOKUP(C251,'SINAPI_COMPOSIÇÕES 062020'!A:B,2,FALSE))</f>
        <v>REGUA PARA RACK 8 TOMADAS - FORNECIMENTO</v>
      </c>
      <c r="E251" s="45" t="str">
        <f>IF(B251="MP-MT",VLOOKUP(C251,'COMPOSIÇÃO DE PREÇO UNITÁRIO'!A:H,8,FALSE),VLOOKUP(C251,'SINAPI_COMPOSIÇÕES 062020'!A:C,3,FALSE))</f>
        <v>UND</v>
      </c>
      <c r="F251" s="78">
        <v>4</v>
      </c>
      <c r="G251" s="79">
        <f>IF(B251="MP-MT",VLOOKUP(CONCATENATE("TOTAL DO ÍTEM - ",C251),'COMPOSIÇÃO DE PREÇO UNITÁRIO'!A:H,8,FALSE),VLOOKUP(C251,'SINAPI_COMPOSIÇÕES 062020'!A:D,4,FALSE))</f>
        <v>59.77</v>
      </c>
      <c r="H251" s="79">
        <f t="shared" si="50"/>
        <v>69.52</v>
      </c>
      <c r="I251" s="79">
        <f t="shared" ref="I251:I252" si="51">TRUNC(H251*F251,2)</f>
        <v>278.08</v>
      </c>
    </row>
    <row r="252" spans="1:9" ht="38.25" outlineLevel="2" x14ac:dyDescent="0.2">
      <c r="A252" s="45" t="s">
        <v>13463</v>
      </c>
      <c r="B252" s="45" t="s">
        <v>194</v>
      </c>
      <c r="C252" s="45" t="s">
        <v>12927</v>
      </c>
      <c r="D252" s="44" t="str">
        <f>IF(B252="MP-MT",VLOOKUP(C252,'COMPOSIÇÃO DE PREÇO UNITÁRIO'!A:B,2,FALSE),VLOOKUP(C252,'SINAPI_COMPOSIÇÕES 062020'!A:B,2,FALSE))</f>
        <v>CENTRAL PABX HÍBRIDA, COM PLACAS DE INTERFACE 1E1 R2/RDSI, RAMAL MISTO E RAMAIS ANALÓGICOS, REF. INTELBRAS IMPACTA 140 OU EQUIVALENTE - FORNECIMENTO</v>
      </c>
      <c r="E252" s="45" t="str">
        <f>IF(B252="MP-MT",VLOOKUP(C252,'COMPOSIÇÃO DE PREÇO UNITÁRIO'!A:H,8,FALSE),VLOOKUP(C252,'SINAPI_COMPOSIÇÕES 062020'!A:C,3,FALSE))</f>
        <v>UND</v>
      </c>
      <c r="F252" s="78">
        <v>1</v>
      </c>
      <c r="G252" s="79">
        <f>IF(B252="MP-MT",VLOOKUP(CONCATENATE("TOTAL DO ÍTEM - ",C252),'COMPOSIÇÃO DE PREÇO UNITÁRIO'!A:H,8,FALSE),VLOOKUP(C252,'SINAPI_COMPOSIÇÕES 062020'!A:D,4,FALSE))</f>
        <v>13039.59</v>
      </c>
      <c r="H252" s="79">
        <f t="shared" si="50"/>
        <v>15168.1</v>
      </c>
      <c r="I252" s="79">
        <f t="shared" si="51"/>
        <v>15168.1</v>
      </c>
    </row>
    <row r="253" spans="1:9" outlineLevel="1" x14ac:dyDescent="0.2">
      <c r="A253" s="76"/>
      <c r="B253" s="76"/>
      <c r="C253" s="76"/>
      <c r="D253" s="91" t="str">
        <f>CONCATENATE("TOTAL DO ITEM - ",A238)</f>
        <v>TOTAL DO ITEM - 11.0</v>
      </c>
      <c r="E253" s="76"/>
      <c r="F253" s="92"/>
      <c r="G253" s="93"/>
      <c r="H253" s="93"/>
      <c r="I253" s="93">
        <f>SUM(I239:I252)</f>
        <v>50091.839999999997</v>
      </c>
    </row>
    <row r="254" spans="1:9" outlineLevel="1" x14ac:dyDescent="0.2">
      <c r="A254" s="238" t="s">
        <v>35</v>
      </c>
      <c r="B254" s="238"/>
      <c r="C254" s="238"/>
      <c r="D254" s="88" t="s">
        <v>12976</v>
      </c>
      <c r="E254" s="238"/>
      <c r="F254" s="89"/>
      <c r="G254" s="90"/>
      <c r="H254" s="90"/>
      <c r="I254" s="90"/>
    </row>
    <row r="255" spans="1:9" ht="25.5" outlineLevel="2" x14ac:dyDescent="0.2">
      <c r="A255" s="45" t="s">
        <v>13464</v>
      </c>
      <c r="B255" s="45" t="s">
        <v>9</v>
      </c>
      <c r="C255" s="45">
        <v>90456</v>
      </c>
      <c r="D255" s="44" t="str">
        <f>IF(B255="MP-MT",VLOOKUP(C255,'COMPOSIÇÃO DE PREÇO UNITÁRIO'!A:B,2,FALSE),VLOOKUP(C255,'SINAPI_COMPOSIÇÕES 062020'!A:B,2,FALSE))</f>
        <v>QUEBRA EM ALVENARIA PARA INSTALAÇÃO DE CAIXA DE TOMADA (4X4 OU 4X2). AF_05/2015</v>
      </c>
      <c r="E255" s="45" t="str">
        <f>IF(B255="MP-MT",VLOOKUP(C255,'COMPOSIÇÃO DE PREÇO UNITÁRIO'!A:H,8,FALSE),VLOOKUP(C255,'SINAPI_COMPOSIÇÕES 062020'!A:C,3,FALSE))</f>
        <v>UN</v>
      </c>
      <c r="F255" s="78">
        <f>13+26+13+8+8+3+8+1</f>
        <v>80</v>
      </c>
      <c r="G255" s="79">
        <f>IF(B255="MP-MT",VLOOKUP(CONCATENATE("TOTAL DO ÍTEM - ",C255),'COMPOSIÇÃO DE PREÇO UNITÁRIO'!A:H,8,FALSE),VLOOKUP(C255,'SINAPI_COMPOSIÇÕES 062020'!A:D,4,FALSE))</f>
        <v>2.87</v>
      </c>
      <c r="H255" s="79">
        <f>TRUNC(G255*(1+$F$1),2)</f>
        <v>3.71</v>
      </c>
      <c r="I255" s="79">
        <f t="shared" ref="I255:I257" si="52">TRUNC(H255*F255,2)</f>
        <v>296.8</v>
      </c>
    </row>
    <row r="256" spans="1:9" ht="25.5" outlineLevel="2" x14ac:dyDescent="0.2">
      <c r="A256" s="45" t="s">
        <v>13465</v>
      </c>
      <c r="B256" s="45" t="s">
        <v>9</v>
      </c>
      <c r="C256" s="45">
        <v>90447</v>
      </c>
      <c r="D256" s="44" t="str">
        <f>IF(B256="MP-MT",VLOOKUP(C256,'COMPOSIÇÃO DE PREÇO UNITÁRIO'!A:B,2,FALSE),VLOOKUP(C256,'SINAPI_COMPOSIÇÕES 062020'!A:B,2,FALSE))</f>
        <v>RASGO EM ALVENARIA PARA ELETRODUTOS COM DIAMETROS MENORES OU IGUAIS A 40 MM. AF_05/2015</v>
      </c>
      <c r="E256" s="45" t="str">
        <f>IF(B256="MP-MT",VLOOKUP(C256,'COMPOSIÇÃO DE PREÇO UNITÁRIO'!A:H,8,FALSE),VLOOKUP(C256,'SINAPI_COMPOSIÇÕES 062020'!A:C,3,FALSE))</f>
        <v>M</v>
      </c>
      <c r="F256" s="78">
        <v>88.83</v>
      </c>
      <c r="G256" s="79">
        <f>IF(B256="MP-MT",VLOOKUP(CONCATENATE("TOTAL DO ÍTEM - ",C256),'COMPOSIÇÃO DE PREÇO UNITÁRIO'!A:H,8,FALSE),VLOOKUP(C256,'SINAPI_COMPOSIÇÕES 062020'!A:D,4,FALSE))</f>
        <v>4.45</v>
      </c>
      <c r="H256" s="79">
        <f t="shared" ref="H256:H277" si="53">TRUNC(G256*(1+$F$1),2)</f>
        <v>5.75</v>
      </c>
      <c r="I256" s="79">
        <f t="shared" si="52"/>
        <v>510.77</v>
      </c>
    </row>
    <row r="257" spans="1:9" ht="38.25" outlineLevel="2" x14ac:dyDescent="0.2">
      <c r="A257" s="45" t="s">
        <v>13466</v>
      </c>
      <c r="B257" s="45" t="s">
        <v>9</v>
      </c>
      <c r="C257" s="45">
        <v>91856</v>
      </c>
      <c r="D257" s="44" t="str">
        <f>IF(B257="MP-MT",VLOOKUP(C257,'COMPOSIÇÃO DE PREÇO UNITÁRIO'!A:B,2,FALSE),VLOOKUP(C257,'SINAPI_COMPOSIÇÕES 062020'!A:B,2,FALSE))</f>
        <v>ELETRODUTO FLEXÍVEL CORRUGADO, PVC, DN 32 MM (1"), PARA CIRCUITOS TERMINAIS, INSTALADO EM PAREDE - FORNECIMENTO E INSTALAÇÃO. AF_12/2015</v>
      </c>
      <c r="E257" s="45" t="str">
        <f>IF(B257="MP-MT",VLOOKUP(C257,'COMPOSIÇÃO DE PREÇO UNITÁRIO'!A:H,8,FALSE),VLOOKUP(C257,'SINAPI_COMPOSIÇÕES 062020'!A:C,3,FALSE))</f>
        <v>M</v>
      </c>
      <c r="F257" s="78">
        <v>52.05</v>
      </c>
      <c r="G257" s="79">
        <f>IF(B257="MP-MT",VLOOKUP(CONCATENATE("TOTAL DO ÍTEM - ",C257),'COMPOSIÇÃO DE PREÇO UNITÁRIO'!A:H,8,FALSE),VLOOKUP(C257,'SINAPI_COMPOSIÇÕES 062020'!A:D,4,FALSE))</f>
        <v>7.81</v>
      </c>
      <c r="H257" s="79">
        <f t="shared" si="53"/>
        <v>10.1</v>
      </c>
      <c r="I257" s="79">
        <f t="shared" si="52"/>
        <v>525.70000000000005</v>
      </c>
    </row>
    <row r="258" spans="1:9" ht="38.25" outlineLevel="2" x14ac:dyDescent="0.2">
      <c r="A258" s="45" t="s">
        <v>13467</v>
      </c>
      <c r="B258" s="45" t="s">
        <v>9</v>
      </c>
      <c r="C258" s="45">
        <v>91864</v>
      </c>
      <c r="D258" s="44" t="str">
        <f>IF(B258="MP-MT",VLOOKUP(C258,'COMPOSIÇÃO DE PREÇO UNITÁRIO'!A:B,2,FALSE),VLOOKUP(C258,'SINAPI_COMPOSIÇÕES 062020'!A:B,2,FALSE))</f>
        <v>ELETRODUTO RÍGIDO ROSCÁVEL, PVC, DN 32 MM (1"), PARA CIRCUITOS TERMINAIS, INSTALADO EM FORRO - FORNECIMENTO E INSTALAÇÃO. AF_12/2015</v>
      </c>
      <c r="E258" s="45" t="str">
        <f>IF(B258="MP-MT",VLOOKUP(C258,'COMPOSIÇÃO DE PREÇO UNITÁRIO'!A:H,8,FALSE),VLOOKUP(C258,'SINAPI_COMPOSIÇÕES 062020'!A:C,3,FALSE))</f>
        <v>M</v>
      </c>
      <c r="F258" s="78">
        <v>88.83</v>
      </c>
      <c r="G258" s="79">
        <f>IF(B258="MP-MT",VLOOKUP(CONCATENATE("TOTAL DO ÍTEM - ",C258),'COMPOSIÇÃO DE PREÇO UNITÁRIO'!A:H,8,FALSE),VLOOKUP(C258,'SINAPI_COMPOSIÇÕES 062020'!A:D,4,FALSE))</f>
        <v>9.91</v>
      </c>
      <c r="H258" s="79">
        <f t="shared" si="53"/>
        <v>12.82</v>
      </c>
      <c r="I258" s="79">
        <f t="shared" ref="I258:I277" si="54">TRUNC(H258*F258,2)</f>
        <v>1138.8</v>
      </c>
    </row>
    <row r="259" spans="1:9" ht="25.5" outlineLevel="2" x14ac:dyDescent="0.2">
      <c r="A259" s="45" t="s">
        <v>13468</v>
      </c>
      <c r="B259" s="45" t="s">
        <v>194</v>
      </c>
      <c r="C259" s="45" t="s">
        <v>12753</v>
      </c>
      <c r="D259" s="44" t="str">
        <f>IF(B259="MP-MT",VLOOKUP(C259,'COMPOSIÇÃO DE PREÇO UNITÁRIO'!A:B,2,FALSE),VLOOKUP(C259,'SINAPI_COMPOSIÇÕES 062020'!A:B,2,FALSE))</f>
        <v>SAÍDA HORIZONTAL PARA ELETRODUTO, Ø 1" - FORNECIMENTO E INSTALAÇÃO</v>
      </c>
      <c r="E259" s="45" t="str">
        <f>IF(B259="MP-MT",VLOOKUP(C259,'COMPOSIÇÃO DE PREÇO UNITÁRIO'!A:H,8,FALSE),VLOOKUP(C259,'SINAPI_COMPOSIÇÕES 062020'!A:C,3,FALSE))</f>
        <v>UND</v>
      </c>
      <c r="F259" s="78">
        <v>23</v>
      </c>
      <c r="G259" s="79">
        <f>IF(B259="MP-MT",VLOOKUP(CONCATENATE("TOTAL DO ÍTEM - ",C259),'COMPOSIÇÃO DE PREÇO UNITÁRIO'!A:H,8,FALSE),VLOOKUP(C259,'SINAPI_COMPOSIÇÕES 062020'!A:D,4,FALSE))</f>
        <v>6.61</v>
      </c>
      <c r="H259" s="79">
        <f t="shared" si="53"/>
        <v>8.5500000000000007</v>
      </c>
      <c r="I259" s="79">
        <f t="shared" si="54"/>
        <v>196.65</v>
      </c>
    </row>
    <row r="260" spans="1:9" ht="38.25" outlineLevel="2" x14ac:dyDescent="0.2">
      <c r="A260" s="45" t="s">
        <v>13469</v>
      </c>
      <c r="B260" s="45" t="s">
        <v>9</v>
      </c>
      <c r="C260" s="45">
        <v>91893</v>
      </c>
      <c r="D260" s="44" t="str">
        <f>IF(B260="MP-MT",VLOOKUP(C260,'COMPOSIÇÃO DE PREÇO UNITÁRIO'!A:B,2,FALSE),VLOOKUP(C260,'SINAPI_COMPOSIÇÕES 062020'!A:B,2,FALSE))</f>
        <v>CURVA 90 GRAUS PARA ELETRODUTO, PVC, ROSCÁVEL, DN 32 MM (1"), PARA CIRCUITOS TERMINAIS, INSTALADA EM FORRO - FORNECIMENTO E INSTALAÇÃO. AF_12/2015</v>
      </c>
      <c r="E260" s="45" t="str">
        <f>IF(B260="MP-MT",VLOOKUP(C260,'COMPOSIÇÃO DE PREÇO UNITÁRIO'!A:H,8,FALSE),VLOOKUP(C260,'SINAPI_COMPOSIÇÕES 062020'!A:C,3,FALSE))</f>
        <v>UN</v>
      </c>
      <c r="F260" s="78">
        <v>51</v>
      </c>
      <c r="G260" s="79">
        <f>IF(B260="MP-MT",VLOOKUP(CONCATENATE("TOTAL DO ÍTEM - ",C260),'COMPOSIÇÃO DE PREÇO UNITÁRIO'!A:H,8,FALSE),VLOOKUP(C260,'SINAPI_COMPOSIÇÕES 062020'!A:D,4,FALSE))</f>
        <v>9.73</v>
      </c>
      <c r="H260" s="79">
        <f t="shared" si="53"/>
        <v>12.58</v>
      </c>
      <c r="I260" s="79">
        <f t="shared" si="54"/>
        <v>641.58000000000004</v>
      </c>
    </row>
    <row r="261" spans="1:9" ht="38.25" outlineLevel="2" x14ac:dyDescent="0.2">
      <c r="A261" s="45" t="s">
        <v>13470</v>
      </c>
      <c r="B261" s="45" t="s">
        <v>9</v>
      </c>
      <c r="C261" s="45">
        <v>91876</v>
      </c>
      <c r="D261" s="44" t="str">
        <f>IF(B261="MP-MT",VLOOKUP(C261,'COMPOSIÇÃO DE PREÇO UNITÁRIO'!A:B,2,FALSE),VLOOKUP(C261,'SINAPI_COMPOSIÇÕES 062020'!A:B,2,FALSE))</f>
        <v>LUVA PARA ELETRODUTO, PVC, ROSCÁVEL, DN 32 MM (1"), PARA CIRCUITOS TERMINAIS, INSTALADA EM FORRO - FORNECIMENTO E INSTALAÇÃO. AF_12/2015</v>
      </c>
      <c r="E261" s="45" t="str">
        <f>IF(B261="MP-MT",VLOOKUP(C261,'COMPOSIÇÃO DE PREÇO UNITÁRIO'!A:H,8,FALSE),VLOOKUP(C261,'SINAPI_COMPOSIÇÕES 062020'!A:C,3,FALSE))</f>
        <v>UN</v>
      </c>
      <c r="F261" s="78">
        <v>102</v>
      </c>
      <c r="G261" s="79">
        <f>IF(B261="MP-MT",VLOOKUP(CONCATENATE("TOTAL DO ÍTEM - ",C261),'COMPOSIÇÃO DE PREÇO UNITÁRIO'!A:H,8,FALSE),VLOOKUP(C261,'SINAPI_COMPOSIÇÕES 062020'!A:D,4,FALSE))</f>
        <v>5.7</v>
      </c>
      <c r="H261" s="79">
        <f t="shared" si="53"/>
        <v>7.37</v>
      </c>
      <c r="I261" s="79">
        <f t="shared" si="54"/>
        <v>751.74</v>
      </c>
    </row>
    <row r="262" spans="1:9" ht="25.5" outlineLevel="2" x14ac:dyDescent="0.2">
      <c r="A262" s="45" t="s">
        <v>13471</v>
      </c>
      <c r="B262" s="45" t="s">
        <v>9</v>
      </c>
      <c r="C262" s="45">
        <v>91939</v>
      </c>
      <c r="D262" s="44" t="str">
        <f>IF(B262="MP-MT",VLOOKUP(C262,'COMPOSIÇÃO DE PREÇO UNITÁRIO'!A:B,2,FALSE),VLOOKUP(C262,'SINAPI_COMPOSIÇÕES 062020'!A:B,2,FALSE))</f>
        <v>CAIXA RETANGULAR 4" X 2" ALTA (2,00 M DO PISO), PVC, INSTALADA EM PAREDE - FORNECIMENTO E INSTALAÇÃO. AF_12/2015</v>
      </c>
      <c r="E262" s="45" t="str">
        <f>IF(B262="MP-MT",VLOOKUP(C262,'COMPOSIÇÃO DE PREÇO UNITÁRIO'!A:H,8,FALSE),VLOOKUP(C262,'SINAPI_COMPOSIÇÕES 062020'!A:C,3,FALSE))</f>
        <v>UN</v>
      </c>
      <c r="F262" s="78">
        <v>29</v>
      </c>
      <c r="G262" s="79">
        <f>IF(B262="MP-MT",VLOOKUP(CONCATENATE("TOTAL DO ÍTEM - ",C262),'COMPOSIÇÃO DE PREÇO UNITÁRIO'!A:H,8,FALSE),VLOOKUP(C262,'SINAPI_COMPOSIÇÕES 062020'!A:D,4,FALSE))</f>
        <v>18.989999999999998</v>
      </c>
      <c r="H262" s="79">
        <f t="shared" si="53"/>
        <v>24.57</v>
      </c>
      <c r="I262" s="79">
        <f t="shared" si="54"/>
        <v>712.53</v>
      </c>
    </row>
    <row r="263" spans="1:9" ht="25.5" outlineLevel="2" x14ac:dyDescent="0.2">
      <c r="A263" s="45" t="s">
        <v>13472</v>
      </c>
      <c r="B263" s="45" t="s">
        <v>9</v>
      </c>
      <c r="C263" s="45">
        <v>91940</v>
      </c>
      <c r="D263" s="44" t="str">
        <f>IF(B263="MP-MT",VLOOKUP(C263,'COMPOSIÇÃO DE PREÇO UNITÁRIO'!A:B,2,FALSE),VLOOKUP(C263,'SINAPI_COMPOSIÇÕES 062020'!A:B,2,FALSE))</f>
        <v>CAIXA RETANGULAR 4" X 2" MÉDIA (1,30 M DO PISO), PVC, INSTALADA EM PAREDE - FORNECIMENTO E INSTALAÇÃO. AF_12/2015</v>
      </c>
      <c r="E263" s="45" t="str">
        <f>IF(B263="MP-MT",VLOOKUP(C263,'COMPOSIÇÃO DE PREÇO UNITÁRIO'!A:H,8,FALSE),VLOOKUP(C263,'SINAPI_COMPOSIÇÕES 062020'!A:C,3,FALSE))</f>
        <v>UN</v>
      </c>
      <c r="F263" s="78">
        <v>34</v>
      </c>
      <c r="G263" s="79">
        <f>IF(B263="MP-MT",VLOOKUP(CONCATENATE("TOTAL DO ÍTEM - ",C263),'COMPOSIÇÃO DE PREÇO UNITÁRIO'!A:H,8,FALSE),VLOOKUP(C263,'SINAPI_COMPOSIÇÕES 062020'!A:D,4,FALSE))</f>
        <v>10.09</v>
      </c>
      <c r="H263" s="79">
        <f t="shared" si="53"/>
        <v>13.05</v>
      </c>
      <c r="I263" s="79">
        <f t="shared" si="54"/>
        <v>443.7</v>
      </c>
    </row>
    <row r="264" spans="1:9" ht="25.5" outlineLevel="2" x14ac:dyDescent="0.2">
      <c r="A264" s="45" t="s">
        <v>13473</v>
      </c>
      <c r="B264" s="45" t="s">
        <v>9</v>
      </c>
      <c r="C264" s="45">
        <v>91941</v>
      </c>
      <c r="D264" s="44" t="str">
        <f>IF(B264="MP-MT",VLOOKUP(C264,'COMPOSIÇÃO DE PREÇO UNITÁRIO'!A:B,2,FALSE),VLOOKUP(C264,'SINAPI_COMPOSIÇÕES 062020'!A:B,2,FALSE))</f>
        <v>CAIXA RETANGULAR 4" X 2" BAIXA (0,30 M DO PISO), PVC, INSTALADA EM PAREDE - FORNECIMENTO E INSTALAÇÃO. AF_12/2015</v>
      </c>
      <c r="E264" s="45" t="str">
        <f>IF(B264="MP-MT",VLOOKUP(C264,'COMPOSIÇÃO DE PREÇO UNITÁRIO'!A:H,8,FALSE),VLOOKUP(C264,'SINAPI_COMPOSIÇÕES 062020'!A:C,3,FALSE))</f>
        <v>UN</v>
      </c>
      <c r="F264" s="78">
        <v>3</v>
      </c>
      <c r="G264" s="79">
        <f>IF(B264="MP-MT",VLOOKUP(CONCATENATE("TOTAL DO ÍTEM - ",C264),'COMPOSIÇÃO DE PREÇO UNITÁRIO'!A:H,8,FALSE),VLOOKUP(C264,'SINAPI_COMPOSIÇÕES 062020'!A:D,4,FALSE))</f>
        <v>6.76</v>
      </c>
      <c r="H264" s="79">
        <f t="shared" si="53"/>
        <v>8.74</v>
      </c>
      <c r="I264" s="79">
        <f t="shared" si="54"/>
        <v>26.22</v>
      </c>
    </row>
    <row r="265" spans="1:9" ht="25.5" outlineLevel="2" x14ac:dyDescent="0.2">
      <c r="A265" s="45" t="s">
        <v>13474</v>
      </c>
      <c r="B265" s="45" t="s">
        <v>9</v>
      </c>
      <c r="C265" s="45">
        <v>91942</v>
      </c>
      <c r="D265" s="44" t="str">
        <f>IF(B265="MP-MT",VLOOKUP(C265,'COMPOSIÇÃO DE PREÇO UNITÁRIO'!A:B,2,FALSE),VLOOKUP(C265,'SINAPI_COMPOSIÇÕES 062020'!A:B,2,FALSE))</f>
        <v>CAIXA RETANGULAR 4" X 4" ALTA (2,00 M DO PISO), PVC, INSTALADA EM PAREDE - FORNECIMENTO E INSTALAÇÃO. AF_12/2015</v>
      </c>
      <c r="E265" s="45" t="str">
        <f>IF(B265="MP-MT",VLOOKUP(C265,'COMPOSIÇÃO DE PREÇO UNITÁRIO'!A:H,8,FALSE),VLOOKUP(C265,'SINAPI_COMPOSIÇÕES 062020'!A:C,3,FALSE))</f>
        <v>UN</v>
      </c>
      <c r="F265" s="78">
        <v>13</v>
      </c>
      <c r="G265" s="79">
        <f>IF(B265="MP-MT",VLOOKUP(CONCATENATE("TOTAL DO ÍTEM - ",C265),'COMPOSIÇÃO DE PREÇO UNITÁRIO'!A:H,8,FALSE),VLOOKUP(C265,'SINAPI_COMPOSIÇÕES 062020'!A:D,4,FALSE))</f>
        <v>23.28</v>
      </c>
      <c r="H265" s="79">
        <f t="shared" si="53"/>
        <v>30.12</v>
      </c>
      <c r="I265" s="79">
        <f t="shared" si="54"/>
        <v>391.56</v>
      </c>
    </row>
    <row r="266" spans="1:9" ht="25.5" outlineLevel="2" x14ac:dyDescent="0.2">
      <c r="A266" s="45" t="s">
        <v>13475</v>
      </c>
      <c r="B266" s="45" t="s">
        <v>9</v>
      </c>
      <c r="C266" s="45">
        <v>91944</v>
      </c>
      <c r="D266" s="44" t="str">
        <f>IF(B266="MP-MT",VLOOKUP(C266,'COMPOSIÇÃO DE PREÇO UNITÁRIO'!A:B,2,FALSE),VLOOKUP(C266,'SINAPI_COMPOSIÇÕES 062020'!A:B,2,FALSE))</f>
        <v>CAIXA RETANGULAR 4" X 4" BAIXA (0,30 M DO PISO), PVC, INSTALADA EM PAREDE - FORNECIMENTO E INSTALAÇÃO. AF_12/2015</v>
      </c>
      <c r="E266" s="45" t="str">
        <f>IF(B266="MP-MT",VLOOKUP(C266,'COMPOSIÇÃO DE PREÇO UNITÁRIO'!A:H,8,FALSE),VLOOKUP(C266,'SINAPI_COMPOSIÇÕES 062020'!A:C,3,FALSE))</f>
        <v>UN</v>
      </c>
      <c r="F266" s="78">
        <v>1</v>
      </c>
      <c r="G266" s="79">
        <f>IF(B266="MP-MT",VLOOKUP(CONCATENATE("TOTAL DO ÍTEM - ",C266),'COMPOSIÇÃO DE PREÇO UNITÁRIO'!A:H,8,FALSE),VLOOKUP(C266,'SINAPI_COMPOSIÇÕES 062020'!A:D,4,FALSE))</f>
        <v>9.2100000000000009</v>
      </c>
      <c r="H266" s="79">
        <f t="shared" si="53"/>
        <v>11.91</v>
      </c>
      <c r="I266" s="79">
        <f t="shared" si="54"/>
        <v>11.91</v>
      </c>
    </row>
    <row r="267" spans="1:9" ht="38.25" outlineLevel="2" x14ac:dyDescent="0.2">
      <c r="A267" s="45" t="s">
        <v>13476</v>
      </c>
      <c r="B267" s="45" t="s">
        <v>9</v>
      </c>
      <c r="C267" s="45">
        <v>95789</v>
      </c>
      <c r="D267" s="44" t="str">
        <f>IF(B267="MP-MT",VLOOKUP(C267,'COMPOSIÇÃO DE PREÇO UNITÁRIO'!A:B,2,FALSE),VLOOKUP(C267,'SINAPI_COMPOSIÇÕES 062020'!A:B,2,FALSE))</f>
        <v>CONDULETE DE ALUMÍNIO, TIPO LR, PARA ELETRODUTO DE AÇO GALVANIZADO DN 25 MM (1''), APARENTE - FORNECIMENTO E INSTALAÇÃO. AF_11/2016_P</v>
      </c>
      <c r="E267" s="45" t="str">
        <f>IF(B267="MP-MT",VLOOKUP(C267,'COMPOSIÇÃO DE PREÇO UNITÁRIO'!A:H,8,FALSE),VLOOKUP(C267,'SINAPI_COMPOSIÇÕES 062020'!A:C,3,FALSE))</f>
        <v>UN</v>
      </c>
      <c r="F267" s="78">
        <v>6</v>
      </c>
      <c r="G267" s="79">
        <f>IF(B267="MP-MT",VLOOKUP(CONCATENATE("TOTAL DO ÍTEM - ",C267),'COMPOSIÇÃO DE PREÇO UNITÁRIO'!A:H,8,FALSE),VLOOKUP(C267,'SINAPI_COMPOSIÇÕES 062020'!A:D,4,FALSE))</f>
        <v>24.26</v>
      </c>
      <c r="H267" s="79">
        <f t="shared" si="53"/>
        <v>31.38</v>
      </c>
      <c r="I267" s="79">
        <f t="shared" si="54"/>
        <v>188.28</v>
      </c>
    </row>
    <row r="268" spans="1:9" ht="38.25" outlineLevel="2" x14ac:dyDescent="0.2">
      <c r="A268" s="45" t="s">
        <v>13477</v>
      </c>
      <c r="B268" s="45" t="s">
        <v>9</v>
      </c>
      <c r="C268" s="45">
        <v>95796</v>
      </c>
      <c r="D268" s="44" t="str">
        <f>IF(B268="MP-MT",VLOOKUP(C268,'COMPOSIÇÃO DE PREÇO UNITÁRIO'!A:B,2,FALSE),VLOOKUP(C268,'SINAPI_COMPOSIÇÕES 062020'!A:B,2,FALSE))</f>
        <v>CONDULETE DE ALUMÍNIO, TIPO T, PARA ELETRODUTO DE AÇO GALVANIZADO DN 25 MM (1''), APARENTE - FORNECIMENTO E INSTALAÇÃO. AF_11/2016_P</v>
      </c>
      <c r="E268" s="45" t="str">
        <f>IF(B268="MP-MT",VLOOKUP(C268,'COMPOSIÇÃO DE PREÇO UNITÁRIO'!A:H,8,FALSE),VLOOKUP(C268,'SINAPI_COMPOSIÇÕES 062020'!A:C,3,FALSE))</f>
        <v>UN</v>
      </c>
      <c r="F268" s="78">
        <v>9</v>
      </c>
      <c r="G268" s="79">
        <f>IF(B268="MP-MT",VLOOKUP(CONCATENATE("TOTAL DO ÍTEM - ",C268),'COMPOSIÇÃO DE PREÇO UNITÁRIO'!A:H,8,FALSE),VLOOKUP(C268,'SINAPI_COMPOSIÇÕES 062020'!A:D,4,FALSE))</f>
        <v>28.54</v>
      </c>
      <c r="H268" s="79">
        <f t="shared" si="53"/>
        <v>36.92</v>
      </c>
      <c r="I268" s="79">
        <f t="shared" si="54"/>
        <v>332.28</v>
      </c>
    </row>
    <row r="269" spans="1:9" ht="25.5" outlineLevel="2" x14ac:dyDescent="0.2">
      <c r="A269" s="45" t="s">
        <v>13478</v>
      </c>
      <c r="B269" s="45" t="s">
        <v>9</v>
      </c>
      <c r="C269" s="45">
        <v>95782</v>
      </c>
      <c r="D269" s="44" t="str">
        <f>IF(B269="MP-MT",VLOOKUP(C269,'COMPOSIÇÃO DE PREÇO UNITÁRIO'!A:B,2,FALSE),VLOOKUP(C269,'SINAPI_COMPOSIÇÕES 062020'!A:B,2,FALSE))</f>
        <v>CONDULETE DE ALUMÍNIO, TIPO E, ELETRODUTO DE AÇO GALVANIZADO DN 25 MM (1''), APARENTE - FORNECIMENTO E INSTALAÇÃO. AF_11/2016_P</v>
      </c>
      <c r="E269" s="45" t="str">
        <f>IF(B269="MP-MT",VLOOKUP(C269,'COMPOSIÇÃO DE PREÇO UNITÁRIO'!A:H,8,FALSE),VLOOKUP(C269,'SINAPI_COMPOSIÇÕES 062020'!A:C,3,FALSE))</f>
        <v>UN</v>
      </c>
      <c r="F269" s="78">
        <v>2</v>
      </c>
      <c r="G269" s="79">
        <f>IF(B269="MP-MT",VLOOKUP(CONCATENATE("TOTAL DO ÍTEM - ",C269),'COMPOSIÇÃO DE PREÇO UNITÁRIO'!A:H,8,FALSE),VLOOKUP(C269,'SINAPI_COMPOSIÇÕES 062020'!A:D,4,FALSE))</f>
        <v>23.3</v>
      </c>
      <c r="H269" s="79">
        <f t="shared" si="53"/>
        <v>30.14</v>
      </c>
      <c r="I269" s="79">
        <f t="shared" si="54"/>
        <v>60.28</v>
      </c>
    </row>
    <row r="270" spans="1:9" ht="38.25" outlineLevel="2" x14ac:dyDescent="0.2">
      <c r="A270" s="45" t="s">
        <v>13479</v>
      </c>
      <c r="B270" s="45" t="s">
        <v>9</v>
      </c>
      <c r="C270" s="45">
        <v>95781</v>
      </c>
      <c r="D270" s="44" t="str">
        <f>IF(B270="MP-MT",VLOOKUP(C270,'COMPOSIÇÃO DE PREÇO UNITÁRIO'!A:B,2,FALSE),VLOOKUP(C270,'SINAPI_COMPOSIÇÕES 062020'!A:B,2,FALSE))</f>
        <v>CONDULETE DE ALUMÍNIO, TIPO C, PARA ELETRODUTO DE AÇO GALVANIZADO DN 25 MM (1''), APARENTE - FORNECIMENTO E INSTALAÇÃO. AF_11/2016_P</v>
      </c>
      <c r="E270" s="45" t="str">
        <f>IF(B270="MP-MT",VLOOKUP(C270,'COMPOSIÇÃO DE PREÇO UNITÁRIO'!A:H,8,FALSE),VLOOKUP(C270,'SINAPI_COMPOSIÇÕES 062020'!A:C,3,FALSE))</f>
        <v>UN</v>
      </c>
      <c r="F270" s="78">
        <v>1</v>
      </c>
      <c r="G270" s="79">
        <f>IF(B270="MP-MT",VLOOKUP(CONCATENATE("TOTAL DO ÍTEM - ",C270),'COMPOSIÇÃO DE PREÇO UNITÁRIO'!A:H,8,FALSE),VLOOKUP(C270,'SINAPI_COMPOSIÇÕES 062020'!A:D,4,FALSE))</f>
        <v>22.38</v>
      </c>
      <c r="H270" s="79">
        <f t="shared" si="53"/>
        <v>28.95</v>
      </c>
      <c r="I270" s="79">
        <f t="shared" si="54"/>
        <v>28.95</v>
      </c>
    </row>
    <row r="271" spans="1:9" ht="25.5" outlineLevel="2" x14ac:dyDescent="0.2">
      <c r="A271" s="45" t="s">
        <v>13480</v>
      </c>
      <c r="B271" s="45" t="s">
        <v>194</v>
      </c>
      <c r="C271" s="45" t="s">
        <v>12977</v>
      </c>
      <c r="D271" s="44" t="str">
        <f>IF(B271="MP-MT",VLOOKUP(C271,'COMPOSIÇÃO DE PREÇO UNITÁRIO'!A:B,2,FALSE),VLOOKUP(C271,'SINAPI_COMPOSIÇÕES 062020'!A:B,2,FALSE))</f>
        <v>FORNECIMENTO E INSTALAÇÃO DE CAIXA DE PASSAGEM METALICA EMBUTIDA NO PISO, DIMENSOES 30 X 30 X 15 CM</v>
      </c>
      <c r="E271" s="45" t="str">
        <f>IF(B271="MP-MT",VLOOKUP(C271,'COMPOSIÇÃO DE PREÇO UNITÁRIO'!A:H,8,FALSE),VLOOKUP(C271,'SINAPI_COMPOSIÇÕES 062020'!A:C,3,FALSE))</f>
        <v>UND</v>
      </c>
      <c r="F271" s="78">
        <v>1</v>
      </c>
      <c r="G271" s="79">
        <f>IF(B271="MP-MT",VLOOKUP(CONCATENATE("TOTAL DO ÍTEM - ",C271),'COMPOSIÇÃO DE PREÇO UNITÁRIO'!A:H,8,FALSE),VLOOKUP(C271,'SINAPI_COMPOSIÇÕES 062020'!A:D,4,FALSE))</f>
        <v>67.86</v>
      </c>
      <c r="H271" s="79">
        <f t="shared" si="53"/>
        <v>87.8</v>
      </c>
      <c r="I271" s="79">
        <f t="shared" si="54"/>
        <v>87.8</v>
      </c>
    </row>
    <row r="272" spans="1:9" ht="25.5" outlineLevel="2" x14ac:dyDescent="0.2">
      <c r="A272" s="45" t="s">
        <v>13481</v>
      </c>
      <c r="B272" s="45" t="s">
        <v>194</v>
      </c>
      <c r="C272" s="45" t="s">
        <v>12981</v>
      </c>
      <c r="D272" s="44" t="str">
        <f>IF(B272="MP-MT",VLOOKUP(C272,'COMPOSIÇÃO DE PREÇO UNITÁRIO'!A:B,2,FALSE),VLOOKUP(C272,'SINAPI_COMPOSIÇÕES 062020'!A:B,2,FALSE))</f>
        <v>FORNECIMENTO E INSTALAÇÃO DE CAIXA DE PASSAGEM METALICA EMBUTIDA, DIMENSOES 40 X 40 X 15 CM</v>
      </c>
      <c r="E272" s="45" t="str">
        <f>IF(B272="MP-MT",VLOOKUP(C272,'COMPOSIÇÃO DE PREÇO UNITÁRIO'!A:H,8,FALSE),VLOOKUP(C272,'SINAPI_COMPOSIÇÕES 062020'!A:C,3,FALSE))</f>
        <v>UND</v>
      </c>
      <c r="F272" s="78">
        <v>2</v>
      </c>
      <c r="G272" s="79">
        <f>IF(B272="MP-MT",VLOOKUP(CONCATENATE("TOTAL DO ÍTEM - ",C272),'COMPOSIÇÃO DE PREÇO UNITÁRIO'!A:H,8,FALSE),VLOOKUP(C272,'SINAPI_COMPOSIÇÕES 062020'!A:D,4,FALSE))</f>
        <v>98.61</v>
      </c>
      <c r="H272" s="79">
        <f t="shared" si="53"/>
        <v>127.58</v>
      </c>
      <c r="I272" s="79">
        <f t="shared" si="54"/>
        <v>255.16</v>
      </c>
    </row>
    <row r="273" spans="1:9" ht="25.5" outlineLevel="2" x14ac:dyDescent="0.2">
      <c r="A273" s="45" t="s">
        <v>13482</v>
      </c>
      <c r="B273" s="45" t="s">
        <v>9</v>
      </c>
      <c r="C273" s="45">
        <v>93358</v>
      </c>
      <c r="D273" s="44" t="str">
        <f>IF(B273="MP-MT",VLOOKUP(C273,'COMPOSIÇÃO DE PREÇO UNITÁRIO'!A:B,2,FALSE),VLOOKUP(C273,'SINAPI_COMPOSIÇÕES 062020'!A:B,2,FALSE))</f>
        <v>ESCAVAÇÃO MANUAL DE VALA COM PROFUNDIDADE MENOR OU IGUAL A 1,30 M. AF_03/2016</v>
      </c>
      <c r="E273" s="45" t="str">
        <f>IF(B273="MP-MT",VLOOKUP(C273,'COMPOSIÇÃO DE PREÇO UNITÁRIO'!A:H,8,FALSE),VLOOKUP(C273,'SINAPI_COMPOSIÇÕES 062020'!A:C,3,FALSE))</f>
        <v>M3</v>
      </c>
      <c r="F273" s="78">
        <f>0.3*0.5*5.3</f>
        <v>0.79499999999999993</v>
      </c>
      <c r="G273" s="79">
        <f>IF(B273="MP-MT",VLOOKUP(CONCATENATE("TOTAL DO ÍTEM - ",C273),'COMPOSIÇÃO DE PREÇO UNITÁRIO'!A:H,8,FALSE),VLOOKUP(C273,'SINAPI_COMPOSIÇÕES 062020'!A:D,4,FALSE))</f>
        <v>56.84</v>
      </c>
      <c r="H273" s="79">
        <f t="shared" si="53"/>
        <v>73.540000000000006</v>
      </c>
      <c r="I273" s="79">
        <f t="shared" ref="I273" si="55">TRUNC(H273*F273,2)</f>
        <v>58.46</v>
      </c>
    </row>
    <row r="274" spans="1:9" ht="25.5" outlineLevel="2" x14ac:dyDescent="0.2">
      <c r="A274" s="45" t="s">
        <v>13483</v>
      </c>
      <c r="B274" s="45" t="s">
        <v>194</v>
      </c>
      <c r="C274" s="45" t="s">
        <v>12149</v>
      </c>
      <c r="D274" s="44" t="str">
        <f>IF(B274="MP-MT",VLOOKUP(C274,'COMPOSIÇÃO DE PREÇO UNITÁRIO'!A:B,2,FALSE),VLOOKUP(C274,'SINAPI_COMPOSIÇÕES 062020'!A:B,2,FALSE))</f>
        <v>ELETRODUTO FLEXÍVEL CORRUGADO, PVC, DN 50 MM (2"),INSTALADO EM PISO/CHÃO - FORNECIMENTO E INSTALAÇÃO</v>
      </c>
      <c r="E274" s="45" t="str">
        <f>IF(B274="MP-MT",VLOOKUP(C274,'COMPOSIÇÃO DE PREÇO UNITÁRIO'!A:H,8,FALSE),VLOOKUP(C274,'SINAPI_COMPOSIÇÕES 062020'!A:C,3,FALSE))</f>
        <v>M</v>
      </c>
      <c r="F274" s="78">
        <v>5.3</v>
      </c>
      <c r="G274" s="79">
        <f>IF(B274="MP-MT",VLOOKUP(CONCATENATE("TOTAL DO ÍTEM - ",C274),'COMPOSIÇÃO DE PREÇO UNITÁRIO'!A:H,8,FALSE),VLOOKUP(C274,'SINAPI_COMPOSIÇÕES 062020'!A:D,4,FALSE))</f>
        <v>8.59</v>
      </c>
      <c r="H274" s="79">
        <f t="shared" si="53"/>
        <v>11.11</v>
      </c>
      <c r="I274" s="79">
        <f t="shared" si="54"/>
        <v>58.88</v>
      </c>
    </row>
    <row r="275" spans="1:9" outlineLevel="2" x14ac:dyDescent="0.2">
      <c r="A275" s="45" t="s">
        <v>13484</v>
      </c>
      <c r="B275" s="45" t="s">
        <v>9</v>
      </c>
      <c r="C275" s="45">
        <v>96995</v>
      </c>
      <c r="D275" s="44" t="str">
        <f>IF(B275="MP-MT",VLOOKUP(C275,'COMPOSIÇÃO DE PREÇO UNITÁRIO'!A:B,2,FALSE),VLOOKUP(C275,'SINAPI_COMPOSIÇÕES 062020'!A:B,2,FALSE))</f>
        <v>REATERRO MANUAL APILOADO COM SOQUETE. AF_10/2017</v>
      </c>
      <c r="E275" s="45" t="str">
        <f>IF(B275="MP-MT",VLOOKUP(C275,'COMPOSIÇÃO DE PREÇO UNITÁRIO'!A:H,8,FALSE),VLOOKUP(C275,'SINAPI_COMPOSIÇÕES 062020'!A:C,3,FALSE))</f>
        <v>M3</v>
      </c>
      <c r="F275" s="78">
        <f>F273*0.9</f>
        <v>0.71549999999999991</v>
      </c>
      <c r="G275" s="79">
        <f>IF(B275="MP-MT",VLOOKUP(CONCATENATE("TOTAL DO ÍTEM - ",C275),'COMPOSIÇÃO DE PREÇO UNITÁRIO'!A:H,8,FALSE),VLOOKUP(C275,'SINAPI_COMPOSIÇÕES 062020'!A:D,4,FALSE))</f>
        <v>34.46</v>
      </c>
      <c r="H275" s="79">
        <f t="shared" si="53"/>
        <v>44.58</v>
      </c>
      <c r="I275" s="79">
        <f t="shared" si="54"/>
        <v>31.89</v>
      </c>
    </row>
    <row r="276" spans="1:9" ht="25.5" outlineLevel="2" x14ac:dyDescent="0.2">
      <c r="A276" s="45" t="s">
        <v>13485</v>
      </c>
      <c r="B276" s="45" t="s">
        <v>9</v>
      </c>
      <c r="C276" s="45">
        <v>98297</v>
      </c>
      <c r="D276" s="44" t="str">
        <f>IF(B276="MP-MT",VLOOKUP(C276,'COMPOSIÇÃO DE PREÇO UNITÁRIO'!A:B,2,FALSE),VLOOKUP(C276,'SINAPI_COMPOSIÇÕES 062020'!A:B,2,FALSE))</f>
        <v>CABO ELETRÔNICO CATEGORIA 6, INSTALADO EM EDIFICAÇÃO INSTITUCIONAL - FORNECIMENTO E INSTALAÇÃO. AF_11/2019</v>
      </c>
      <c r="E276" s="45" t="str">
        <f>IF(B276="MP-MT",VLOOKUP(C276,'COMPOSIÇÃO DE PREÇO UNITÁRIO'!A:H,8,FALSE),VLOOKUP(C276,'SINAPI_COMPOSIÇÕES 062020'!A:C,3,FALSE))</f>
        <v>M</v>
      </c>
      <c r="F276" s="78">
        <v>259.77999999999997</v>
      </c>
      <c r="G276" s="79">
        <f>IF(B276="MP-MT",VLOOKUP(CONCATENATE("TOTAL DO ÍTEM - ",C276),'COMPOSIÇÃO DE PREÇO UNITÁRIO'!A:H,8,FALSE),VLOOKUP(C276,'SINAPI_COMPOSIÇÕES 062020'!A:D,4,FALSE))</f>
        <v>1.66</v>
      </c>
      <c r="H276" s="79">
        <f t="shared" si="53"/>
        <v>2.14</v>
      </c>
      <c r="I276" s="79">
        <f t="shared" si="54"/>
        <v>555.91999999999996</v>
      </c>
    </row>
    <row r="277" spans="1:9" ht="25.5" outlineLevel="2" x14ac:dyDescent="0.2">
      <c r="A277" s="45" t="s">
        <v>13486</v>
      </c>
      <c r="B277" s="45" t="s">
        <v>194</v>
      </c>
      <c r="C277" s="45" t="s">
        <v>12985</v>
      </c>
      <c r="D277" s="44" t="str">
        <f>IF(B277="MP-MT",VLOOKUP(C277,'COMPOSIÇÃO DE PREÇO UNITÁRIO'!A:B,2,FALSE),VLOOKUP(C277,'SINAPI_COMPOSIÇÕES 062020'!A:B,2,FALSE))</f>
        <v>FORNECIMENTO E CRIMPAGEM DE CONECTOR RJ-45, CATEGORIA 6E, EM CABO UTP</v>
      </c>
      <c r="E277" s="45" t="str">
        <f>IF(B277="MP-MT",VLOOKUP(C277,'COMPOSIÇÃO DE PREÇO UNITÁRIO'!A:H,8,FALSE),VLOOKUP(C277,'SINAPI_COMPOSIÇÕES 062020'!A:C,3,FALSE))</f>
        <v>UND</v>
      </c>
      <c r="F277" s="78">
        <v>13</v>
      </c>
      <c r="G277" s="79">
        <f>IF(B277="MP-MT",VLOOKUP(CONCATENATE("TOTAL DO ÍTEM - ",C277),'COMPOSIÇÃO DE PREÇO UNITÁRIO'!A:H,8,FALSE),VLOOKUP(C277,'SINAPI_COMPOSIÇÕES 062020'!A:D,4,FALSE))</f>
        <v>9.77</v>
      </c>
      <c r="H277" s="79">
        <f t="shared" si="53"/>
        <v>12.64</v>
      </c>
      <c r="I277" s="79">
        <f t="shared" si="54"/>
        <v>164.32</v>
      </c>
    </row>
    <row r="278" spans="1:9" outlineLevel="1" x14ac:dyDescent="0.2">
      <c r="A278" s="76"/>
      <c r="B278" s="76"/>
      <c r="C278" s="76"/>
      <c r="D278" s="91" t="str">
        <f>CONCATENATE("TOTAL DO ITEM - ",A254)</f>
        <v>TOTAL DO ITEM - 12.0</v>
      </c>
      <c r="E278" s="76"/>
      <c r="F278" s="92"/>
      <c r="G278" s="93"/>
      <c r="H278" s="93"/>
      <c r="I278" s="93">
        <f>SUM(I255:I277)</f>
        <v>7470.1799999999994</v>
      </c>
    </row>
    <row r="279" spans="1:9" outlineLevel="1" x14ac:dyDescent="0.2">
      <c r="A279" s="87" t="s">
        <v>36</v>
      </c>
      <c r="B279" s="87"/>
      <c r="C279" s="87"/>
      <c r="D279" s="88" t="s">
        <v>191</v>
      </c>
      <c r="E279" s="87"/>
      <c r="F279" s="89"/>
      <c r="G279" s="90"/>
      <c r="H279" s="90"/>
      <c r="I279" s="90"/>
    </row>
    <row r="280" spans="1:9" ht="25.5" outlineLevel="2" x14ac:dyDescent="0.2">
      <c r="A280" s="45" t="s">
        <v>13487</v>
      </c>
      <c r="B280" s="45" t="s">
        <v>9</v>
      </c>
      <c r="C280" s="45">
        <v>90443</v>
      </c>
      <c r="D280" s="44" t="str">
        <f>IF(B280="MP-MT",VLOOKUP(C280,'COMPOSIÇÃO DE PREÇO UNITÁRIO'!A:B,2,FALSE),VLOOKUP(C280,'SINAPI_COMPOSIÇÕES 062020'!A:B,2,FALSE))</f>
        <v>RASGO EM ALVENARIA PARA RAMAIS/ DISTRIBUIÇÃO COM DIAMETROS MENORES OU IGUAIS A 40 MM. AF_05/2015</v>
      </c>
      <c r="E280" s="45" t="str">
        <f>IF(B280="MP-MT",VLOOKUP(C280,'COMPOSIÇÃO DE PREÇO UNITÁRIO'!A:H,8,FALSE),VLOOKUP(C280,'SINAPI_COMPOSIÇÕES 062020'!A:C,3,FALSE))</f>
        <v>M</v>
      </c>
      <c r="F280" s="78">
        <f>19.86+0.06+16.86+0.1+80.66</f>
        <v>117.53999999999999</v>
      </c>
      <c r="G280" s="79">
        <f>IF(B280="MP-MT",VLOOKUP(CONCATENATE("TOTAL DO ÍTEM - ",C280),'COMPOSIÇÃO DE PREÇO UNITÁRIO'!A:H,8,FALSE),VLOOKUP(C280,'SINAPI_COMPOSIÇÕES 062020'!A:D,4,FALSE))</f>
        <v>8.9499999999999993</v>
      </c>
      <c r="H280" s="79">
        <f t="shared" ref="H280" si="56">TRUNC(G280*(1+$F$1),2)</f>
        <v>11.57</v>
      </c>
      <c r="I280" s="79">
        <f t="shared" ref="I280" si="57">TRUNC(H280*F280,2)</f>
        <v>1359.93</v>
      </c>
    </row>
    <row r="281" spans="1:9" ht="25.5" outlineLevel="2" x14ac:dyDescent="0.2">
      <c r="A281" s="45" t="s">
        <v>13490</v>
      </c>
      <c r="B281" s="45" t="s">
        <v>9</v>
      </c>
      <c r="C281" s="45">
        <v>91222</v>
      </c>
      <c r="D281" s="44" t="str">
        <f>IF(B281="MP-MT",VLOOKUP(C281,'COMPOSIÇÃO DE PREÇO UNITÁRIO'!A:B,2,FALSE),VLOOKUP(C281,'SINAPI_COMPOSIÇÕES 062020'!A:B,2,FALSE))</f>
        <v>RASGO EM ALVENARIA PARA RAMAIS/ DISTRIBUIÇÃO COM DIÂMETROS MAIORES QUE 40 MM E MENORES OU IGUAIS A 75 MM. AF_05/2015</v>
      </c>
      <c r="E281" s="45" t="str">
        <f>IF(B281="MP-MT",VLOOKUP(C281,'COMPOSIÇÃO DE PREÇO UNITÁRIO'!A:H,8,FALSE),VLOOKUP(C281,'SINAPI_COMPOSIÇÕES 062020'!A:C,3,FALSE))</f>
        <v>M</v>
      </c>
      <c r="F281" s="78">
        <f>1+44.81+6.86</f>
        <v>52.67</v>
      </c>
      <c r="G281" s="79">
        <f>IF(B281="MP-MT",VLOOKUP(CONCATENATE("TOTAL DO ÍTEM - ",C281),'COMPOSIÇÃO DE PREÇO UNITÁRIO'!A:H,8,FALSE),VLOOKUP(C281,'SINAPI_COMPOSIÇÕES 062020'!A:D,4,FALSE))</f>
        <v>9.64</v>
      </c>
      <c r="H281" s="79">
        <f t="shared" ref="H281:H353" si="58">TRUNC(G281*(1+$F$1),2)</f>
        <v>12.47</v>
      </c>
      <c r="I281" s="79">
        <f t="shared" ref="I281:I353" si="59">TRUNC(H281*F281,2)</f>
        <v>656.79</v>
      </c>
    </row>
    <row r="282" spans="1:9" ht="25.5" outlineLevel="2" x14ac:dyDescent="0.2">
      <c r="A282" s="45" t="s">
        <v>13491</v>
      </c>
      <c r="B282" s="45" t="s">
        <v>9</v>
      </c>
      <c r="C282" s="45">
        <v>93358</v>
      </c>
      <c r="D282" s="44" t="str">
        <f>IF(B282="MP-MT",VLOOKUP(C282,'COMPOSIÇÃO DE PREÇO UNITÁRIO'!A:B,2,FALSE),VLOOKUP(C282,'SINAPI_COMPOSIÇÕES 062020'!A:B,2,FALSE))</f>
        <v>ESCAVAÇÃO MANUAL DE VALA COM PROFUNDIDADE MENOR OU IGUAL A 1,30 M. AF_03/2016</v>
      </c>
      <c r="E282" s="45" t="str">
        <f>IF(B282="MP-MT",VLOOKUP(C282,'COMPOSIÇÃO DE PREÇO UNITÁRIO'!A:H,8,FALSE),VLOOKUP(C282,'SINAPI_COMPOSIÇÕES 062020'!A:C,3,FALSE))</f>
        <v>M3</v>
      </c>
      <c r="F282" s="78">
        <v>31.913999999999998</v>
      </c>
      <c r="G282" s="79">
        <f>IF(B282="MP-MT",VLOOKUP(CONCATENATE("TOTAL DO ÍTEM - ",C282),'COMPOSIÇÃO DE PREÇO UNITÁRIO'!A:H,8,FALSE),VLOOKUP(C282,'SINAPI_COMPOSIÇÕES 062020'!A:D,4,FALSE))</f>
        <v>56.84</v>
      </c>
      <c r="H282" s="79">
        <f t="shared" si="58"/>
        <v>73.540000000000006</v>
      </c>
      <c r="I282" s="79">
        <f t="shared" si="59"/>
        <v>2346.9499999999998</v>
      </c>
    </row>
    <row r="283" spans="1:9" outlineLevel="2" x14ac:dyDescent="0.2">
      <c r="A283" s="45" t="s">
        <v>13492</v>
      </c>
      <c r="B283" s="45" t="s">
        <v>9</v>
      </c>
      <c r="C283" s="45">
        <v>96995</v>
      </c>
      <c r="D283" s="44" t="str">
        <f>IF(B283="MP-MT",VLOOKUP(C283,'COMPOSIÇÃO DE PREÇO UNITÁRIO'!A:B,2,FALSE),VLOOKUP(C283,'SINAPI_COMPOSIÇÕES 062020'!A:B,2,FALSE))</f>
        <v>REATERRO MANUAL APILOADO COM SOQUETE. AF_10/2017</v>
      </c>
      <c r="E283" s="45" t="str">
        <f>IF(B283="MP-MT",VLOOKUP(C283,'COMPOSIÇÃO DE PREÇO UNITÁRIO'!A:H,8,FALSE),VLOOKUP(C283,'SINAPI_COMPOSIÇÕES 062020'!A:C,3,FALSE))</f>
        <v>M3</v>
      </c>
      <c r="F283" s="78">
        <v>28.7226</v>
      </c>
      <c r="G283" s="79">
        <f>IF(B283="MP-MT",VLOOKUP(CONCATENATE("TOTAL DO ÍTEM - ",C283),'COMPOSIÇÃO DE PREÇO UNITÁRIO'!A:H,8,FALSE),VLOOKUP(C283,'SINAPI_COMPOSIÇÕES 062020'!A:D,4,FALSE))</f>
        <v>34.46</v>
      </c>
      <c r="H283" s="79">
        <f t="shared" ref="H283" si="60">TRUNC(G283*(1+$F$1),2)</f>
        <v>44.58</v>
      </c>
      <c r="I283" s="79">
        <f t="shared" ref="I283" si="61">TRUNC(H283*F283,2)</f>
        <v>1280.45</v>
      </c>
    </row>
    <row r="284" spans="1:9" ht="25.5" outlineLevel="2" x14ac:dyDescent="0.2">
      <c r="A284" s="45" t="s">
        <v>13493</v>
      </c>
      <c r="B284" s="45" t="s">
        <v>9</v>
      </c>
      <c r="C284" s="45">
        <v>90466</v>
      </c>
      <c r="D284" s="44" t="str">
        <f>IF(B284="MP-MT",VLOOKUP(C284,'COMPOSIÇÃO DE PREÇO UNITÁRIO'!A:B,2,FALSE),VLOOKUP(C284,'SINAPI_COMPOSIÇÕES 062020'!A:B,2,FALSE))</f>
        <v>CHUMBAMENTO LINEAR EM ALVENARIA PARA RAMAIS/DISTRIBUIÇÃO COM DIÂMETROS MENORES OU IGUAIS A 40 MM. AF_05/2015</v>
      </c>
      <c r="E284" s="45" t="str">
        <f>IF(B284="MP-MT",VLOOKUP(C284,'COMPOSIÇÃO DE PREÇO UNITÁRIO'!A:H,8,FALSE),VLOOKUP(C284,'SINAPI_COMPOSIÇÕES 062020'!A:C,3,FALSE))</f>
        <v>M</v>
      </c>
      <c r="F284" s="78">
        <v>117.54</v>
      </c>
      <c r="G284" s="79">
        <f>IF(B284="MP-MT",VLOOKUP(CONCATENATE("TOTAL DO ÍTEM - ",C284),'COMPOSIÇÃO DE PREÇO UNITÁRIO'!A:H,8,FALSE),VLOOKUP(C284,'SINAPI_COMPOSIÇÕES 062020'!A:D,4,FALSE))</f>
        <v>8.99</v>
      </c>
      <c r="H284" s="79">
        <f t="shared" ref="H284" si="62">TRUNC(G284*(1+$F$1),2)</f>
        <v>11.63</v>
      </c>
      <c r="I284" s="79">
        <f t="shared" ref="I284" si="63">TRUNC(H284*F284,2)</f>
        <v>1366.99</v>
      </c>
    </row>
    <row r="285" spans="1:9" ht="38.25" outlineLevel="2" x14ac:dyDescent="0.2">
      <c r="A285" s="45" t="s">
        <v>13494</v>
      </c>
      <c r="B285" s="45" t="s">
        <v>9</v>
      </c>
      <c r="C285" s="45">
        <v>90469</v>
      </c>
      <c r="D285" s="44" t="str">
        <f>IF(B285="MP-MT",VLOOKUP(C285,'COMPOSIÇÃO DE PREÇO UNITÁRIO'!A:B,2,FALSE),VLOOKUP(C285,'SINAPI_COMPOSIÇÕES 062020'!A:B,2,FALSE))</f>
        <v>CHUMBAMENTO LINEAR EM CONTRAPISO PARA RAMAIS/DISTRIBUIÇÃO COM DIÂMETROS MAIORES QUE 40 MM E MENORES OU IGUAIS A 75 MM. AF_05/2015</v>
      </c>
      <c r="E285" s="45" t="str">
        <f>IF(B285="MP-MT",VLOOKUP(C285,'COMPOSIÇÃO DE PREÇO UNITÁRIO'!A:H,8,FALSE),VLOOKUP(C285,'SINAPI_COMPOSIÇÕES 062020'!A:C,3,FALSE))</f>
        <v>M</v>
      </c>
      <c r="F285" s="78">
        <v>52.67</v>
      </c>
      <c r="G285" s="79">
        <f>IF(B285="MP-MT",VLOOKUP(CONCATENATE("TOTAL DO ÍTEM - ",C285),'COMPOSIÇÃO DE PREÇO UNITÁRIO'!A:H,8,FALSE),VLOOKUP(C285,'SINAPI_COMPOSIÇÕES 062020'!A:D,4,FALSE))</f>
        <v>6.36</v>
      </c>
      <c r="H285" s="79">
        <f t="shared" ref="H285" si="64">TRUNC(G285*(1+$F$1),2)</f>
        <v>8.2200000000000006</v>
      </c>
      <c r="I285" s="79">
        <f t="shared" ref="I285" si="65">TRUNC(H285*F285,2)</f>
        <v>432.94</v>
      </c>
    </row>
    <row r="286" spans="1:9" ht="38.25" outlineLevel="2" x14ac:dyDescent="0.2">
      <c r="A286" s="45" t="s">
        <v>13495</v>
      </c>
      <c r="B286" s="45" t="s">
        <v>9</v>
      </c>
      <c r="C286" s="45">
        <v>94649</v>
      </c>
      <c r="D286" s="44" t="str">
        <f>IF(B286="MP-MT",VLOOKUP(C286,'COMPOSIÇÃO DE PREÇO UNITÁRIO'!A:B,2,FALSE),VLOOKUP(C286,'SINAPI_COMPOSIÇÕES 062020'!A:B,2,FALSE))</f>
        <v>TUBO, PVC, SOLDÁVEL, DN 32 MM, INSTALADO EM RESERVAÇÃO DE ÁGUA DE EDIFICAÇÃO QUE POSSUA RESERVATÓRIO DE FIBRA/FIBROCIMENTO   FORNECIMENTO E INSTALAÇÃO. AF_06/2016</v>
      </c>
      <c r="E286" s="45" t="str">
        <f>IF(B286="MP-MT",VLOOKUP(C286,'COMPOSIÇÃO DE PREÇO UNITÁRIO'!A:H,8,FALSE),VLOOKUP(C286,'SINAPI_COMPOSIÇÕES 062020'!A:C,3,FALSE))</f>
        <v>M</v>
      </c>
      <c r="F286" s="78">
        <f>24.17+0.12+5.04</f>
        <v>29.330000000000002</v>
      </c>
      <c r="G286" s="79">
        <f>IF(B286="MP-MT",VLOOKUP(CONCATENATE("TOTAL DO ÍTEM - ",C286),'COMPOSIÇÃO DE PREÇO UNITÁRIO'!A:H,8,FALSE),VLOOKUP(C286,'SINAPI_COMPOSIÇÕES 062020'!A:D,4,FALSE))</f>
        <v>10.8</v>
      </c>
      <c r="H286" s="79">
        <f t="shared" si="58"/>
        <v>13.97</v>
      </c>
      <c r="I286" s="79">
        <f t="shared" si="59"/>
        <v>409.74</v>
      </c>
    </row>
    <row r="287" spans="1:9" ht="25.5" outlineLevel="2" x14ac:dyDescent="0.2">
      <c r="A287" s="45" t="s">
        <v>13496</v>
      </c>
      <c r="B287" s="45" t="s">
        <v>9</v>
      </c>
      <c r="C287" s="45">
        <v>89402</v>
      </c>
      <c r="D287" s="44" t="str">
        <f>IF(B287="MP-MT",VLOOKUP(C287,'COMPOSIÇÃO DE PREÇO UNITÁRIO'!A:B,2,FALSE),VLOOKUP(C287,'SINAPI_COMPOSIÇÕES 062020'!A:B,2,FALSE))</f>
        <v>TUBO, PVC, SOLDÁVEL, DN 25MM, INSTALADO EM RAMAL DE DISTRIBUIÇÃO DE ÁGUA - FORNECIMENTO E INSTALAÇÃO. AF_12/2014</v>
      </c>
      <c r="E287" s="45" t="str">
        <f>IF(B287="MP-MT",VLOOKUP(C287,'COMPOSIÇÃO DE PREÇO UNITÁRIO'!A:H,8,FALSE),VLOOKUP(C287,'SINAPI_COMPOSIÇÕES 062020'!A:C,3,FALSE))</f>
        <v>M</v>
      </c>
      <c r="F287" s="78">
        <f>0.06+16.86+88.95+5.02</f>
        <v>110.89</v>
      </c>
      <c r="G287" s="79">
        <f>IF(B287="MP-MT",VLOOKUP(CONCATENATE("TOTAL DO ÍTEM - ",C287),'COMPOSIÇÃO DE PREÇO UNITÁRIO'!A:H,8,FALSE),VLOOKUP(C287,'SINAPI_COMPOSIÇÕES 062020'!A:D,4,FALSE))</f>
        <v>6.63</v>
      </c>
      <c r="H287" s="79">
        <f t="shared" ref="H287:H344" si="66">TRUNC(G287*(1+$F$1),2)</f>
        <v>8.57</v>
      </c>
      <c r="I287" s="79">
        <f t="shared" ref="I287:I344" si="67">TRUNC(H287*F287,2)</f>
        <v>950.32</v>
      </c>
    </row>
    <row r="288" spans="1:9" ht="25.5" outlineLevel="2" x14ac:dyDescent="0.2">
      <c r="A288" s="45" t="s">
        <v>13497</v>
      </c>
      <c r="B288" s="45" t="s">
        <v>9</v>
      </c>
      <c r="C288" s="45">
        <v>89356</v>
      </c>
      <c r="D288" s="44" t="str">
        <f>IF(B288="MP-MT",VLOOKUP(C288,'COMPOSIÇÃO DE PREÇO UNITÁRIO'!A:B,2,FALSE),VLOOKUP(C288,'SINAPI_COMPOSIÇÕES 062020'!A:B,2,FALSE))</f>
        <v>TUBO, PVC, SOLDÁVEL, DN 25MM, INSTALADO EM RAMAL OU SUB-RAMAL DE ÁGUA - FORNECIMENTO E INSTALAÇÃO. AF_12/2014</v>
      </c>
      <c r="E288" s="45" t="str">
        <f>IF(B288="MP-MT",VLOOKUP(C288,'COMPOSIÇÃO DE PREÇO UNITÁRIO'!A:H,8,FALSE),VLOOKUP(C288,'SINAPI_COMPOSIÇÕES 062020'!A:C,3,FALSE))</f>
        <v>M</v>
      </c>
      <c r="F288" s="78">
        <f>0.1+80.66+19.88</f>
        <v>100.63999999999999</v>
      </c>
      <c r="G288" s="79">
        <f>IF(B288="MP-MT",VLOOKUP(CONCATENATE("TOTAL DO ÍTEM - ",C288),'COMPOSIÇÃO DE PREÇO UNITÁRIO'!A:H,8,FALSE),VLOOKUP(C288,'SINAPI_COMPOSIÇÕES 062020'!A:D,4,FALSE))</f>
        <v>14.9</v>
      </c>
      <c r="H288" s="79">
        <f t="shared" si="66"/>
        <v>19.27</v>
      </c>
      <c r="I288" s="79">
        <f t="shared" si="67"/>
        <v>1939.33</v>
      </c>
    </row>
    <row r="289" spans="1:9" ht="38.25" outlineLevel="2" x14ac:dyDescent="0.2">
      <c r="A289" s="45" t="s">
        <v>13498</v>
      </c>
      <c r="B289" s="45" t="s">
        <v>9</v>
      </c>
      <c r="C289" s="45">
        <v>94651</v>
      </c>
      <c r="D289" s="44" t="str">
        <f>IF(B289="MP-MT",VLOOKUP(C289,'COMPOSIÇÃO DE PREÇO UNITÁRIO'!A:B,2,FALSE),VLOOKUP(C289,'SINAPI_COMPOSIÇÕES 062020'!A:B,2,FALSE))</f>
        <v>TUBO, PVC, SOLDÁVEL, DN 50 MM, INSTALADO EM RESERVAÇÃO DE ÁGUA DE EDIFICAÇÃO QUE POSSUA RESERVATÓRIO DE FIBRA/FIBROCIMENTO   FORNECIMENTO E INSTALAÇÃO. AF_06/2016</v>
      </c>
      <c r="E289" s="45" t="str">
        <f>IF(B289="MP-MT",VLOOKUP(C289,'COMPOSIÇÃO DE PREÇO UNITÁRIO'!A:H,8,FALSE),VLOOKUP(C289,'SINAPI_COMPOSIÇÕES 062020'!A:C,3,FALSE))</f>
        <v>M</v>
      </c>
      <c r="F289" s="78">
        <v>46.79</v>
      </c>
      <c r="G289" s="79">
        <f>IF(B289="MP-MT",VLOOKUP(CONCATENATE("TOTAL DO ÍTEM - ",C289),'COMPOSIÇÃO DE PREÇO UNITÁRIO'!A:H,8,FALSE),VLOOKUP(C289,'SINAPI_COMPOSIÇÕES 062020'!A:D,4,FALSE))</f>
        <v>16.84</v>
      </c>
      <c r="H289" s="79">
        <f t="shared" si="66"/>
        <v>21.78</v>
      </c>
      <c r="I289" s="79">
        <f t="shared" si="67"/>
        <v>1019.08</v>
      </c>
    </row>
    <row r="290" spans="1:9" ht="38.25" outlineLevel="2" x14ac:dyDescent="0.2">
      <c r="A290" s="45" t="s">
        <v>13499</v>
      </c>
      <c r="B290" s="45" t="s">
        <v>9</v>
      </c>
      <c r="C290" s="45">
        <v>94653</v>
      </c>
      <c r="D290" s="44" t="str">
        <f>IF(B290="MP-MT",VLOOKUP(C290,'COMPOSIÇÃO DE PREÇO UNITÁRIO'!A:B,2,FALSE),VLOOKUP(C290,'SINAPI_COMPOSIÇÕES 062020'!A:B,2,FALSE))</f>
        <v>TUBO, PVC, SOLDÁVEL, DN 75 MM, INSTALADO EM RESERVAÇÃO DE ÁGUA DE EDIFICAÇÃO QUE POSSUA RESERVATÓRIO DE FIBRA/FIBROCIMENTO   FORNECIMENTO E INSTALAÇÃO. AF_06/2016</v>
      </c>
      <c r="E290" s="45" t="str">
        <f>IF(B290="MP-MT",VLOOKUP(C290,'COMPOSIÇÃO DE PREÇO UNITÁRIO'!A:H,8,FALSE),VLOOKUP(C290,'SINAPI_COMPOSIÇÕES 062020'!A:C,3,FALSE))</f>
        <v>M</v>
      </c>
      <c r="F290" s="78">
        <f>0.44+49.06+3.34</f>
        <v>52.84</v>
      </c>
      <c r="G290" s="79">
        <f>IF(B290="MP-MT",VLOOKUP(CONCATENATE("TOTAL DO ÍTEM - ",C290),'COMPOSIÇÃO DE PREÇO UNITÁRIO'!A:H,8,FALSE),VLOOKUP(C290,'SINAPI_COMPOSIÇÕES 062020'!A:D,4,FALSE))</f>
        <v>39.31</v>
      </c>
      <c r="H290" s="79">
        <f t="shared" si="66"/>
        <v>50.86</v>
      </c>
      <c r="I290" s="79">
        <f t="shared" si="67"/>
        <v>2687.44</v>
      </c>
    </row>
    <row r="291" spans="1:9" ht="25.5" outlineLevel="2" x14ac:dyDescent="0.2">
      <c r="A291" s="45" t="s">
        <v>13500</v>
      </c>
      <c r="B291" s="45" t="s">
        <v>194</v>
      </c>
      <c r="C291" s="45" t="s">
        <v>12240</v>
      </c>
      <c r="D291" s="44" t="str">
        <f>IF(B291="MP-MT",VLOOKUP(C291,'COMPOSIÇÃO DE PREÇO UNITÁRIO'!A:B,2,FALSE),VLOOKUP(C291,'SINAPI_COMPOSIÇÕES 062020'!A:B,2,FALSE))</f>
        <v>BUCHA DE REDUÇÃO, PVC, SOLDÁVEL, DN 25MM X 20MM, INSTALADO EM RAMAL OU SUB-RAMAL DE ÁGUA - FORNECIMENTO E INSTALAÇÃO</v>
      </c>
      <c r="E291" s="45" t="str">
        <f>IF(B291="MP-MT",VLOOKUP(C291,'COMPOSIÇÃO DE PREÇO UNITÁRIO'!A:H,8,FALSE),VLOOKUP(C291,'SINAPI_COMPOSIÇÕES 062020'!A:C,3,FALSE))</f>
        <v>UND</v>
      </c>
      <c r="F291" s="78">
        <v>4</v>
      </c>
      <c r="G291" s="79">
        <f>IF(B291="MP-MT",VLOOKUP(CONCATENATE("TOTAL DO ÍTEM - ",C291),'COMPOSIÇÃO DE PREÇO UNITÁRIO'!A:H,8,FALSE),VLOOKUP(C291,'SINAPI_COMPOSIÇÕES 062020'!A:D,4,FALSE))</f>
        <v>5.71</v>
      </c>
      <c r="H291" s="79">
        <f t="shared" si="66"/>
        <v>7.38</v>
      </c>
      <c r="I291" s="79">
        <f t="shared" si="67"/>
        <v>29.52</v>
      </c>
    </row>
    <row r="292" spans="1:9" ht="25.5" outlineLevel="2" x14ac:dyDescent="0.2">
      <c r="A292" s="45" t="s">
        <v>13501</v>
      </c>
      <c r="B292" s="45" t="s">
        <v>194</v>
      </c>
      <c r="C292" s="45" t="s">
        <v>12244</v>
      </c>
      <c r="D292" s="44" t="str">
        <f>IF(B292="MP-MT",VLOOKUP(C292,'COMPOSIÇÃO DE PREÇO UNITÁRIO'!A:B,2,FALSE),VLOOKUP(C292,'SINAPI_COMPOSIÇÕES 062020'!A:B,2,FALSE))</f>
        <v>BUCHA DE REDUÇÃO, PVC, SOLDÁVEL, DN 75MM X 50MM, INSTALADO EM RAMAL OU SUB-RAMAL DE ÁGUA - FORNECIMENTO E INSTALAÇÃO</v>
      </c>
      <c r="E292" s="45" t="str">
        <f>IF(B292="MP-MT",VLOOKUP(C292,'COMPOSIÇÃO DE PREÇO UNITÁRIO'!A:H,8,FALSE),VLOOKUP(C292,'SINAPI_COMPOSIÇÕES 062020'!A:C,3,FALSE))</f>
        <v>UND</v>
      </c>
      <c r="F292" s="78">
        <v>2</v>
      </c>
      <c r="G292" s="79">
        <f>IF(B292="MP-MT",VLOOKUP(CONCATENATE("TOTAL DO ÍTEM - ",C292),'COMPOSIÇÃO DE PREÇO UNITÁRIO'!A:H,8,FALSE),VLOOKUP(C292,'SINAPI_COMPOSIÇÕES 062020'!A:D,4,FALSE))</f>
        <v>18.100000000000001</v>
      </c>
      <c r="H292" s="79">
        <f t="shared" si="66"/>
        <v>23.41</v>
      </c>
      <c r="I292" s="79">
        <f t="shared" si="67"/>
        <v>46.82</v>
      </c>
    </row>
    <row r="293" spans="1:9" ht="25.5" outlineLevel="2" x14ac:dyDescent="0.2">
      <c r="A293" s="45" t="s">
        <v>13502</v>
      </c>
      <c r="B293" s="45" t="s">
        <v>194</v>
      </c>
      <c r="C293" s="45" t="s">
        <v>12247</v>
      </c>
      <c r="D293" s="44" t="str">
        <f>IF(B293="MP-MT",VLOOKUP(C293,'COMPOSIÇÃO DE PREÇO UNITÁRIO'!A:B,2,FALSE),VLOOKUP(C293,'SINAPI_COMPOSIÇÕES 062020'!A:B,2,FALSE))</f>
        <v>BUCHA DE REDUÇÃO, PVC, SOLDÁVEL, DN 75MM X 60MM, INSTALADO EM RAMAL OU SUB-RAMAL DE ÁGUA - FORNECIMENTO E INSTALAÇÃO</v>
      </c>
      <c r="E293" s="45" t="str">
        <f>IF(B293="MP-MT",VLOOKUP(C293,'COMPOSIÇÃO DE PREÇO UNITÁRIO'!A:H,8,FALSE),VLOOKUP(C293,'SINAPI_COMPOSIÇÕES 062020'!A:C,3,FALSE))</f>
        <v>UND</v>
      </c>
      <c r="F293" s="78">
        <v>2</v>
      </c>
      <c r="G293" s="79">
        <f>IF(B293="MP-MT",VLOOKUP(CONCATENATE("TOTAL DO ÍTEM - ",C293),'COMPOSIÇÃO DE PREÇO UNITÁRIO'!A:H,8,FALSE),VLOOKUP(C293,'SINAPI_COMPOSIÇÕES 062020'!A:D,4,FALSE))</f>
        <v>17.78</v>
      </c>
      <c r="H293" s="79">
        <f t="shared" si="66"/>
        <v>23</v>
      </c>
      <c r="I293" s="79">
        <f t="shared" si="67"/>
        <v>46</v>
      </c>
    </row>
    <row r="294" spans="1:9" ht="25.5" outlineLevel="2" x14ac:dyDescent="0.2">
      <c r="A294" s="45" t="s">
        <v>13503</v>
      </c>
      <c r="B294" s="45" t="s">
        <v>194</v>
      </c>
      <c r="C294" s="45" t="s">
        <v>12251</v>
      </c>
      <c r="D294" s="44" t="str">
        <f>IF(B294="MP-MT",VLOOKUP(C294,'COMPOSIÇÃO DE PREÇO UNITÁRIO'!A:B,2,FALSE),VLOOKUP(C294,'SINAPI_COMPOSIÇÕES 062020'!A:B,2,FALSE))</f>
        <v>BUCHA DE REDUÇÃO, PVC, SOLDÁVEL, DN 50MM X 25MM, INSTALADO EM RAMAL OU SUB-RAMAL DE ÁGUA - FORNECIMENTO E INSTALAÇÃO</v>
      </c>
      <c r="E294" s="45" t="str">
        <f>IF(B294="MP-MT",VLOOKUP(C294,'COMPOSIÇÃO DE PREÇO UNITÁRIO'!A:H,8,FALSE),VLOOKUP(C294,'SINAPI_COMPOSIÇÕES 062020'!A:C,3,FALSE))</f>
        <v>UND</v>
      </c>
      <c r="F294" s="78">
        <v>15</v>
      </c>
      <c r="G294" s="79">
        <f>IF(B294="MP-MT",VLOOKUP(CONCATENATE("TOTAL DO ÍTEM - ",C294),'COMPOSIÇÃO DE PREÇO UNITÁRIO'!A:H,8,FALSE),VLOOKUP(C294,'SINAPI_COMPOSIÇÕES 062020'!A:D,4,FALSE))</f>
        <v>8.5500000000000007</v>
      </c>
      <c r="H294" s="79">
        <f t="shared" si="66"/>
        <v>11.06</v>
      </c>
      <c r="I294" s="79">
        <f t="shared" si="67"/>
        <v>165.9</v>
      </c>
    </row>
    <row r="295" spans="1:9" ht="25.5" outlineLevel="2" x14ac:dyDescent="0.2">
      <c r="A295" s="45" t="s">
        <v>13504</v>
      </c>
      <c r="B295" s="45" t="s">
        <v>9</v>
      </c>
      <c r="C295" s="45">
        <v>89362</v>
      </c>
      <c r="D295" s="44" t="str">
        <f>IF(B295="MP-MT",VLOOKUP(C295,'COMPOSIÇÃO DE PREÇO UNITÁRIO'!A:B,2,FALSE),VLOOKUP(C295,'SINAPI_COMPOSIÇÕES 062020'!A:B,2,FALSE))</f>
        <v>JOELHO 90 GRAUS, PVC, SOLDÁVEL, DN 25MM, INSTALADO EM RAMAL OU SUB-RAMAL DE ÁGUA - FORNECIMENTO E INSTALAÇÃO. AF_12/2014</v>
      </c>
      <c r="E295" s="45" t="str">
        <f>IF(B295="MP-MT",VLOOKUP(C295,'COMPOSIÇÃO DE PREÇO UNITÁRIO'!A:H,8,FALSE),VLOOKUP(C295,'SINAPI_COMPOSIÇÕES 062020'!A:C,3,FALSE))</f>
        <v>UN</v>
      </c>
      <c r="F295" s="78">
        <f>3+22+41</f>
        <v>66</v>
      </c>
      <c r="G295" s="79">
        <f>IF(B295="MP-MT",VLOOKUP(CONCATENATE("TOTAL DO ÍTEM - ",C295),'COMPOSIÇÃO DE PREÇO UNITÁRIO'!A:H,8,FALSE),VLOOKUP(C295,'SINAPI_COMPOSIÇÕES 062020'!A:D,4,FALSE))</f>
        <v>6.52</v>
      </c>
      <c r="H295" s="79">
        <f t="shared" si="66"/>
        <v>8.43</v>
      </c>
      <c r="I295" s="79">
        <f t="shared" si="67"/>
        <v>556.38</v>
      </c>
    </row>
    <row r="296" spans="1:9" ht="25.5" outlineLevel="2" x14ac:dyDescent="0.2">
      <c r="A296" s="45" t="s">
        <v>13505</v>
      </c>
      <c r="B296" s="45" t="s">
        <v>9</v>
      </c>
      <c r="C296" s="45">
        <v>89363</v>
      </c>
      <c r="D296" s="44" t="str">
        <f>IF(B296="MP-MT",VLOOKUP(C296,'COMPOSIÇÃO DE PREÇO UNITÁRIO'!A:B,2,FALSE),VLOOKUP(C296,'SINAPI_COMPOSIÇÕES 062020'!A:B,2,FALSE))</f>
        <v>JOELHO 45 GRAUS, PVC, SOLDÁVEL, DN 25MM, INSTALADO EM RAMAL OU SUB-RAMAL DE ÁGUA - FORNECIMENTO E INSTALAÇÃO. AF_12/2014</v>
      </c>
      <c r="E296" s="45" t="str">
        <f>IF(B296="MP-MT",VLOOKUP(C296,'COMPOSIÇÃO DE PREÇO UNITÁRIO'!A:H,8,FALSE),VLOOKUP(C296,'SINAPI_COMPOSIÇÕES 062020'!A:C,3,FALSE))</f>
        <v>UN</v>
      </c>
      <c r="F296" s="78">
        <v>2</v>
      </c>
      <c r="G296" s="79">
        <f>IF(B296="MP-MT",VLOOKUP(CONCATENATE("TOTAL DO ÍTEM - ",C296),'COMPOSIÇÃO DE PREÇO UNITÁRIO'!A:H,8,FALSE),VLOOKUP(C296,'SINAPI_COMPOSIÇÕES 062020'!A:D,4,FALSE))</f>
        <v>7.1</v>
      </c>
      <c r="H296" s="79">
        <f t="shared" si="66"/>
        <v>9.18</v>
      </c>
      <c r="I296" s="79">
        <f t="shared" si="67"/>
        <v>18.36</v>
      </c>
    </row>
    <row r="297" spans="1:9" ht="38.25" outlineLevel="2" x14ac:dyDescent="0.2">
      <c r="A297" s="45" t="s">
        <v>13506</v>
      </c>
      <c r="B297" s="45" t="s">
        <v>9</v>
      </c>
      <c r="C297" s="45">
        <v>94678</v>
      </c>
      <c r="D297" s="44" t="str">
        <f>IF(B297="MP-MT",VLOOKUP(C297,'COMPOSIÇÃO DE PREÇO UNITÁRIO'!A:B,2,FALSE),VLOOKUP(C297,'SINAPI_COMPOSIÇÕES 062020'!A:B,2,FALSE))</f>
        <v>JOELHO 90 GRAUS, PVC, SOLDÁVEL, DN 50 MM INSTALADO EM RESERVAÇÃO DE ÁGUA DE EDIFICAÇÃO QUE POSSUA RESERVATÓRIO DE FIBRA/FIBROCIMENTO   FORNECIMENTO E INSTALAÇÃO. AF_06/2016</v>
      </c>
      <c r="E297" s="45" t="str">
        <f>IF(B297="MP-MT",VLOOKUP(C297,'COMPOSIÇÃO DE PREÇO UNITÁRIO'!A:H,8,FALSE),VLOOKUP(C297,'SINAPI_COMPOSIÇÕES 062020'!A:C,3,FALSE))</f>
        <v>UN</v>
      </c>
      <c r="F297" s="78">
        <v>8</v>
      </c>
      <c r="G297" s="79">
        <f>IF(B297="MP-MT",VLOOKUP(CONCATENATE("TOTAL DO ÍTEM - ",C297),'COMPOSIÇÃO DE PREÇO UNITÁRIO'!A:H,8,FALSE),VLOOKUP(C297,'SINAPI_COMPOSIÇÕES 062020'!A:D,4,FALSE))</f>
        <v>12.83</v>
      </c>
      <c r="H297" s="79">
        <f t="shared" si="66"/>
        <v>16.600000000000001</v>
      </c>
      <c r="I297" s="79">
        <f t="shared" si="67"/>
        <v>132.80000000000001</v>
      </c>
    </row>
    <row r="298" spans="1:9" ht="38.25" outlineLevel="2" x14ac:dyDescent="0.2">
      <c r="A298" s="45" t="s">
        <v>13507</v>
      </c>
      <c r="B298" s="45" t="s">
        <v>9</v>
      </c>
      <c r="C298" s="45">
        <v>94682</v>
      </c>
      <c r="D298" s="44" t="str">
        <f>IF(B298="MP-MT",VLOOKUP(C298,'COMPOSIÇÃO DE PREÇO UNITÁRIO'!A:B,2,FALSE),VLOOKUP(C298,'SINAPI_COMPOSIÇÕES 062020'!A:B,2,FALSE))</f>
        <v>JOELHO 90 GRAUS, PVC, SOLDÁVEL, DN 75 MM INSTALADO EM RESERVAÇÃO DE ÁGUA DE EDIFICAÇÃO QUE POSSUA RESERVATÓRIO DE FIBRA/FIBROCIMENTO   FORNECIMENTO E INSTALAÇÃO. AF_06/2016</v>
      </c>
      <c r="E298" s="45" t="str">
        <f>IF(B298="MP-MT",VLOOKUP(C298,'COMPOSIÇÃO DE PREÇO UNITÁRIO'!A:H,8,FALSE),VLOOKUP(C298,'SINAPI_COMPOSIÇÕES 062020'!A:C,3,FALSE))</f>
        <v>UN</v>
      </c>
      <c r="F298" s="78">
        <f>1+6</f>
        <v>7</v>
      </c>
      <c r="G298" s="79">
        <f>IF(B298="MP-MT",VLOOKUP(CONCATENATE("TOTAL DO ÍTEM - ",C298),'COMPOSIÇÃO DE PREÇO UNITÁRIO'!A:H,8,FALSE),VLOOKUP(C298,'SINAPI_COMPOSIÇÕES 062020'!A:D,4,FALSE))</f>
        <v>85.17</v>
      </c>
      <c r="H298" s="79">
        <f t="shared" si="66"/>
        <v>110.19</v>
      </c>
      <c r="I298" s="79">
        <f t="shared" si="67"/>
        <v>771.33</v>
      </c>
    </row>
    <row r="299" spans="1:9" ht="38.25" outlineLevel="2" x14ac:dyDescent="0.2">
      <c r="A299" s="45" t="s">
        <v>13508</v>
      </c>
      <c r="B299" s="45" t="s">
        <v>9</v>
      </c>
      <c r="C299" s="45">
        <v>90373</v>
      </c>
      <c r="D299" s="44" t="str">
        <f>IF(B299="MP-MT",VLOOKUP(C299,'COMPOSIÇÃO DE PREÇO UNITÁRIO'!A:B,2,FALSE),VLOOKUP(C299,'SINAPI_COMPOSIÇÕES 062020'!A:B,2,FALSE))</f>
        <v>JOELHO 90 GRAUS COM BUCHA DE LATÃO, PVC, SOLDÁVEL, DN 25MM, X 1/2 INSTALADO EM RAMAL OU SUB-RAMAL DE ÁGUA - FORNECIMENTO E INSTALAÇÃO. AF_12/2014</v>
      </c>
      <c r="E299" s="45" t="str">
        <f>IF(B299="MP-MT",VLOOKUP(C299,'COMPOSIÇÃO DE PREÇO UNITÁRIO'!A:H,8,FALSE),VLOOKUP(C299,'SINAPI_COMPOSIÇÕES 062020'!A:C,3,FALSE))</f>
        <v>UN</v>
      </c>
      <c r="F299" s="78">
        <f>2+46</f>
        <v>48</v>
      </c>
      <c r="G299" s="79">
        <f>IF(B299="MP-MT",VLOOKUP(CONCATENATE("TOTAL DO ÍTEM - ",C299),'COMPOSIÇÃO DE PREÇO UNITÁRIO'!A:H,8,FALSE),VLOOKUP(C299,'SINAPI_COMPOSIÇÕES 062020'!A:D,4,FALSE))</f>
        <v>10.61</v>
      </c>
      <c r="H299" s="79">
        <f t="shared" si="66"/>
        <v>13.72</v>
      </c>
      <c r="I299" s="79">
        <f t="shared" si="67"/>
        <v>658.56</v>
      </c>
    </row>
    <row r="300" spans="1:9" ht="25.5" outlineLevel="2" x14ac:dyDescent="0.2">
      <c r="A300" s="45" t="s">
        <v>13509</v>
      </c>
      <c r="B300" s="45" t="s">
        <v>9</v>
      </c>
      <c r="C300" s="45">
        <v>89367</v>
      </c>
      <c r="D300" s="44" t="str">
        <f>IF(B300="MP-MT",VLOOKUP(C300,'COMPOSIÇÃO DE PREÇO UNITÁRIO'!A:B,2,FALSE),VLOOKUP(C300,'SINAPI_COMPOSIÇÕES 062020'!A:B,2,FALSE))</f>
        <v>JOELHO 90 GRAUS, PVC, SOLDÁVEL, DN 32MM, INSTALADO EM RAMAL OU SUB-RAMAL DE ÁGUA - FORNECIMENTO E INSTALAÇÃO. AF_12/2014</v>
      </c>
      <c r="E300" s="45" t="str">
        <f>IF(B300="MP-MT",VLOOKUP(C300,'COMPOSIÇÃO DE PREÇO UNITÁRIO'!A:H,8,FALSE),VLOOKUP(C300,'SINAPI_COMPOSIÇÕES 062020'!A:C,3,FALSE))</f>
        <v>UN</v>
      </c>
      <c r="F300" s="78">
        <f>13+6</f>
        <v>19</v>
      </c>
      <c r="G300" s="79">
        <f>IF(B300="MP-MT",VLOOKUP(CONCATENATE("TOTAL DO ÍTEM - ",C300),'COMPOSIÇÃO DE PREÇO UNITÁRIO'!A:H,8,FALSE),VLOOKUP(C300,'SINAPI_COMPOSIÇÕES 062020'!A:D,4,FALSE))</f>
        <v>8.9499999999999993</v>
      </c>
      <c r="H300" s="79">
        <f t="shared" ref="H300" si="68">TRUNC(G300*(1+$F$1),2)</f>
        <v>11.57</v>
      </c>
      <c r="I300" s="79">
        <f t="shared" ref="I300" si="69">TRUNC(H300*F300,2)</f>
        <v>219.83</v>
      </c>
    </row>
    <row r="301" spans="1:9" ht="38.25" outlineLevel="2" x14ac:dyDescent="0.2">
      <c r="A301" s="45" t="s">
        <v>13510</v>
      </c>
      <c r="B301" s="45" t="s">
        <v>9</v>
      </c>
      <c r="C301" s="45">
        <v>94683</v>
      </c>
      <c r="D301" s="44" t="str">
        <f>IF(B301="MP-MT",VLOOKUP(C301,'COMPOSIÇÃO DE PREÇO UNITÁRIO'!A:B,2,FALSE),VLOOKUP(C301,'SINAPI_COMPOSIÇÕES 062020'!A:B,2,FALSE))</f>
        <v>CURVA 90 GRAUS, PVC, SOLDÁVEL, DN 75 MM, INSTALADO EM RESERVAÇÃO DE ÁGUA DE EDIFICAÇÃO QUE POSSUA RESERVATÓRIO DE FIBRA/FIBROCIMENTO   FORNECIMENTO E INSTALAÇÃO. AF_06/2016</v>
      </c>
      <c r="E301" s="45" t="str">
        <f>IF(B301="MP-MT",VLOOKUP(C301,'COMPOSIÇÃO DE PREÇO UNITÁRIO'!A:H,8,FALSE),VLOOKUP(C301,'SINAPI_COMPOSIÇÕES 062020'!A:C,3,FALSE))</f>
        <v>UN</v>
      </c>
      <c r="F301" s="78">
        <v>6</v>
      </c>
      <c r="G301" s="79">
        <f>IF(B301="MP-MT",VLOOKUP(CONCATENATE("TOTAL DO ÍTEM - ",C301),'COMPOSIÇÃO DE PREÇO UNITÁRIO'!A:H,8,FALSE),VLOOKUP(C301,'SINAPI_COMPOSIÇÕES 062020'!A:D,4,FALSE))</f>
        <v>56.1</v>
      </c>
      <c r="H301" s="79">
        <f t="shared" si="66"/>
        <v>72.58</v>
      </c>
      <c r="I301" s="79">
        <f t="shared" si="67"/>
        <v>435.48</v>
      </c>
    </row>
    <row r="302" spans="1:9" ht="38.25" outlineLevel="2" x14ac:dyDescent="0.2">
      <c r="A302" s="45" t="s">
        <v>13511</v>
      </c>
      <c r="B302" s="45" t="s">
        <v>9</v>
      </c>
      <c r="C302" s="45">
        <v>94663</v>
      </c>
      <c r="D302" s="44" t="str">
        <f>IF(B302="MP-MT",VLOOKUP(C302,'COMPOSIÇÃO DE PREÇO UNITÁRIO'!A:B,2,FALSE),VLOOKUP(C302,'SINAPI_COMPOSIÇÕES 062020'!A:B,2,FALSE))</f>
        <v>LUVA, PVC, SOLDÁVEL, DN 50 MM, INSTALADO EM RESERVAÇÃO DE ÁGUA DE EDIFICAÇÃO QUE POSSUA RESERVATÓRIO DE FIBRA/FIBROCIMENTO   FORNECIMENTO E INSTALAÇÃO. AF_06/2016</v>
      </c>
      <c r="E302" s="45" t="str">
        <f>IF(B302="MP-MT",VLOOKUP(C302,'COMPOSIÇÃO DE PREÇO UNITÁRIO'!A:H,8,FALSE),VLOOKUP(C302,'SINAPI_COMPOSIÇÕES 062020'!A:C,3,FALSE))</f>
        <v>UN</v>
      </c>
      <c r="F302" s="78">
        <v>2</v>
      </c>
      <c r="G302" s="79">
        <f>IF(B302="MP-MT",VLOOKUP(CONCATENATE("TOTAL DO ÍTEM - ",C302),'COMPOSIÇÃO DE PREÇO UNITÁRIO'!A:H,8,FALSE),VLOOKUP(C302,'SINAPI_COMPOSIÇÕES 062020'!A:D,4,FALSE))</f>
        <v>10.24</v>
      </c>
      <c r="H302" s="79">
        <f t="shared" si="66"/>
        <v>13.24</v>
      </c>
      <c r="I302" s="79">
        <f t="shared" si="67"/>
        <v>26.48</v>
      </c>
    </row>
    <row r="303" spans="1:9" ht="38.25" outlineLevel="2" x14ac:dyDescent="0.2">
      <c r="A303" s="45" t="s">
        <v>13512</v>
      </c>
      <c r="B303" s="45" t="s">
        <v>9</v>
      </c>
      <c r="C303" s="45">
        <v>89385</v>
      </c>
      <c r="D303" s="44" t="str">
        <f>IF(B303="MP-MT",VLOOKUP(C303,'COMPOSIÇÃO DE PREÇO UNITÁRIO'!A:B,2,FALSE),VLOOKUP(C303,'SINAPI_COMPOSIÇÕES 062020'!A:B,2,FALSE))</f>
        <v>LUVA SOLDÁVEL E COM ROSCA, PVC, SOLDÁVEL, DN 25MM X 3/4, INSTALADO EM RAMAL OU SUB-RAMAL DE ÁGUA - FORNECIMENTO E INSTALAÇÃO. AF_12/2014</v>
      </c>
      <c r="E303" s="45" t="str">
        <f>IF(B303="MP-MT",VLOOKUP(C303,'COMPOSIÇÃO DE PREÇO UNITÁRIO'!A:H,8,FALSE),VLOOKUP(C303,'SINAPI_COMPOSIÇÕES 062020'!A:C,3,FALSE))</f>
        <v>UN</v>
      </c>
      <c r="F303" s="78">
        <v>18</v>
      </c>
      <c r="G303" s="79">
        <f>IF(B303="MP-MT",VLOOKUP(CONCATENATE("TOTAL DO ÍTEM - ",C303),'COMPOSIÇÃO DE PREÇO UNITÁRIO'!A:H,8,FALSE),VLOOKUP(C303,'SINAPI_COMPOSIÇÕES 062020'!A:D,4,FALSE))</f>
        <v>5.61</v>
      </c>
      <c r="H303" s="79">
        <f t="shared" ref="H303:H304" si="70">TRUNC(G303*(1+$F$1),2)</f>
        <v>7.25</v>
      </c>
      <c r="I303" s="79">
        <f t="shared" ref="I303:I304" si="71">TRUNC(H303*F303,2)</f>
        <v>130.5</v>
      </c>
    </row>
    <row r="304" spans="1:9" ht="38.25" outlineLevel="2" x14ac:dyDescent="0.2">
      <c r="A304" s="45" t="s">
        <v>13513</v>
      </c>
      <c r="B304" s="45" t="s">
        <v>9</v>
      </c>
      <c r="C304" s="45">
        <v>89389</v>
      </c>
      <c r="D304" s="44" t="str">
        <f>IF(B304="MP-MT",VLOOKUP(C304,'COMPOSIÇÃO DE PREÇO UNITÁRIO'!A:B,2,FALSE),VLOOKUP(C304,'SINAPI_COMPOSIÇÕES 062020'!A:B,2,FALSE))</f>
        <v>LUVA SOLDÁVEL E COM ROSCA, PVC, SOLDÁVEL, DN 32MM X 1, INSTALADO EM RAMAL OU SUB-RAMAL DE ÁGUA - FORNECIMENTO E INSTALAÇÃO. AF_12/2014</v>
      </c>
      <c r="E304" s="45" t="str">
        <f>IF(B304="MP-MT",VLOOKUP(C304,'COMPOSIÇÃO DE PREÇO UNITÁRIO'!A:H,8,FALSE),VLOOKUP(C304,'SINAPI_COMPOSIÇÕES 062020'!A:C,3,FALSE))</f>
        <v>UN</v>
      </c>
      <c r="F304" s="78">
        <v>3</v>
      </c>
      <c r="G304" s="79">
        <f>IF(B304="MP-MT",VLOOKUP(CONCATENATE("TOTAL DO ÍTEM - ",C304),'COMPOSIÇÃO DE PREÇO UNITÁRIO'!A:H,8,FALSE),VLOOKUP(C304,'SINAPI_COMPOSIÇÕES 062020'!A:D,4,FALSE))</f>
        <v>9.44</v>
      </c>
      <c r="H304" s="79">
        <f t="shared" si="70"/>
        <v>12.21</v>
      </c>
      <c r="I304" s="79">
        <f t="shared" si="71"/>
        <v>36.630000000000003</v>
      </c>
    </row>
    <row r="305" spans="1:9" ht="38.25" outlineLevel="2" x14ac:dyDescent="0.2">
      <c r="A305" s="45" t="s">
        <v>13514</v>
      </c>
      <c r="B305" s="45" t="s">
        <v>9</v>
      </c>
      <c r="C305" s="45">
        <v>89397</v>
      </c>
      <c r="D305" s="44" t="str">
        <f>IF(B305="MP-MT",VLOOKUP(C305,'COMPOSIÇÃO DE PREÇO UNITÁRIO'!A:B,2,FALSE),VLOOKUP(C305,'SINAPI_COMPOSIÇÕES 062020'!A:B,2,FALSE))</f>
        <v>TÊ DE REDUÇÃO, PVC, SOLDÁVEL, DN 25MM X 20MM, INSTALADO EM RAMAL OU SUB-RAMAL DE ÁGUA - FORNECIMENTO E INSTALAÇÃO. AF_12/2014</v>
      </c>
      <c r="E305" s="45" t="str">
        <f>IF(B305="MP-MT",VLOOKUP(C305,'COMPOSIÇÃO DE PREÇO UNITÁRIO'!A:H,8,FALSE),VLOOKUP(C305,'SINAPI_COMPOSIÇÕES 062020'!A:C,3,FALSE))</f>
        <v>UN</v>
      </c>
      <c r="F305" s="78">
        <v>1</v>
      </c>
      <c r="G305" s="79">
        <f>IF(B305="MP-MT",VLOOKUP(CONCATENATE("TOTAL DO ÍTEM - ",C305),'COMPOSIÇÃO DE PREÇO UNITÁRIO'!A:H,8,FALSE),VLOOKUP(C305,'SINAPI_COMPOSIÇÕES 062020'!A:D,4,FALSE))</f>
        <v>10.68</v>
      </c>
      <c r="H305" s="79">
        <f t="shared" si="66"/>
        <v>13.81</v>
      </c>
      <c r="I305" s="79">
        <f t="shared" si="67"/>
        <v>13.81</v>
      </c>
    </row>
    <row r="306" spans="1:9" ht="25.5" outlineLevel="2" x14ac:dyDescent="0.2">
      <c r="A306" s="45" t="s">
        <v>13515</v>
      </c>
      <c r="B306" s="45" t="s">
        <v>9</v>
      </c>
      <c r="C306" s="45">
        <v>89627</v>
      </c>
      <c r="D306" s="44" t="str">
        <f>IF(B306="MP-MT",VLOOKUP(C306,'COMPOSIÇÃO DE PREÇO UNITÁRIO'!A:B,2,FALSE),VLOOKUP(C306,'SINAPI_COMPOSIÇÕES 062020'!A:B,2,FALSE))</f>
        <v>TÊ DE REDUÇÃO, PVC, SOLDÁVEL, DN 50MM X 25MM, INSTALADO EM PRUMADA DE ÁGUA - FORNECIMENTO E INSTALAÇÃO. AF_12/2014</v>
      </c>
      <c r="E306" s="45" t="str">
        <f>IF(B306="MP-MT",VLOOKUP(C306,'COMPOSIÇÃO DE PREÇO UNITÁRIO'!A:H,8,FALSE),VLOOKUP(C306,'SINAPI_COMPOSIÇÕES 062020'!A:C,3,FALSE))</f>
        <v>UN</v>
      </c>
      <c r="F306" s="78">
        <v>3</v>
      </c>
      <c r="G306" s="79">
        <f>IF(B306="MP-MT",VLOOKUP(CONCATENATE("TOTAL DO ÍTEM - ",C306),'COMPOSIÇÃO DE PREÇO UNITÁRIO'!A:H,8,FALSE),VLOOKUP(C306,'SINAPI_COMPOSIÇÕES 062020'!A:D,4,FALSE))</f>
        <v>15.9</v>
      </c>
      <c r="H306" s="79">
        <f t="shared" si="66"/>
        <v>20.57</v>
      </c>
      <c r="I306" s="79">
        <f t="shared" si="67"/>
        <v>61.71</v>
      </c>
    </row>
    <row r="307" spans="1:9" ht="25.5" outlineLevel="2" x14ac:dyDescent="0.2">
      <c r="A307" s="45" t="s">
        <v>13516</v>
      </c>
      <c r="B307" s="45" t="s">
        <v>9</v>
      </c>
      <c r="C307" s="45">
        <v>89630</v>
      </c>
      <c r="D307" s="44" t="str">
        <f>IF(B307="MP-MT",VLOOKUP(C307,'COMPOSIÇÃO DE PREÇO UNITÁRIO'!A:B,2,FALSE),VLOOKUP(C307,'SINAPI_COMPOSIÇÕES 062020'!A:B,2,FALSE))</f>
        <v>TE DE REDUÇÃO, PVC, SOLDÁVEL, DN 75MM X 50MM, INSTALADO EM PRUMADA DE ÁGUA - FORNECIMENTO E INSTALAÇÃO. AF_12/2014</v>
      </c>
      <c r="E307" s="45" t="str">
        <f>IF(B307="MP-MT",VLOOKUP(C307,'COMPOSIÇÃO DE PREÇO UNITÁRIO'!A:H,8,FALSE),VLOOKUP(C307,'SINAPI_COMPOSIÇÕES 062020'!A:C,3,FALSE))</f>
        <v>UN</v>
      </c>
      <c r="F307" s="78">
        <v>9</v>
      </c>
      <c r="G307" s="79">
        <f>IF(B307="MP-MT",VLOOKUP(CONCATENATE("TOTAL DO ÍTEM - ",C307),'COMPOSIÇÃO DE PREÇO UNITÁRIO'!A:H,8,FALSE),VLOOKUP(C307,'SINAPI_COMPOSIÇÕES 062020'!A:D,4,FALSE))</f>
        <v>54.92</v>
      </c>
      <c r="H307" s="79">
        <f t="shared" si="66"/>
        <v>71.05</v>
      </c>
      <c r="I307" s="79">
        <f t="shared" si="67"/>
        <v>639.45000000000005</v>
      </c>
    </row>
    <row r="308" spans="1:9" ht="25.5" outlineLevel="2" x14ac:dyDescent="0.2">
      <c r="A308" s="45" t="s">
        <v>13517</v>
      </c>
      <c r="B308" s="45" t="s">
        <v>9</v>
      </c>
      <c r="C308" s="45">
        <v>89395</v>
      </c>
      <c r="D308" s="44" t="str">
        <f>IF(B308="MP-MT",VLOOKUP(C308,'COMPOSIÇÃO DE PREÇO UNITÁRIO'!A:B,2,FALSE),VLOOKUP(C308,'SINAPI_COMPOSIÇÕES 062020'!A:B,2,FALSE))</f>
        <v>TE, PVC, SOLDÁVEL, DN 25MM, INSTALADO EM RAMAL OU SUB-RAMAL DE ÁGUA - FORNECIMENTO E INSTALAÇÃO. AF_12/2014</v>
      </c>
      <c r="E308" s="45" t="str">
        <f>IF(B308="MP-MT",VLOOKUP(C308,'COMPOSIÇÃO DE PREÇO UNITÁRIO'!A:H,8,FALSE),VLOOKUP(C308,'SINAPI_COMPOSIÇÕES 062020'!A:C,3,FALSE))</f>
        <v>UN</v>
      </c>
      <c r="F308" s="78">
        <f>28+7</f>
        <v>35</v>
      </c>
      <c r="G308" s="79">
        <f>IF(B308="MP-MT",VLOOKUP(CONCATENATE("TOTAL DO ÍTEM - ",C308),'COMPOSIÇÃO DE PREÇO UNITÁRIO'!A:H,8,FALSE),VLOOKUP(C308,'SINAPI_COMPOSIÇÕES 062020'!A:D,4,FALSE))</f>
        <v>9.15</v>
      </c>
      <c r="H308" s="79">
        <f t="shared" si="66"/>
        <v>11.83</v>
      </c>
      <c r="I308" s="79">
        <f t="shared" si="67"/>
        <v>414.05</v>
      </c>
    </row>
    <row r="309" spans="1:9" ht="25.5" outlineLevel="2" x14ac:dyDescent="0.2">
      <c r="A309" s="45" t="s">
        <v>13518</v>
      </c>
      <c r="B309" s="45" t="s">
        <v>9</v>
      </c>
      <c r="C309" s="45">
        <v>89398</v>
      </c>
      <c r="D309" s="44" t="str">
        <f>IF(B309="MP-MT",VLOOKUP(C309,'COMPOSIÇÃO DE PREÇO UNITÁRIO'!A:B,2,FALSE),VLOOKUP(C309,'SINAPI_COMPOSIÇÕES 062020'!A:B,2,FALSE))</f>
        <v>TE, PVC, SOLDÁVEL, DN 32MM, INSTALADO EM RAMAL OU SUB-RAMAL DE ÁGUA - FORNECIMENTO E INSTALAÇÃO. AF_12/2014</v>
      </c>
      <c r="E309" s="45" t="str">
        <f>IF(B309="MP-MT",VLOOKUP(C309,'COMPOSIÇÃO DE PREÇO UNITÁRIO'!A:H,8,FALSE),VLOOKUP(C309,'SINAPI_COMPOSIÇÕES 062020'!A:C,3,FALSE))</f>
        <v>UN</v>
      </c>
      <c r="F309" s="78">
        <v>4</v>
      </c>
      <c r="G309" s="79">
        <f>IF(B309="MP-MT",VLOOKUP(CONCATENATE("TOTAL DO ÍTEM - ",C309),'COMPOSIÇÃO DE PREÇO UNITÁRIO'!A:H,8,FALSE),VLOOKUP(C309,'SINAPI_COMPOSIÇÕES 062020'!A:D,4,FALSE))</f>
        <v>13.2</v>
      </c>
      <c r="H309" s="79">
        <f t="shared" ref="H309" si="72">TRUNC(G309*(1+$F$1),2)</f>
        <v>17.07</v>
      </c>
      <c r="I309" s="79">
        <f t="shared" ref="I309" si="73">TRUNC(H309*F309,2)</f>
        <v>68.28</v>
      </c>
    </row>
    <row r="310" spans="1:9" ht="25.5" outlineLevel="2" x14ac:dyDescent="0.2">
      <c r="A310" s="45" t="s">
        <v>13519</v>
      </c>
      <c r="B310" s="45" t="s">
        <v>9</v>
      </c>
      <c r="C310" s="45">
        <v>89625</v>
      </c>
      <c r="D310" s="44" t="str">
        <f>IF(B310="MP-MT",VLOOKUP(C310,'COMPOSIÇÃO DE PREÇO UNITÁRIO'!A:B,2,FALSE),VLOOKUP(C310,'SINAPI_COMPOSIÇÕES 062020'!A:B,2,FALSE))</f>
        <v>TE, PVC, SOLDÁVEL, DN 50MM, INSTALADO EM PRUMADA DE ÁGUA - FORNECIMENTO E INSTALAÇÃO. AF_12/2014</v>
      </c>
      <c r="E310" s="45" t="str">
        <f>IF(B310="MP-MT",VLOOKUP(C310,'COMPOSIÇÃO DE PREÇO UNITÁRIO'!A:H,8,FALSE),VLOOKUP(C310,'SINAPI_COMPOSIÇÕES 062020'!A:C,3,FALSE))</f>
        <v>UN</v>
      </c>
      <c r="F310" s="78">
        <v>4</v>
      </c>
      <c r="G310" s="79">
        <f>IF(B310="MP-MT",VLOOKUP(CONCATENATE("TOTAL DO ÍTEM - ",C310),'COMPOSIÇÃO DE PREÇO UNITÁRIO'!A:H,8,FALSE),VLOOKUP(C310,'SINAPI_COMPOSIÇÕES 062020'!A:D,4,FALSE))</f>
        <v>16.79</v>
      </c>
      <c r="H310" s="79">
        <f t="shared" si="66"/>
        <v>21.72</v>
      </c>
      <c r="I310" s="79">
        <f t="shared" si="67"/>
        <v>86.88</v>
      </c>
    </row>
    <row r="311" spans="1:9" ht="25.5" outlineLevel="2" x14ac:dyDescent="0.2">
      <c r="A311" s="45" t="s">
        <v>13520</v>
      </c>
      <c r="B311" s="45" t="s">
        <v>9</v>
      </c>
      <c r="C311" s="45">
        <v>89629</v>
      </c>
      <c r="D311" s="44" t="str">
        <f>IF(B311="MP-MT",VLOOKUP(C311,'COMPOSIÇÃO DE PREÇO UNITÁRIO'!A:B,2,FALSE),VLOOKUP(C311,'SINAPI_COMPOSIÇÕES 062020'!A:B,2,FALSE))</f>
        <v>TE, PVC, SOLDÁVEL, DN 75MM, INSTALADO EM PRUMADA DE ÁGUA - FORNECIMENTO E INSTALAÇÃO. AF_12/2014</v>
      </c>
      <c r="E311" s="45" t="str">
        <f>IF(B311="MP-MT",VLOOKUP(C311,'COMPOSIÇÃO DE PREÇO UNITÁRIO'!A:H,8,FALSE),VLOOKUP(C311,'SINAPI_COMPOSIÇÕES 062020'!A:C,3,FALSE))</f>
        <v>UN</v>
      </c>
      <c r="F311" s="78">
        <v>4</v>
      </c>
      <c r="G311" s="79">
        <f>IF(B311="MP-MT",VLOOKUP(CONCATENATE("TOTAL DO ÍTEM - ",C311),'COMPOSIÇÃO DE PREÇO UNITÁRIO'!A:H,8,FALSE),VLOOKUP(C311,'SINAPI_COMPOSIÇÕES 062020'!A:D,4,FALSE))</f>
        <v>62.96</v>
      </c>
      <c r="H311" s="79">
        <f t="shared" si="66"/>
        <v>81.459999999999994</v>
      </c>
      <c r="I311" s="79">
        <f t="shared" si="67"/>
        <v>325.83999999999997</v>
      </c>
    </row>
    <row r="312" spans="1:9" ht="38.25" outlineLevel="2" x14ac:dyDescent="0.2">
      <c r="A312" s="45" t="s">
        <v>13521</v>
      </c>
      <c r="B312" s="45" t="s">
        <v>9</v>
      </c>
      <c r="C312" s="45">
        <v>89396</v>
      </c>
      <c r="D312" s="44" t="str">
        <f>IF(B312="MP-MT",VLOOKUP(C312,'COMPOSIÇÃO DE PREÇO UNITÁRIO'!A:B,2,FALSE),VLOOKUP(C312,'SINAPI_COMPOSIÇÕES 062020'!A:B,2,FALSE))</f>
        <v>TÊ COM BUCHA DE LATÃO NA BOLSA CENTRAL, PVC, SOLDÁVEL, DN 25MM X 1/2, INSTALADO EM RAMAL OU SUB-RAMAL DE ÁGUA - FORNECIMENTO E INSTALAÇÃO. AF_12/2014</v>
      </c>
      <c r="E312" s="45" t="str">
        <f>IF(B312="MP-MT",VLOOKUP(C312,'COMPOSIÇÃO DE PREÇO UNITÁRIO'!A:H,8,FALSE),VLOOKUP(C312,'SINAPI_COMPOSIÇÕES 062020'!A:C,3,FALSE))</f>
        <v>UN</v>
      </c>
      <c r="F312" s="78">
        <v>8</v>
      </c>
      <c r="G312" s="79">
        <f>IF(B312="MP-MT",VLOOKUP(CONCATENATE("TOTAL DO ÍTEM - ",C312),'COMPOSIÇÃO DE PREÇO UNITÁRIO'!A:H,8,FALSE),VLOOKUP(C312,'SINAPI_COMPOSIÇÕES 062020'!A:D,4,FALSE))</f>
        <v>14.89</v>
      </c>
      <c r="H312" s="79">
        <f t="shared" si="66"/>
        <v>19.260000000000002</v>
      </c>
      <c r="I312" s="79">
        <f t="shared" si="67"/>
        <v>154.08000000000001</v>
      </c>
    </row>
    <row r="313" spans="1:9" ht="38.25" outlineLevel="2" x14ac:dyDescent="0.2">
      <c r="A313" s="45" t="s">
        <v>13522</v>
      </c>
      <c r="B313" s="45" t="s">
        <v>9</v>
      </c>
      <c r="C313" s="45">
        <v>89383</v>
      </c>
      <c r="D313" s="44" t="str">
        <f>IF(B313="MP-MT",VLOOKUP(C313,'COMPOSIÇÃO DE PREÇO UNITÁRIO'!A:B,2,FALSE),VLOOKUP(C313,'SINAPI_COMPOSIÇÕES 062020'!A:B,2,FALSE))</f>
        <v>ADAPTADOR CURTO COM BOLSA E ROSCA PARA REGISTRO, PVC, SOLDÁVEL, DN 25MM X 3/4, INSTALADO EM RAMAL OU SUB-RAMAL DE ÁGUA - FORNECIMENTO E INSTALAÇÃO. AF_12/2014</v>
      </c>
      <c r="E313" s="45" t="str">
        <f>IF(B313="MP-MT",VLOOKUP(C313,'COMPOSIÇÃO DE PREÇO UNITÁRIO'!A:H,8,FALSE),VLOOKUP(C313,'SINAPI_COMPOSIÇÕES 062020'!A:C,3,FALSE))</f>
        <v>UN</v>
      </c>
      <c r="F313" s="78">
        <v>38</v>
      </c>
      <c r="G313" s="79">
        <f>IF(B313="MP-MT",VLOOKUP(CONCATENATE("TOTAL DO ÍTEM - ",C313),'COMPOSIÇÃO DE PREÇO UNITÁRIO'!A:H,8,FALSE),VLOOKUP(C313,'SINAPI_COMPOSIÇÕES 062020'!A:D,4,FALSE))</f>
        <v>5.05</v>
      </c>
      <c r="H313" s="79">
        <f t="shared" ref="H313:H314" si="74">TRUNC(G313*(1+$F$1),2)</f>
        <v>6.53</v>
      </c>
      <c r="I313" s="79">
        <f t="shared" ref="I313:I314" si="75">TRUNC(H313*F313,2)</f>
        <v>248.14</v>
      </c>
    </row>
    <row r="314" spans="1:9" ht="38.25" outlineLevel="2" x14ac:dyDescent="0.2">
      <c r="A314" s="45" t="s">
        <v>13523</v>
      </c>
      <c r="B314" s="45" t="s">
        <v>9</v>
      </c>
      <c r="C314" s="45">
        <v>89613</v>
      </c>
      <c r="D314" s="44" t="str">
        <f>IF(B314="MP-MT",VLOOKUP(C314,'COMPOSIÇÃO DE PREÇO UNITÁRIO'!A:B,2,FALSE),VLOOKUP(C314,'SINAPI_COMPOSIÇÕES 062020'!A:B,2,FALSE))</f>
        <v>ADAPTADOR CURTO COM BOLSA E ROSCA PARA REGISTRO, PVC, SOLDÁVEL, DN 75MM X 2.1/2, INSTALADO EM PRUMADA DE ÁGUA - FORNECIMENTO E INSTALAÇÃO. AF_12/2014</v>
      </c>
      <c r="E314" s="45" t="str">
        <f>IF(B314="MP-MT",VLOOKUP(C314,'COMPOSIÇÃO DE PREÇO UNITÁRIO'!A:H,8,FALSE),VLOOKUP(C314,'SINAPI_COMPOSIÇÕES 062020'!A:C,3,FALSE))</f>
        <v>UN</v>
      </c>
      <c r="F314" s="78">
        <v>8</v>
      </c>
      <c r="G314" s="79">
        <f>IF(B314="MP-MT",VLOOKUP(CONCATENATE("TOTAL DO ÍTEM - ",C314),'COMPOSIÇÃO DE PREÇO UNITÁRIO'!A:H,8,FALSE),VLOOKUP(C314,'SINAPI_COMPOSIÇÕES 062020'!A:D,4,FALSE))</f>
        <v>23.6</v>
      </c>
      <c r="H314" s="79">
        <f t="shared" si="74"/>
        <v>30.53</v>
      </c>
      <c r="I314" s="79">
        <f t="shared" si="75"/>
        <v>244.24</v>
      </c>
    </row>
    <row r="315" spans="1:9" ht="38.25" outlineLevel="2" x14ac:dyDescent="0.2">
      <c r="A315" s="45" t="s">
        <v>13524</v>
      </c>
      <c r="B315" s="45" t="s">
        <v>9</v>
      </c>
      <c r="C315" s="45">
        <v>94499</v>
      </c>
      <c r="D315" s="44" t="str">
        <f>IF(B315="MP-MT",VLOOKUP(C315,'COMPOSIÇÃO DE PREÇO UNITÁRIO'!A:B,2,FALSE),VLOOKUP(C315,'SINAPI_COMPOSIÇÕES 062020'!A:B,2,FALSE))</f>
        <v>REGISTRO DE GAVETA BRUTO, LATÃO, ROSCÁVEL, 2 1/2, INSTALADO EM RESERVAÇÃO DE ÁGUA DE EDIFICAÇÃO QUE POSSUA RESERVATÓRIO DE FIBRA/FIBROCIMENTO  FORNECIMENTO E INSTALAÇÃO. AF_06/2016</v>
      </c>
      <c r="E315" s="45" t="str">
        <f>IF(B315="MP-MT",VLOOKUP(C315,'COMPOSIÇÃO DE PREÇO UNITÁRIO'!A:H,8,FALSE),VLOOKUP(C315,'SINAPI_COMPOSIÇÕES 062020'!A:C,3,FALSE))</f>
        <v>UN</v>
      </c>
      <c r="F315" s="78">
        <v>4</v>
      </c>
      <c r="G315" s="79">
        <f>IF(B315="MP-MT",VLOOKUP(CONCATENATE("TOTAL DO ÍTEM - ",C315),'COMPOSIÇÃO DE PREÇO UNITÁRIO'!A:H,8,FALSE),VLOOKUP(C315,'SINAPI_COMPOSIÇÕES 062020'!A:D,4,FALSE))</f>
        <v>184.05</v>
      </c>
      <c r="H315" s="79">
        <f t="shared" ref="H315:H323" si="76">TRUNC(G315*(1+$F$1),2)</f>
        <v>238.13</v>
      </c>
      <c r="I315" s="79">
        <f t="shared" ref="I315:I323" si="77">TRUNC(H315*F315,2)</f>
        <v>952.52</v>
      </c>
    </row>
    <row r="316" spans="1:9" ht="38.25" outlineLevel="2" x14ac:dyDescent="0.2">
      <c r="A316" s="45" t="s">
        <v>13525</v>
      </c>
      <c r="B316" s="45" t="s">
        <v>9</v>
      </c>
      <c r="C316" s="45">
        <v>89987</v>
      </c>
      <c r="D316" s="44" t="str">
        <f>IF(B316="MP-MT",VLOOKUP(C316,'COMPOSIÇÃO DE PREÇO UNITÁRIO'!A:B,2,FALSE),VLOOKUP(C316,'SINAPI_COMPOSIÇÕES 062020'!A:B,2,FALSE))</f>
        <v>REGISTRO DE GAVETA BRUTO, LATÃO, ROSCÁVEL, 3/4", COM ACABAMENTO E CANOPLA CROMADOS. FORNECIDO E INSTALADO EM RAMAL DE ÁGUA. AF_12/2014</v>
      </c>
      <c r="E316" s="45" t="str">
        <f>IF(B316="MP-MT",VLOOKUP(C316,'COMPOSIÇÃO DE PREÇO UNITÁRIO'!A:H,8,FALSE),VLOOKUP(C316,'SINAPI_COMPOSIÇÕES 062020'!A:C,3,FALSE))</f>
        <v>UN</v>
      </c>
      <c r="F316" s="78">
        <f>17+4</f>
        <v>21</v>
      </c>
      <c r="G316" s="79">
        <f>IF(B316="MP-MT",VLOOKUP(CONCATENATE("TOTAL DO ÍTEM - ",C316),'COMPOSIÇÃO DE PREÇO UNITÁRIO'!A:H,8,FALSE),VLOOKUP(C316,'SINAPI_COMPOSIÇÕES 062020'!A:D,4,FALSE))</f>
        <v>57.72</v>
      </c>
      <c r="H316" s="79">
        <f t="shared" si="76"/>
        <v>74.680000000000007</v>
      </c>
      <c r="I316" s="79">
        <f t="shared" si="77"/>
        <v>1568.28</v>
      </c>
    </row>
    <row r="317" spans="1:9" ht="38.25" outlineLevel="2" x14ac:dyDescent="0.2">
      <c r="A317" s="45" t="s">
        <v>13526</v>
      </c>
      <c r="B317" s="45" t="s">
        <v>9</v>
      </c>
      <c r="C317" s="45">
        <v>94490</v>
      </c>
      <c r="D317" s="44" t="str">
        <f>IF(B317="MP-MT",VLOOKUP(C317,'COMPOSIÇÃO DE PREÇO UNITÁRIO'!A:B,2,FALSE),VLOOKUP(C317,'SINAPI_COMPOSIÇÕES 062020'!A:B,2,FALSE))</f>
        <v>REGISTRO DE ESFERA, PVC, SOLDÁVEL, DN  32 MM, INSTALADO EM RESERVAÇÃO DE ÁGUA DE EDIFICAÇÃO QUE POSSUA RESERVATÓRIO DE FIBRA/FIBROCIMENTO   FORNECIMENTO E INSTALAÇÃO. AF_06/2016</v>
      </c>
      <c r="E317" s="45" t="str">
        <f>IF(B317="MP-MT",VLOOKUP(C317,'COMPOSIÇÃO DE PREÇO UNITÁRIO'!A:H,8,FALSE),VLOOKUP(C317,'SINAPI_COMPOSIÇÕES 062020'!A:C,3,FALSE))</f>
        <v>UN</v>
      </c>
      <c r="F317" s="78">
        <v>3</v>
      </c>
      <c r="G317" s="79">
        <f>IF(B317="MP-MT",VLOOKUP(CONCATENATE("TOTAL DO ÍTEM - ",C317),'COMPOSIÇÃO DE PREÇO UNITÁRIO'!A:H,8,FALSE),VLOOKUP(C317,'SINAPI_COMPOSIÇÕES 062020'!A:D,4,FALSE))</f>
        <v>23.02</v>
      </c>
      <c r="H317" s="79">
        <f t="shared" si="76"/>
        <v>29.78</v>
      </c>
      <c r="I317" s="79">
        <f t="shared" si="77"/>
        <v>89.34</v>
      </c>
    </row>
    <row r="318" spans="1:9" ht="38.25" outlineLevel="2" x14ac:dyDescent="0.2">
      <c r="A318" s="45" t="s">
        <v>13527</v>
      </c>
      <c r="B318" s="45" t="s">
        <v>9</v>
      </c>
      <c r="C318" s="45">
        <v>94489</v>
      </c>
      <c r="D318" s="44" t="str">
        <f>IF(B318="MP-MT",VLOOKUP(C318,'COMPOSIÇÃO DE PREÇO UNITÁRIO'!A:B,2,FALSE),VLOOKUP(C318,'SINAPI_COMPOSIÇÕES 062020'!A:B,2,FALSE))</f>
        <v>REGISTRO DE ESFERA, PVC, SOLDÁVEL, DN  25 MM, INSTALADO EM RESERVAÇÃO DE ÁGUA DE EDIFICAÇÃO QUE POSSUA RESERVATÓRIO DE FIBRA/FIBROCIMENTO   FORNECIMENTO E INSTALAÇÃO. AF_06/2016</v>
      </c>
      <c r="E318" s="45" t="str">
        <f>IF(B318="MP-MT",VLOOKUP(C318,'COMPOSIÇÃO DE PREÇO UNITÁRIO'!A:H,8,FALSE),VLOOKUP(C318,'SINAPI_COMPOSIÇÕES 062020'!A:C,3,FALSE))</f>
        <v>UN</v>
      </c>
      <c r="F318" s="78">
        <v>2</v>
      </c>
      <c r="G318" s="79">
        <f>IF(B318="MP-MT",VLOOKUP(CONCATENATE("TOTAL DO ÍTEM - ",C318),'COMPOSIÇÃO DE PREÇO UNITÁRIO'!A:H,8,FALSE),VLOOKUP(C318,'SINAPI_COMPOSIÇÕES 062020'!A:D,4,FALSE))</f>
        <v>13.96</v>
      </c>
      <c r="H318" s="79">
        <f t="shared" si="76"/>
        <v>18.059999999999999</v>
      </c>
      <c r="I318" s="79">
        <f t="shared" si="77"/>
        <v>36.119999999999997</v>
      </c>
    </row>
    <row r="319" spans="1:9" ht="38.25" outlineLevel="2" x14ac:dyDescent="0.2">
      <c r="A319" s="45" t="s">
        <v>13528</v>
      </c>
      <c r="B319" s="45" t="s">
        <v>9</v>
      </c>
      <c r="C319" s="45">
        <v>97741</v>
      </c>
      <c r="D319" s="44" t="str">
        <f>IF(B319="MP-MT",VLOOKUP(C319,'COMPOSIÇÃO DE PREÇO UNITÁRIO'!A:B,2,FALSE),VLOOKUP(C319,'SINAPI_COMPOSIÇÕES 062020'!A:B,2,FALSE))</f>
        <v>KIT CAVALETE PARA MEDIÇÃO DE ÁGUA - ENTRADA INDIVIDUALIZADA, EM PVC DN 25 (¾), PARA 1 MEDIDOR  FORNECIMENTO E INSTALAÇÃO (EXCLUSIVE HIDRÔMETRO). AF_11/2016</v>
      </c>
      <c r="E319" s="45" t="str">
        <f>IF(B319="MP-MT",VLOOKUP(C319,'COMPOSIÇÃO DE PREÇO UNITÁRIO'!A:H,8,FALSE),VLOOKUP(C319,'SINAPI_COMPOSIÇÕES 062020'!A:C,3,FALSE))</f>
        <v>UN</v>
      </c>
      <c r="F319" s="78">
        <v>1</v>
      </c>
      <c r="G319" s="79">
        <f>IF(B319="MP-MT",VLOOKUP(CONCATENATE("TOTAL DO ÍTEM - ",C319),'COMPOSIÇÃO DE PREÇO UNITÁRIO'!A:H,8,FALSE),VLOOKUP(C319,'SINAPI_COMPOSIÇÕES 062020'!A:D,4,FALSE))</f>
        <v>119.12</v>
      </c>
      <c r="H319" s="79">
        <f t="shared" si="76"/>
        <v>154.12</v>
      </c>
      <c r="I319" s="79">
        <f t="shared" si="77"/>
        <v>154.12</v>
      </c>
    </row>
    <row r="320" spans="1:9" ht="25.5" outlineLevel="2" x14ac:dyDescent="0.2">
      <c r="A320" s="45" t="s">
        <v>13529</v>
      </c>
      <c r="B320" s="45" t="s">
        <v>9</v>
      </c>
      <c r="C320" s="45">
        <v>95675</v>
      </c>
      <c r="D320" s="44" t="str">
        <f>IF(B320="MP-MT",VLOOKUP(C320,'COMPOSIÇÃO DE PREÇO UNITÁRIO'!A:B,2,FALSE),VLOOKUP(C320,'SINAPI_COMPOSIÇÕES 062020'!A:B,2,FALSE))</f>
        <v>HIDRÔMETRO DN 25 (¾ ), 5,0 M³/H FORNECIMENTO E INSTALAÇÃO. AF_11/2016</v>
      </c>
      <c r="E320" s="45" t="str">
        <f>IF(B320="MP-MT",VLOOKUP(C320,'COMPOSIÇÃO DE PREÇO UNITÁRIO'!A:H,8,FALSE),VLOOKUP(C320,'SINAPI_COMPOSIÇÕES 062020'!A:C,3,FALSE))</f>
        <v>UN</v>
      </c>
      <c r="F320" s="78">
        <v>1</v>
      </c>
      <c r="G320" s="79">
        <f>IF(B320="MP-MT",VLOOKUP(CONCATENATE("TOTAL DO ÍTEM - ",C320),'COMPOSIÇÃO DE PREÇO UNITÁRIO'!A:H,8,FALSE),VLOOKUP(C320,'SINAPI_COMPOSIÇÕES 062020'!A:D,4,FALSE))</f>
        <v>129.43</v>
      </c>
      <c r="H320" s="79">
        <f t="shared" si="76"/>
        <v>167.46</v>
      </c>
      <c r="I320" s="79">
        <f t="shared" si="77"/>
        <v>167.46</v>
      </c>
    </row>
    <row r="321" spans="1:9" ht="25.5" outlineLevel="2" x14ac:dyDescent="0.2">
      <c r="A321" s="45" t="s">
        <v>13530</v>
      </c>
      <c r="B321" s="45" t="s">
        <v>9</v>
      </c>
      <c r="C321" s="45">
        <v>94795</v>
      </c>
      <c r="D321" s="44" t="str">
        <f>IF(B321="MP-MT",VLOOKUP(C321,'COMPOSIÇÃO DE PREÇO UNITÁRIO'!A:B,2,FALSE),VLOOKUP(C321,'SINAPI_COMPOSIÇÕES 062020'!A:B,2,FALSE))</f>
        <v>TORNEIRA DE BOIA, ROSCÁVEL, 1/2 , FORNECIDA E INSTALADA EM RESERVAÇÃO DE ÁGUA. AF_06/2016</v>
      </c>
      <c r="E321" s="45" t="str">
        <f>IF(B321="MP-MT",VLOOKUP(C321,'COMPOSIÇÃO DE PREÇO UNITÁRIO'!A:H,8,FALSE),VLOOKUP(C321,'SINAPI_COMPOSIÇÕES 062020'!A:C,3,FALSE))</f>
        <v>UN</v>
      </c>
      <c r="F321" s="78">
        <v>2</v>
      </c>
      <c r="G321" s="79">
        <f>IF(B321="MP-MT",VLOOKUP(CONCATENATE("TOTAL DO ÍTEM - ",C321),'COMPOSIÇÃO DE PREÇO UNITÁRIO'!A:H,8,FALSE),VLOOKUP(C321,'SINAPI_COMPOSIÇÕES 062020'!A:D,4,FALSE))</f>
        <v>22.08</v>
      </c>
      <c r="H321" s="79">
        <f t="shared" si="76"/>
        <v>28.56</v>
      </c>
      <c r="I321" s="79">
        <f t="shared" si="77"/>
        <v>57.12</v>
      </c>
    </row>
    <row r="322" spans="1:9" outlineLevel="2" x14ac:dyDescent="0.2">
      <c r="A322" s="45" t="s">
        <v>13531</v>
      </c>
      <c r="B322" s="45" t="s">
        <v>194</v>
      </c>
      <c r="C322" s="45" t="s">
        <v>12253</v>
      </c>
      <c r="D322" s="44" t="str">
        <f>IF(B322="MP-MT",VLOOKUP(C322,'COMPOSIÇÃO DE PREÇO UNITÁRIO'!A:B,2,FALSE),VLOOKUP(C322,'SINAPI_COMPOSIÇÕES 062020'!A:B,2,FALSE))</f>
        <v>CAIXA D'ÁGUA EM POLIETILENO, 2.000 LITROS</v>
      </c>
      <c r="E322" s="45" t="str">
        <f>IF(B322="MP-MT",VLOOKUP(C322,'COMPOSIÇÃO DE PREÇO UNITÁRIO'!A:H,8,FALSE),VLOOKUP(C322,'SINAPI_COMPOSIÇÕES 062020'!A:C,3,FALSE))</f>
        <v>UND</v>
      </c>
      <c r="F322" s="78">
        <v>2</v>
      </c>
      <c r="G322" s="79">
        <f>IF(B322="MP-MT",VLOOKUP(CONCATENATE("TOTAL DO ÍTEM - ",C322),'COMPOSIÇÃO DE PREÇO UNITÁRIO'!A:H,8,FALSE),VLOOKUP(C322,'SINAPI_COMPOSIÇÕES 062020'!A:D,4,FALSE))</f>
        <v>736.31</v>
      </c>
      <c r="H322" s="79">
        <f t="shared" si="76"/>
        <v>952.67</v>
      </c>
      <c r="I322" s="79">
        <f t="shared" si="77"/>
        <v>1905.34</v>
      </c>
    </row>
    <row r="323" spans="1:9" ht="51" outlineLevel="2" x14ac:dyDescent="0.2">
      <c r="A323" s="45" t="s">
        <v>13532</v>
      </c>
      <c r="B323" s="45" t="s">
        <v>9</v>
      </c>
      <c r="C323" s="45">
        <v>94703</v>
      </c>
      <c r="D323" s="44" t="str">
        <f>IF(B323="MP-MT",VLOOKUP(C323,'COMPOSIÇÃO DE PREÇO UNITÁRIO'!A:B,2,FALSE),VLOOKUP(C323,'SINAPI_COMPOSIÇÕES 062020'!A:B,2,FALSE))</f>
        <v>ADAPTADOR COM FLANGE E ANEL DE VEDAÇÃO, PVC, SOLDÁVEL, DN  25 MM X 3/4 , INSTALADO EM RESERVAÇÃO DE ÁGUA DE EDIFICAÇÃO QUE POSSUA RESERVATÓRIO DE FIBRA/FIBROCIMENTO   FORNECIMENTO E INSTALAÇÃO. AF_06/2016</v>
      </c>
      <c r="E323" s="45" t="str">
        <f>IF(B323="MP-MT",VLOOKUP(C323,'COMPOSIÇÃO DE PREÇO UNITÁRIO'!A:H,8,FALSE),VLOOKUP(C323,'SINAPI_COMPOSIÇÕES 062020'!A:C,3,FALSE))</f>
        <v>UN</v>
      </c>
      <c r="F323" s="78">
        <v>2</v>
      </c>
      <c r="G323" s="79">
        <f>IF(B323="MP-MT",VLOOKUP(CONCATENATE("TOTAL DO ÍTEM - ",C323),'COMPOSIÇÃO DE PREÇO UNITÁRIO'!A:H,8,FALSE),VLOOKUP(C323,'SINAPI_COMPOSIÇÕES 062020'!A:D,4,FALSE))</f>
        <v>14.75</v>
      </c>
      <c r="H323" s="79">
        <f t="shared" si="76"/>
        <v>19.079999999999998</v>
      </c>
      <c r="I323" s="79">
        <f t="shared" si="77"/>
        <v>38.159999999999997</v>
      </c>
    </row>
    <row r="324" spans="1:9" ht="51" outlineLevel="2" x14ac:dyDescent="0.2">
      <c r="A324" s="45" t="s">
        <v>13533</v>
      </c>
      <c r="B324" s="45" t="s">
        <v>9</v>
      </c>
      <c r="C324" s="45">
        <v>94704</v>
      </c>
      <c r="D324" s="44" t="str">
        <f>IF(B324="MP-MT",VLOOKUP(C324,'COMPOSIÇÃO DE PREÇO UNITÁRIO'!A:B,2,FALSE),VLOOKUP(C324,'SINAPI_COMPOSIÇÕES 062020'!A:B,2,FALSE))</f>
        <v>ADAPTADOR COM FLANGE E ANEL DE VEDAÇÃO, PVC, SOLDÁVEL, DN 32 MM X 1 , INSTALADO EM RESERVAÇÃO DE ÁGUA DE EDIFICAÇÃO QUE POSSUA RESERVATÓRIO DE FIBRA/FIBROCIMENTO   FORNECIMENTO E INSTALAÇÃO. AF_06/2016</v>
      </c>
      <c r="E324" s="45" t="str">
        <f>IF(B324="MP-MT",VLOOKUP(C324,'COMPOSIÇÃO DE PREÇO UNITÁRIO'!A:H,8,FALSE),VLOOKUP(C324,'SINAPI_COMPOSIÇÕES 062020'!A:C,3,FALSE))</f>
        <v>UN</v>
      </c>
      <c r="F324" s="78">
        <v>4</v>
      </c>
      <c r="G324" s="79">
        <f>IF(B324="MP-MT",VLOOKUP(CONCATENATE("TOTAL DO ÍTEM - ",C324),'COMPOSIÇÃO DE PREÇO UNITÁRIO'!A:H,8,FALSE),VLOOKUP(C324,'SINAPI_COMPOSIÇÕES 062020'!A:D,4,FALSE))</f>
        <v>17.28</v>
      </c>
      <c r="H324" s="79">
        <f t="shared" si="66"/>
        <v>22.35</v>
      </c>
      <c r="I324" s="79">
        <f t="shared" si="67"/>
        <v>89.4</v>
      </c>
    </row>
    <row r="325" spans="1:9" ht="51" outlineLevel="2" x14ac:dyDescent="0.2">
      <c r="A325" s="45" t="s">
        <v>13534</v>
      </c>
      <c r="B325" s="45" t="s">
        <v>9</v>
      </c>
      <c r="C325" s="45">
        <v>94707</v>
      </c>
      <c r="D325" s="44" t="str">
        <f>IF(B325="MP-MT",VLOOKUP(C325,'COMPOSIÇÃO DE PREÇO UNITÁRIO'!A:B,2,FALSE),VLOOKUP(C325,'SINAPI_COMPOSIÇÕES 062020'!A:B,2,FALSE))</f>
        <v>ADAPTADOR COM FLANGE E ANEL DE VEDAÇÃO, PVC, SOLDÁVEL, DN 60 MM X 2 , INSTALADO EM RESERVAÇÃO DE ÁGUA DE EDIFICAÇÃO QUE POSSUA RESERVATÓRIO DE FIBRA/FIBROCIMENTO   FORNECIMENTO E INSTALAÇÃO. AF_06/2016</v>
      </c>
      <c r="E325" s="45" t="str">
        <f>IF(B325="MP-MT",VLOOKUP(C325,'COMPOSIÇÃO DE PREÇO UNITÁRIO'!A:H,8,FALSE),VLOOKUP(C325,'SINAPI_COMPOSIÇÕES 062020'!A:C,3,FALSE))</f>
        <v>UN</v>
      </c>
      <c r="F325" s="78">
        <v>2</v>
      </c>
      <c r="G325" s="79">
        <f>IF(B325="MP-MT",VLOOKUP(CONCATENATE("TOTAL DO ÍTEM - ",C325),'COMPOSIÇÃO DE PREÇO UNITÁRIO'!A:H,8,FALSE),VLOOKUP(C325,'SINAPI_COMPOSIÇÕES 062020'!A:D,4,FALSE))</f>
        <v>39.61</v>
      </c>
      <c r="H325" s="79">
        <f t="shared" si="66"/>
        <v>51.24</v>
      </c>
      <c r="I325" s="79">
        <f t="shared" si="67"/>
        <v>102.48</v>
      </c>
    </row>
    <row r="326" spans="1:9" ht="38.25" outlineLevel="2" x14ac:dyDescent="0.2">
      <c r="A326" s="45" t="s">
        <v>13535</v>
      </c>
      <c r="B326" s="45" t="s">
        <v>9</v>
      </c>
      <c r="C326" s="45">
        <v>89711</v>
      </c>
      <c r="D326" s="44" t="str">
        <f>IF(B326="MP-MT",VLOOKUP(C326,'COMPOSIÇÃO DE PREÇO UNITÁRIO'!A:B,2,FALSE),VLOOKUP(C326,'SINAPI_COMPOSIÇÕES 062020'!A:B,2,FALSE))</f>
        <v>TUBO PVC, SERIE NORMAL, ESGOTO PREDIAL, DN 40 MM, FORNECIDO E INSTALADO EM RAMAL DE DESCARGA OU RAMAL DE ESGOTO SANITÁRIO. AF_12/2014</v>
      </c>
      <c r="E326" s="45" t="str">
        <f>IF(B326="MP-MT",VLOOKUP(C326,'COMPOSIÇÃO DE PREÇO UNITÁRIO'!A:H,8,FALSE),VLOOKUP(C326,'SINAPI_COMPOSIÇÕES 062020'!A:C,3,FALSE))</f>
        <v>M</v>
      </c>
      <c r="F326" s="78">
        <f>19.86+27.97</f>
        <v>47.83</v>
      </c>
      <c r="G326" s="79">
        <f>IF(B326="MP-MT",VLOOKUP(CONCATENATE("TOTAL DO ÍTEM - ",C326),'COMPOSIÇÃO DE PREÇO UNITÁRIO'!A:H,8,FALSE),VLOOKUP(C326,'SINAPI_COMPOSIÇÕES 062020'!A:D,4,FALSE))</f>
        <v>13.55</v>
      </c>
      <c r="H326" s="79">
        <f t="shared" si="66"/>
        <v>17.53</v>
      </c>
      <c r="I326" s="79">
        <f t="shared" si="67"/>
        <v>838.45</v>
      </c>
    </row>
    <row r="327" spans="1:9" ht="38.25" outlineLevel="2" x14ac:dyDescent="0.2">
      <c r="A327" s="45" t="s">
        <v>13536</v>
      </c>
      <c r="B327" s="45" t="s">
        <v>9</v>
      </c>
      <c r="C327" s="45">
        <v>89712</v>
      </c>
      <c r="D327" s="44" t="str">
        <f>IF(B327="MP-MT",VLOOKUP(C327,'COMPOSIÇÃO DE PREÇO UNITÁRIO'!A:B,2,FALSE),VLOOKUP(C327,'SINAPI_COMPOSIÇÕES 062020'!A:B,2,FALSE))</f>
        <v>TUBO PVC, SERIE NORMAL, ESGOTO PREDIAL, DN 50 MM, FORNECIDO E INSTALADO EM RAMAL DE DESCARGA OU RAMAL DE ESGOTO SANITÁRIO. AF_12/2014</v>
      </c>
      <c r="E327" s="45" t="str">
        <f>IF(B327="MP-MT",VLOOKUP(C327,'COMPOSIÇÃO DE PREÇO UNITÁRIO'!A:H,8,FALSE),VLOOKUP(C327,'SINAPI_COMPOSIÇÕES 062020'!A:C,3,FALSE))</f>
        <v>M</v>
      </c>
      <c r="F327" s="78">
        <f>1+10.53</f>
        <v>11.53</v>
      </c>
      <c r="G327" s="79">
        <f>IF(B327="MP-MT",VLOOKUP(CONCATENATE("TOTAL DO ÍTEM - ",C327),'COMPOSIÇÃO DE PREÇO UNITÁRIO'!A:H,8,FALSE),VLOOKUP(C327,'SINAPI_COMPOSIÇÕES 062020'!A:D,4,FALSE))</f>
        <v>20.92</v>
      </c>
      <c r="H327" s="79">
        <f t="shared" si="66"/>
        <v>27.06</v>
      </c>
      <c r="I327" s="79">
        <f t="shared" si="67"/>
        <v>312</v>
      </c>
    </row>
    <row r="328" spans="1:9" ht="38.25" outlineLevel="2" x14ac:dyDescent="0.2">
      <c r="A328" s="45" t="s">
        <v>13537</v>
      </c>
      <c r="B328" s="45" t="s">
        <v>9</v>
      </c>
      <c r="C328" s="45">
        <v>89798</v>
      </c>
      <c r="D328" s="44" t="str">
        <f>IF(B328="MP-MT",VLOOKUP(C328,'COMPOSIÇÃO DE PREÇO UNITÁRIO'!A:B,2,FALSE),VLOOKUP(C328,'SINAPI_COMPOSIÇÕES 062020'!A:B,2,FALSE))</f>
        <v>TUBO PVC, SERIE NORMAL, ESGOTO PREDIAL, DN 50 MM, FORNECIDO E INSTALADO EM PRUMADA DE ESGOTO SANITÁRIO OU VENTILAÇÃO. AF_12/2014</v>
      </c>
      <c r="E328" s="45" t="str">
        <f>IF(B328="MP-MT",VLOOKUP(C328,'COMPOSIÇÃO DE PREÇO UNITÁRIO'!A:H,8,FALSE),VLOOKUP(C328,'SINAPI_COMPOSIÇÕES 062020'!A:C,3,FALSE))</f>
        <v>M</v>
      </c>
      <c r="F328" s="78">
        <f>44.81+1.75+32.47</f>
        <v>79.03</v>
      </c>
      <c r="G328" s="79">
        <f>IF(B328="MP-MT",VLOOKUP(CONCATENATE("TOTAL DO ÍTEM - ",C328),'COMPOSIÇÃO DE PREÇO UNITÁRIO'!A:H,8,FALSE),VLOOKUP(C328,'SINAPI_COMPOSIÇÕES 062020'!A:D,4,FALSE))</f>
        <v>8.81</v>
      </c>
      <c r="H328" s="79">
        <f t="shared" si="66"/>
        <v>11.39</v>
      </c>
      <c r="I328" s="79">
        <f t="shared" si="67"/>
        <v>900.15</v>
      </c>
    </row>
    <row r="329" spans="1:9" ht="38.25" outlineLevel="2" x14ac:dyDescent="0.2">
      <c r="A329" s="45" t="s">
        <v>13538</v>
      </c>
      <c r="B329" s="45" t="s">
        <v>9</v>
      </c>
      <c r="C329" s="45">
        <v>89799</v>
      </c>
      <c r="D329" s="44" t="str">
        <f>IF(B329="MP-MT",VLOOKUP(C329,'COMPOSIÇÃO DE PREÇO UNITÁRIO'!A:B,2,FALSE),VLOOKUP(C329,'SINAPI_COMPOSIÇÕES 062020'!A:B,2,FALSE))</f>
        <v>TUBO PVC, SERIE NORMAL, ESGOTO PREDIAL, DN 75 MM, FORNECIDO E INSTALADO EM PRUMADA DE ESGOTO SANITÁRIO OU VENTILAÇÃO. AF_12/2014</v>
      </c>
      <c r="E329" s="45" t="str">
        <f>IF(B329="MP-MT",VLOOKUP(C329,'COMPOSIÇÃO DE PREÇO UNITÁRIO'!A:H,8,FALSE),VLOOKUP(C329,'SINAPI_COMPOSIÇÕES 062020'!A:C,3,FALSE))</f>
        <v>M</v>
      </c>
      <c r="F329" s="78">
        <f>6.89+14.67</f>
        <v>21.56</v>
      </c>
      <c r="G329" s="79">
        <f>IF(B329="MP-MT",VLOOKUP(CONCATENATE("TOTAL DO ÍTEM - ",C329),'COMPOSIÇÃO DE PREÇO UNITÁRIO'!A:H,8,FALSE),VLOOKUP(C329,'SINAPI_COMPOSIÇÕES 062020'!A:D,4,FALSE))</f>
        <v>14.59</v>
      </c>
      <c r="H329" s="79">
        <f t="shared" si="66"/>
        <v>18.87</v>
      </c>
      <c r="I329" s="79">
        <f t="shared" si="67"/>
        <v>406.83</v>
      </c>
    </row>
    <row r="330" spans="1:9" ht="38.25" outlineLevel="2" x14ac:dyDescent="0.2">
      <c r="A330" s="45" t="s">
        <v>13539</v>
      </c>
      <c r="B330" s="45" t="s">
        <v>9</v>
      </c>
      <c r="C330" s="45">
        <v>89714</v>
      </c>
      <c r="D330" s="44" t="str">
        <f>IF(B330="MP-MT",VLOOKUP(C330,'COMPOSIÇÃO DE PREÇO UNITÁRIO'!A:B,2,FALSE),VLOOKUP(C330,'SINAPI_COMPOSIÇÕES 062020'!A:B,2,FALSE))</f>
        <v>TUBO PVC, SERIE NORMAL, ESGOTO PREDIAL, DN 100 MM, FORNECIDO E INSTALADO EM RAMAL DE DESCARGA OU RAMAL DE ESGOTO SANITÁRIO. AF_12/2014</v>
      </c>
      <c r="E330" s="45" t="str">
        <f>IF(B330="MP-MT",VLOOKUP(C330,'COMPOSIÇÃO DE PREÇO UNITÁRIO'!A:H,8,FALSE),VLOOKUP(C330,'SINAPI_COMPOSIÇÕES 062020'!A:C,3,FALSE))</f>
        <v>M</v>
      </c>
      <c r="F330" s="78">
        <v>128.96</v>
      </c>
      <c r="G330" s="79">
        <f>IF(B330="MP-MT",VLOOKUP(CONCATENATE("TOTAL DO ÍTEM - ",C330),'COMPOSIÇÃO DE PREÇO UNITÁRIO'!A:H,8,FALSE),VLOOKUP(C330,'SINAPI_COMPOSIÇÕES 062020'!A:D,4,FALSE))</f>
        <v>41.89</v>
      </c>
      <c r="H330" s="79">
        <f t="shared" si="66"/>
        <v>54.19</v>
      </c>
      <c r="I330" s="79">
        <f t="shared" si="67"/>
        <v>6988.34</v>
      </c>
    </row>
    <row r="331" spans="1:9" ht="25.5" outlineLevel="2" x14ac:dyDescent="0.2">
      <c r="A331" s="45" t="s">
        <v>13540</v>
      </c>
      <c r="B331" s="45" t="s">
        <v>9</v>
      </c>
      <c r="C331" s="45">
        <v>89849</v>
      </c>
      <c r="D331" s="44" t="str">
        <f>IF(B331="MP-MT",VLOOKUP(C331,'COMPOSIÇÃO DE PREÇO UNITÁRIO'!A:B,2,FALSE),VLOOKUP(C331,'SINAPI_COMPOSIÇÕES 062020'!A:B,2,FALSE))</f>
        <v>TUBO PVC, SERIE NORMAL, ESGOTO PREDIAL, DN 150 MM, FORNECIDO E INSTALADO EM SUBCOLETOR AÉREO DE ESGOTO SANITÁRIO. AF_12/2014</v>
      </c>
      <c r="E331" s="45" t="str">
        <f>IF(B331="MP-MT",VLOOKUP(C331,'COMPOSIÇÃO DE PREÇO UNITÁRIO'!A:H,8,FALSE),VLOOKUP(C331,'SINAPI_COMPOSIÇÕES 062020'!A:C,3,FALSE))</f>
        <v>M</v>
      </c>
      <c r="F331" s="78">
        <v>7.67</v>
      </c>
      <c r="G331" s="79">
        <f>IF(B331="MP-MT",VLOOKUP(CONCATENATE("TOTAL DO ÍTEM - ",C331),'COMPOSIÇÃO DE PREÇO UNITÁRIO'!A:H,8,FALSE),VLOOKUP(C331,'SINAPI_COMPOSIÇÕES 062020'!A:D,4,FALSE))</f>
        <v>42.86</v>
      </c>
      <c r="H331" s="79">
        <f t="shared" si="66"/>
        <v>55.45</v>
      </c>
      <c r="I331" s="79">
        <f t="shared" si="67"/>
        <v>425.3</v>
      </c>
    </row>
    <row r="332" spans="1:9" ht="38.25" outlineLevel="2" x14ac:dyDescent="0.2">
      <c r="A332" s="45" t="s">
        <v>13541</v>
      </c>
      <c r="B332" s="45" t="s">
        <v>9</v>
      </c>
      <c r="C332" s="45">
        <v>89724</v>
      </c>
      <c r="D332" s="44" t="str">
        <f>IF(B332="MP-MT",VLOOKUP(C332,'COMPOSIÇÃO DE PREÇO UNITÁRIO'!A:B,2,FALSE),VLOOKUP(C332,'SINAPI_COMPOSIÇÕES 062020'!A:B,2,FALSE))</f>
        <v>JOELHO 90 GRAUS, PVC, SERIE NORMAL, ESGOTO PREDIAL, DN 40 MM, JUNTA SOLDÁVEL, FORNECIDO E INSTALADO EM RAMAL DE DESCARGA OU RAMAL DE ESGOTO SANITÁRIO. AF_12/2014</v>
      </c>
      <c r="E332" s="45" t="str">
        <f>IF(B332="MP-MT",VLOOKUP(C332,'COMPOSIÇÃO DE PREÇO UNITÁRIO'!A:H,8,FALSE),VLOOKUP(C332,'SINAPI_COMPOSIÇÕES 062020'!A:C,3,FALSE))</f>
        <v>UN</v>
      </c>
      <c r="F332" s="78">
        <v>22</v>
      </c>
      <c r="G332" s="79">
        <f>IF(B332="MP-MT",VLOOKUP(CONCATENATE("TOTAL DO ÍTEM - ",C332),'COMPOSIÇÃO DE PREÇO UNITÁRIO'!A:H,8,FALSE),VLOOKUP(C332,'SINAPI_COMPOSIÇÕES 062020'!A:D,4,FALSE))</f>
        <v>7.63</v>
      </c>
      <c r="H332" s="79">
        <f t="shared" si="66"/>
        <v>9.8699999999999992</v>
      </c>
      <c r="I332" s="79">
        <f t="shared" si="67"/>
        <v>217.14</v>
      </c>
    </row>
    <row r="333" spans="1:9" ht="38.25" outlineLevel="2" x14ac:dyDescent="0.2">
      <c r="A333" s="45" t="s">
        <v>13542</v>
      </c>
      <c r="B333" s="45" t="s">
        <v>9</v>
      </c>
      <c r="C333" s="45">
        <v>89731</v>
      </c>
      <c r="D333" s="44" t="str">
        <f>IF(B333="MP-MT",VLOOKUP(C333,'COMPOSIÇÃO DE PREÇO UNITÁRIO'!A:B,2,FALSE),VLOOKUP(C333,'SINAPI_COMPOSIÇÕES 062020'!A:B,2,FALSE))</f>
        <v>JOELHO 90 GRAUS, PVC, SERIE NORMAL, ESGOTO PREDIAL, DN 50 MM, JUNTA ELÁSTICA, FORNECIDO E INSTALADO EM RAMAL DE DESCARGA OU RAMAL DE ESGOTO SANITÁRIO. AF_12/2014</v>
      </c>
      <c r="E333" s="45" t="str">
        <f>IF(B333="MP-MT",VLOOKUP(C333,'COMPOSIÇÃO DE PREÇO UNITÁRIO'!A:H,8,FALSE),VLOOKUP(C333,'SINAPI_COMPOSIÇÕES 062020'!A:C,3,FALSE))</f>
        <v>UN</v>
      </c>
      <c r="F333" s="78">
        <v>9</v>
      </c>
      <c r="G333" s="79">
        <f>IF(B333="MP-MT",VLOOKUP(CONCATENATE("TOTAL DO ÍTEM - ",C333),'COMPOSIÇÃO DE PREÇO UNITÁRIO'!A:H,8,FALSE),VLOOKUP(C333,'SINAPI_COMPOSIÇÕES 062020'!A:D,4,FALSE))</f>
        <v>8.33</v>
      </c>
      <c r="H333" s="79">
        <f t="shared" si="66"/>
        <v>10.77</v>
      </c>
      <c r="I333" s="79">
        <f t="shared" si="67"/>
        <v>96.93</v>
      </c>
    </row>
    <row r="334" spans="1:9" ht="38.25" outlineLevel="2" x14ac:dyDescent="0.2">
      <c r="A334" s="45" t="s">
        <v>13543</v>
      </c>
      <c r="B334" s="45" t="s">
        <v>9</v>
      </c>
      <c r="C334" s="45">
        <v>89801</v>
      </c>
      <c r="D334" s="44" t="str">
        <f>IF(B334="MP-MT",VLOOKUP(C334,'COMPOSIÇÃO DE PREÇO UNITÁRIO'!A:B,2,FALSE),VLOOKUP(C334,'SINAPI_COMPOSIÇÕES 062020'!A:B,2,FALSE))</f>
        <v>JOELHO 90 GRAUS, PVC, SERIE NORMAL, ESGOTO PREDIAL, DN 50 MM, JUNTA ELÁSTICA, FORNECIDO E INSTALADO EM PRUMADA DE ESGOTO SANITÁRIO OU VENTILAÇÃO. AF_12/2014</v>
      </c>
      <c r="E334" s="45" t="str">
        <f>IF(B334="MP-MT",VLOOKUP(C334,'COMPOSIÇÃO DE PREÇO UNITÁRIO'!A:H,8,FALSE),VLOOKUP(C334,'SINAPI_COMPOSIÇÕES 062020'!A:C,3,FALSE))</f>
        <v>UN</v>
      </c>
      <c r="F334" s="78">
        <v>42</v>
      </c>
      <c r="G334" s="79">
        <f>IF(B334="MP-MT",VLOOKUP(CONCATENATE("TOTAL DO ÍTEM - ",C334),'COMPOSIÇÃO DE PREÇO UNITÁRIO'!A:H,8,FALSE),VLOOKUP(C334,'SINAPI_COMPOSIÇÕES 062020'!A:D,4,FALSE))</f>
        <v>5.48</v>
      </c>
      <c r="H334" s="79">
        <f t="shared" si="66"/>
        <v>7.09</v>
      </c>
      <c r="I334" s="79">
        <f t="shared" si="67"/>
        <v>297.77999999999997</v>
      </c>
    </row>
    <row r="335" spans="1:9" ht="38.25" outlineLevel="2" x14ac:dyDescent="0.2">
      <c r="A335" s="45" t="s">
        <v>13544</v>
      </c>
      <c r="B335" s="45" t="s">
        <v>9</v>
      </c>
      <c r="C335" s="45">
        <v>89805</v>
      </c>
      <c r="D335" s="44" t="str">
        <f>IF(B335="MP-MT",VLOOKUP(C335,'COMPOSIÇÃO DE PREÇO UNITÁRIO'!A:B,2,FALSE),VLOOKUP(C335,'SINAPI_COMPOSIÇÕES 062020'!A:B,2,FALSE))</f>
        <v>JOELHO 90 GRAUS, PVC, SERIE NORMAL, ESGOTO PREDIAL, DN 75 MM, JUNTA ELÁSTICA, FORNECIDO E INSTALADO EM PRUMADA DE ESGOTO SANITÁRIO OU VENTILAÇÃO. AF_12/2014</v>
      </c>
      <c r="E335" s="45" t="str">
        <f>IF(B335="MP-MT",VLOOKUP(C335,'COMPOSIÇÃO DE PREÇO UNITÁRIO'!A:H,8,FALSE),VLOOKUP(C335,'SINAPI_COMPOSIÇÕES 062020'!A:C,3,FALSE))</f>
        <v>UN</v>
      </c>
      <c r="F335" s="78">
        <v>12</v>
      </c>
      <c r="G335" s="79">
        <f>IF(B335="MP-MT",VLOOKUP(CONCATENATE("TOTAL DO ÍTEM - ",C335),'COMPOSIÇÃO DE PREÇO UNITÁRIO'!A:H,8,FALSE),VLOOKUP(C335,'SINAPI_COMPOSIÇÕES 062020'!A:D,4,FALSE))</f>
        <v>10.63</v>
      </c>
      <c r="H335" s="79">
        <f t="shared" si="66"/>
        <v>13.75</v>
      </c>
      <c r="I335" s="79">
        <f t="shared" si="67"/>
        <v>165</v>
      </c>
    </row>
    <row r="336" spans="1:9" ht="38.25" outlineLevel="2" x14ac:dyDescent="0.2">
      <c r="A336" s="45" t="s">
        <v>13545</v>
      </c>
      <c r="B336" s="45" t="s">
        <v>9</v>
      </c>
      <c r="C336" s="45">
        <v>89744</v>
      </c>
      <c r="D336" s="44" t="str">
        <f>IF(B336="MP-MT",VLOOKUP(C336,'COMPOSIÇÃO DE PREÇO UNITÁRIO'!A:B,2,FALSE),VLOOKUP(C336,'SINAPI_COMPOSIÇÕES 062020'!A:B,2,FALSE))</f>
        <v>JOELHO 90 GRAUS, PVC, SERIE NORMAL, ESGOTO PREDIAL, DN 100 MM, JUNTA ELÁSTICA, FORNECIDO E INSTALADO EM RAMAL DE DESCARGA OU RAMAL DE ESGOTO SANITÁRIO. AF_12/2014</v>
      </c>
      <c r="E336" s="45" t="str">
        <f>IF(B336="MP-MT",VLOOKUP(C336,'COMPOSIÇÃO DE PREÇO UNITÁRIO'!A:H,8,FALSE),VLOOKUP(C336,'SINAPI_COMPOSIÇÕES 062020'!A:C,3,FALSE))</f>
        <v>UN</v>
      </c>
      <c r="F336" s="78">
        <v>9</v>
      </c>
      <c r="G336" s="79">
        <f>IF(B336="MP-MT",VLOOKUP(CONCATENATE("TOTAL DO ÍTEM - ",C336),'COMPOSIÇÃO DE PREÇO UNITÁRIO'!A:H,8,FALSE),VLOOKUP(C336,'SINAPI_COMPOSIÇÕES 062020'!A:D,4,FALSE))</f>
        <v>18.399999999999999</v>
      </c>
      <c r="H336" s="79">
        <f t="shared" si="66"/>
        <v>23.8</v>
      </c>
      <c r="I336" s="79">
        <f t="shared" si="67"/>
        <v>214.2</v>
      </c>
    </row>
    <row r="337" spans="1:9" ht="38.25" outlineLevel="2" x14ac:dyDescent="0.2">
      <c r="A337" s="45" t="s">
        <v>13546</v>
      </c>
      <c r="B337" s="45" t="s">
        <v>9</v>
      </c>
      <c r="C337" s="45">
        <v>89854</v>
      </c>
      <c r="D337" s="44" t="str">
        <f>IF(B337="MP-MT",VLOOKUP(C337,'COMPOSIÇÃO DE PREÇO UNITÁRIO'!A:B,2,FALSE),VLOOKUP(C337,'SINAPI_COMPOSIÇÕES 062020'!A:B,2,FALSE))</f>
        <v>JOELHO 90 GRAUS, PVC, SERIE NORMAL, ESGOTO PREDIAL, DN 150 MM, JUNTA ELÁSTICA, FORNECIDO E INSTALADO EM SUBCOLETOR AÉREO DE ESGOTO SANITÁRIO. AF_12/2014</v>
      </c>
      <c r="E337" s="45" t="str">
        <f>IF(B337="MP-MT",VLOOKUP(C337,'COMPOSIÇÃO DE PREÇO UNITÁRIO'!A:H,8,FALSE),VLOOKUP(C337,'SINAPI_COMPOSIÇÕES 062020'!A:C,3,FALSE))</f>
        <v>UN</v>
      </c>
      <c r="F337" s="78">
        <v>1</v>
      </c>
      <c r="G337" s="79">
        <f>IF(B337="MP-MT",VLOOKUP(CONCATENATE("TOTAL DO ÍTEM - ",C337),'COMPOSIÇÃO DE PREÇO UNITÁRIO'!A:H,8,FALSE),VLOOKUP(C337,'SINAPI_COMPOSIÇÕES 062020'!A:D,4,FALSE))</f>
        <v>60.15</v>
      </c>
      <c r="H337" s="79">
        <f t="shared" si="66"/>
        <v>77.819999999999993</v>
      </c>
      <c r="I337" s="79">
        <f t="shared" si="67"/>
        <v>77.819999999999993</v>
      </c>
    </row>
    <row r="338" spans="1:9" ht="38.25" outlineLevel="2" x14ac:dyDescent="0.2">
      <c r="A338" s="45" t="s">
        <v>13547</v>
      </c>
      <c r="B338" s="45" t="s">
        <v>9</v>
      </c>
      <c r="C338" s="45">
        <v>89726</v>
      </c>
      <c r="D338" s="44" t="str">
        <f>IF(B338="MP-MT",VLOOKUP(C338,'COMPOSIÇÃO DE PREÇO UNITÁRIO'!A:B,2,FALSE),VLOOKUP(C338,'SINAPI_COMPOSIÇÕES 062020'!A:B,2,FALSE))</f>
        <v>JOELHO 45 GRAUS, PVC, SERIE NORMAL, ESGOTO PREDIAL, DN 40 MM, JUNTA SOLDÁVEL, FORNECIDO E INSTALADO EM RAMAL DE DESCARGA OU RAMAL DE ESGOTO SANITÁRIO. AF_12/2014</v>
      </c>
      <c r="E338" s="45" t="str">
        <f>IF(B338="MP-MT",VLOOKUP(C338,'COMPOSIÇÃO DE PREÇO UNITÁRIO'!A:H,8,FALSE),VLOOKUP(C338,'SINAPI_COMPOSIÇÕES 062020'!A:C,3,FALSE))</f>
        <v>UN</v>
      </c>
      <c r="F338" s="78">
        <v>19</v>
      </c>
      <c r="G338" s="79">
        <f>IF(B338="MP-MT",VLOOKUP(CONCATENATE("TOTAL DO ÍTEM - ",C338),'COMPOSIÇÃO DE PREÇO UNITÁRIO'!A:H,8,FALSE),VLOOKUP(C338,'SINAPI_COMPOSIÇÕES 062020'!A:D,4,FALSE))</f>
        <v>5.8</v>
      </c>
      <c r="H338" s="79">
        <f t="shared" si="66"/>
        <v>7.5</v>
      </c>
      <c r="I338" s="79">
        <f t="shared" si="67"/>
        <v>142.5</v>
      </c>
    </row>
    <row r="339" spans="1:9" ht="38.25" outlineLevel="2" x14ac:dyDescent="0.2">
      <c r="A339" s="45" t="s">
        <v>13548</v>
      </c>
      <c r="B339" s="45" t="s">
        <v>9</v>
      </c>
      <c r="C339" s="45">
        <v>89732</v>
      </c>
      <c r="D339" s="44" t="str">
        <f>IF(B339="MP-MT",VLOOKUP(C339,'COMPOSIÇÃO DE PREÇO UNITÁRIO'!A:B,2,FALSE),VLOOKUP(C339,'SINAPI_COMPOSIÇÕES 062020'!A:B,2,FALSE))</f>
        <v>JOELHO 45 GRAUS, PVC, SERIE NORMAL, ESGOTO PREDIAL, DN 50 MM, JUNTA ELÁSTICA, FORNECIDO E INSTALADO EM RAMAL DE DESCARGA OU RAMAL DE ESGOTO SANITÁRIO. AF_12/2014</v>
      </c>
      <c r="E339" s="45" t="str">
        <f>IF(B339="MP-MT",VLOOKUP(C339,'COMPOSIÇÃO DE PREÇO UNITÁRIO'!A:H,8,FALSE),VLOOKUP(C339,'SINAPI_COMPOSIÇÕES 062020'!A:C,3,FALSE))</f>
        <v>UN</v>
      </c>
      <c r="F339" s="78">
        <v>3</v>
      </c>
      <c r="G339" s="79">
        <f>IF(B339="MP-MT",VLOOKUP(CONCATENATE("TOTAL DO ÍTEM - ",C339),'COMPOSIÇÃO DE PREÇO UNITÁRIO'!A:H,8,FALSE),VLOOKUP(C339,'SINAPI_COMPOSIÇÕES 062020'!A:D,4,FALSE))</f>
        <v>8.76</v>
      </c>
      <c r="H339" s="79">
        <f t="shared" si="66"/>
        <v>11.33</v>
      </c>
      <c r="I339" s="79">
        <f t="shared" si="67"/>
        <v>33.99</v>
      </c>
    </row>
    <row r="340" spans="1:9" ht="38.25" outlineLevel="2" x14ac:dyDescent="0.2">
      <c r="A340" s="45" t="s">
        <v>13549</v>
      </c>
      <c r="B340" s="45" t="s">
        <v>9</v>
      </c>
      <c r="C340" s="45">
        <v>89802</v>
      </c>
      <c r="D340" s="44" t="str">
        <f>IF(B340="MP-MT",VLOOKUP(C340,'COMPOSIÇÃO DE PREÇO UNITÁRIO'!A:B,2,FALSE),VLOOKUP(C340,'SINAPI_COMPOSIÇÕES 062020'!A:B,2,FALSE))</f>
        <v>JOELHO 45 GRAUS, PVC, SERIE NORMAL, ESGOTO PREDIAL, DN 50 MM, JUNTA ELÁSTICA, FORNECIDO E INSTALADO EM PRUMADA DE ESGOTO SANITÁRIO OU VENTILAÇÃO. AF_12/2014</v>
      </c>
      <c r="E340" s="45" t="str">
        <f>IF(B340="MP-MT",VLOOKUP(C340,'COMPOSIÇÃO DE PREÇO UNITÁRIO'!A:H,8,FALSE),VLOOKUP(C340,'SINAPI_COMPOSIÇÕES 062020'!A:C,3,FALSE))</f>
        <v>UN</v>
      </c>
      <c r="F340" s="78">
        <v>2</v>
      </c>
      <c r="G340" s="79">
        <f>IF(B340="MP-MT",VLOOKUP(CONCATENATE("TOTAL DO ÍTEM - ",C340),'COMPOSIÇÃO DE PREÇO UNITÁRIO'!A:H,8,FALSE),VLOOKUP(C340,'SINAPI_COMPOSIÇÕES 062020'!A:D,4,FALSE))</f>
        <v>5.91</v>
      </c>
      <c r="H340" s="79">
        <f t="shared" si="66"/>
        <v>7.64</v>
      </c>
      <c r="I340" s="79">
        <f t="shared" si="67"/>
        <v>15.28</v>
      </c>
    </row>
    <row r="341" spans="1:9" ht="38.25" outlineLevel="2" x14ac:dyDescent="0.2">
      <c r="A341" s="45" t="s">
        <v>13550</v>
      </c>
      <c r="B341" s="45" t="s">
        <v>9</v>
      </c>
      <c r="C341" s="45">
        <v>89783</v>
      </c>
      <c r="D341" s="44" t="str">
        <f>IF(B341="MP-MT",VLOOKUP(C341,'COMPOSIÇÃO DE PREÇO UNITÁRIO'!A:B,2,FALSE),VLOOKUP(C341,'SINAPI_COMPOSIÇÕES 062020'!A:B,2,FALSE))</f>
        <v>JUNÇÃO SIMPLES, PVC, SERIE NORMAL, ESGOTO PREDIAL, DN 40 MM, JUNTA SOLDÁVEL, FORNECIDO E INSTALADO EM RAMAL DE DESCARGA OU RAMAL DE ESGOTO SANITÁRIO. AF_12/2014</v>
      </c>
      <c r="E341" s="45" t="str">
        <f>IF(B341="MP-MT",VLOOKUP(C341,'COMPOSIÇÃO DE PREÇO UNITÁRIO'!A:H,8,FALSE),VLOOKUP(C341,'SINAPI_COMPOSIÇÕES 062020'!A:C,3,FALSE))</f>
        <v>UN</v>
      </c>
      <c r="F341" s="78">
        <v>8</v>
      </c>
      <c r="G341" s="79">
        <f>IF(B341="MP-MT",VLOOKUP(CONCATENATE("TOTAL DO ÍTEM - ",C341),'COMPOSIÇÃO DE PREÇO UNITÁRIO'!A:H,8,FALSE),VLOOKUP(C341,'SINAPI_COMPOSIÇÕES 062020'!A:D,4,FALSE))</f>
        <v>9.3800000000000008</v>
      </c>
      <c r="H341" s="79">
        <f t="shared" si="66"/>
        <v>12.13</v>
      </c>
      <c r="I341" s="79">
        <f t="shared" si="67"/>
        <v>97.04</v>
      </c>
    </row>
    <row r="342" spans="1:9" ht="38.25" outlineLevel="2" x14ac:dyDescent="0.2">
      <c r="A342" s="45" t="s">
        <v>13551</v>
      </c>
      <c r="B342" s="45" t="s">
        <v>9</v>
      </c>
      <c r="C342" s="45">
        <v>89754</v>
      </c>
      <c r="D342" s="44" t="str">
        <f>IF(B342="MP-MT",VLOOKUP(C342,'COMPOSIÇÃO DE PREÇO UNITÁRIO'!A:B,2,FALSE),VLOOKUP(C342,'SINAPI_COMPOSIÇÕES 062020'!A:B,2,FALSE))</f>
        <v>LUVA DE CORRER, PVC, SERIE NORMAL, ESGOTO PREDIAL, DN 50 MM, JUNTA ELÁSTICA, FORNECIDO E INSTALADO EM RAMAL DE DESCARGA OU RAMAL DE ESGOTO SANITÁRIO. AF_12/2014</v>
      </c>
      <c r="E342" s="45" t="str">
        <f>IF(B342="MP-MT",VLOOKUP(C342,'COMPOSIÇÃO DE PREÇO UNITÁRIO'!A:H,8,FALSE),VLOOKUP(C342,'SINAPI_COMPOSIÇÕES 062020'!A:C,3,FALSE))</f>
        <v>UN</v>
      </c>
      <c r="F342" s="78">
        <v>1</v>
      </c>
      <c r="G342" s="79">
        <f>IF(B342="MP-MT",VLOOKUP(CONCATENATE("TOTAL DO ÍTEM - ",C342),'COMPOSIÇÃO DE PREÇO UNITÁRIO'!A:H,8,FALSE),VLOOKUP(C342,'SINAPI_COMPOSIÇÕES 062020'!A:D,4,FALSE))</f>
        <v>12.17</v>
      </c>
      <c r="H342" s="79">
        <f t="shared" si="66"/>
        <v>15.74</v>
      </c>
      <c r="I342" s="79">
        <f t="shared" si="67"/>
        <v>15.74</v>
      </c>
    </row>
    <row r="343" spans="1:9" ht="38.25" outlineLevel="2" x14ac:dyDescent="0.2">
      <c r="A343" s="45" t="s">
        <v>13552</v>
      </c>
      <c r="B343" s="45" t="s">
        <v>9</v>
      </c>
      <c r="C343" s="45">
        <v>89784</v>
      </c>
      <c r="D343" s="44" t="str">
        <f>IF(B343="MP-MT",VLOOKUP(C343,'COMPOSIÇÃO DE PREÇO UNITÁRIO'!A:B,2,FALSE),VLOOKUP(C343,'SINAPI_COMPOSIÇÕES 062020'!A:B,2,FALSE))</f>
        <v>TE, PVC, SERIE NORMAL, ESGOTO PREDIAL, DN 50 X 50 MM, JUNTA ELÁSTICA, FORNECIDO E INSTALADO EM RAMAL DE DESCARGA OU RAMAL DE ESGOTO SANITÁRIO. AF_12/2014</v>
      </c>
      <c r="E343" s="45" t="str">
        <f>IF(B343="MP-MT",VLOOKUP(C343,'COMPOSIÇÃO DE PREÇO UNITÁRIO'!A:H,8,FALSE),VLOOKUP(C343,'SINAPI_COMPOSIÇÕES 062020'!A:C,3,FALSE))</f>
        <v>UN</v>
      </c>
      <c r="F343" s="78">
        <f>1+15</f>
        <v>16</v>
      </c>
      <c r="G343" s="79">
        <f>IF(B343="MP-MT",VLOOKUP(CONCATENATE("TOTAL DO ÍTEM - ",C343),'COMPOSIÇÃO DE PREÇO UNITÁRIO'!A:H,8,FALSE),VLOOKUP(C343,'SINAPI_COMPOSIÇÕES 062020'!A:D,4,FALSE))</f>
        <v>15.25</v>
      </c>
      <c r="H343" s="79">
        <f t="shared" si="66"/>
        <v>19.73</v>
      </c>
      <c r="I343" s="79">
        <f t="shared" si="67"/>
        <v>315.68</v>
      </c>
    </row>
    <row r="344" spans="1:9" ht="38.25" outlineLevel="2" x14ac:dyDescent="0.2">
      <c r="A344" s="45" t="s">
        <v>13553</v>
      </c>
      <c r="B344" s="45" t="s">
        <v>9</v>
      </c>
      <c r="C344" s="45">
        <v>89825</v>
      </c>
      <c r="D344" s="44" t="str">
        <f>IF(B344="MP-MT",VLOOKUP(C344,'COMPOSIÇÃO DE PREÇO UNITÁRIO'!A:B,2,FALSE),VLOOKUP(C344,'SINAPI_COMPOSIÇÕES 062020'!A:B,2,FALSE))</f>
        <v>TE, PVC, SERIE NORMAL, ESGOTO PREDIAL, DN 50 X 50 MM, JUNTA ELÁSTICA, FORNECIDO E INSTALADO EM PRUMADA DE ESGOTO SANITÁRIO OU VENTILAÇÃO. AF_12/2014</v>
      </c>
      <c r="E344" s="45" t="str">
        <f>IF(B344="MP-MT",VLOOKUP(C344,'COMPOSIÇÃO DE PREÇO UNITÁRIO'!A:H,8,FALSE),VLOOKUP(C344,'SINAPI_COMPOSIÇÕES 062020'!A:C,3,FALSE))</f>
        <v>UN</v>
      </c>
      <c r="F344" s="78">
        <v>3</v>
      </c>
      <c r="G344" s="79">
        <f>IF(B344="MP-MT",VLOOKUP(CONCATENATE("TOTAL DO ÍTEM - ",C344),'COMPOSIÇÃO DE PREÇO UNITÁRIO'!A:H,8,FALSE),VLOOKUP(C344,'SINAPI_COMPOSIÇÕES 062020'!A:D,4,FALSE))</f>
        <v>11.77</v>
      </c>
      <c r="H344" s="79">
        <f t="shared" si="66"/>
        <v>15.22</v>
      </c>
      <c r="I344" s="79">
        <f t="shared" si="67"/>
        <v>45.66</v>
      </c>
    </row>
    <row r="345" spans="1:9" ht="38.25" outlineLevel="2" x14ac:dyDescent="0.2">
      <c r="A345" s="45" t="s">
        <v>13554</v>
      </c>
      <c r="B345" s="45" t="s">
        <v>194</v>
      </c>
      <c r="C345" s="45" t="s">
        <v>12257</v>
      </c>
      <c r="D345" s="44" t="str">
        <f>IF(B345="MP-MT",VLOOKUP(C345,'COMPOSIÇÃO DE PREÇO UNITÁRIO'!A:B,2,FALSE),VLOOKUP(C345,'SINAPI_COMPOSIÇÕES 062020'!A:B,2,FALSE))</f>
        <v>TE, PVC, SERIE NORMAL, ESGOTO PREDIAL, DN 100 X 50 MM, JUNTA ELÁSTICA, FORNECIDO E INSTALADO EM RAMAL DE DESCARGA OU RAMAL DE ESGOTO SANITÁRIO</v>
      </c>
      <c r="E345" s="45" t="str">
        <f>IF(B345="MP-MT",VLOOKUP(C345,'COMPOSIÇÃO DE PREÇO UNITÁRIO'!A:H,8,FALSE),VLOOKUP(C345,'SINAPI_COMPOSIÇÕES 062020'!A:C,3,FALSE))</f>
        <v>UND</v>
      </c>
      <c r="F345" s="78">
        <v>7</v>
      </c>
      <c r="G345" s="79">
        <f>IF(B345="MP-MT",VLOOKUP(CONCATENATE("TOTAL DO ÍTEM - ",C345),'COMPOSIÇÃO DE PREÇO UNITÁRIO'!A:H,8,FALSE),VLOOKUP(C345,'SINAPI_COMPOSIÇÕES 062020'!A:D,4,FALSE))</f>
        <v>28.85</v>
      </c>
      <c r="H345" s="79">
        <f t="shared" si="58"/>
        <v>37.32</v>
      </c>
      <c r="I345" s="79">
        <f t="shared" si="59"/>
        <v>261.24</v>
      </c>
    </row>
    <row r="346" spans="1:9" ht="38.25" outlineLevel="2" x14ac:dyDescent="0.2">
      <c r="A346" s="45" t="s">
        <v>13555</v>
      </c>
      <c r="B346" s="45" t="s">
        <v>9</v>
      </c>
      <c r="C346" s="45">
        <v>89796</v>
      </c>
      <c r="D346" s="44" t="str">
        <f>IF(B346="MP-MT",VLOOKUP(C346,'COMPOSIÇÃO DE PREÇO UNITÁRIO'!A:B,2,FALSE),VLOOKUP(C346,'SINAPI_COMPOSIÇÕES 062020'!A:B,2,FALSE))</f>
        <v>TE, PVC, SERIE NORMAL, ESGOTO PREDIAL, DN 100 X 100 MM, JUNTA ELÁSTICA, FORNECIDO E INSTALADO EM RAMAL DE DESCARGA OU RAMAL DE ESGOTO SANITÁRIO. AF_12/2014</v>
      </c>
      <c r="E346" s="45" t="str">
        <f>IF(B346="MP-MT",VLOOKUP(C346,'COMPOSIÇÃO DE PREÇO UNITÁRIO'!A:H,8,FALSE),VLOOKUP(C346,'SINAPI_COMPOSIÇÕES 062020'!A:C,3,FALSE))</f>
        <v>UN</v>
      </c>
      <c r="F346" s="78">
        <f>11+2</f>
        <v>13</v>
      </c>
      <c r="G346" s="79">
        <f>IF(B346="MP-MT",VLOOKUP(CONCATENATE("TOTAL DO ÍTEM - ",C346),'COMPOSIÇÃO DE PREÇO UNITÁRIO'!A:H,8,FALSE),VLOOKUP(C346,'SINAPI_COMPOSIÇÕES 062020'!A:D,4,FALSE))</f>
        <v>30.99</v>
      </c>
      <c r="H346" s="79">
        <f t="shared" si="58"/>
        <v>40.090000000000003</v>
      </c>
      <c r="I346" s="79">
        <f t="shared" si="59"/>
        <v>521.16999999999996</v>
      </c>
    </row>
    <row r="347" spans="1:9" ht="38.25" outlineLevel="2" x14ac:dyDescent="0.2">
      <c r="A347" s="45" t="s">
        <v>13556</v>
      </c>
      <c r="B347" s="45" t="s">
        <v>194</v>
      </c>
      <c r="C347" s="45" t="s">
        <v>12261</v>
      </c>
      <c r="D347" s="44" t="str">
        <f>IF(B347="MP-MT",VLOOKUP(C347,'COMPOSIÇÃO DE PREÇO UNITÁRIO'!A:B,2,FALSE),VLOOKUP(C347,'SINAPI_COMPOSIÇÕES 062020'!A:B,2,FALSE))</f>
        <v>TE, PVC, SERIE NORMAL, ESGOTO PREDIAL, DN 150 X 100 MM, JUNTA ELÁSTICA, FORNECIDO E INSTALADO EM RAMAL DE DESCARGA OU RAMAL DE ESGOTO SANITÁRIO</v>
      </c>
      <c r="E347" s="45" t="str">
        <f>IF(B347="MP-MT",VLOOKUP(C347,'COMPOSIÇÃO DE PREÇO UNITÁRIO'!A:H,8,FALSE),VLOOKUP(C347,'SINAPI_COMPOSIÇÕES 062020'!A:C,3,FALSE))</f>
        <v>UND</v>
      </c>
      <c r="F347" s="78">
        <v>1</v>
      </c>
      <c r="G347" s="79">
        <f>IF(B347="MP-MT",VLOOKUP(CONCATENATE("TOTAL DO ÍTEM - ",C347),'COMPOSIÇÃO DE PREÇO UNITÁRIO'!A:H,8,FALSE),VLOOKUP(C347,'SINAPI_COMPOSIÇÕES 062020'!A:D,4,FALSE))</f>
        <v>86.16</v>
      </c>
      <c r="H347" s="79">
        <f t="shared" si="58"/>
        <v>111.47</v>
      </c>
      <c r="I347" s="79">
        <f t="shared" si="59"/>
        <v>111.47</v>
      </c>
    </row>
    <row r="348" spans="1:9" ht="25.5" outlineLevel="2" x14ac:dyDescent="0.2">
      <c r="A348" s="45" t="s">
        <v>13557</v>
      </c>
      <c r="B348" s="45" t="s">
        <v>194</v>
      </c>
      <c r="C348" s="45" t="s">
        <v>12265</v>
      </c>
      <c r="D348" s="44" t="str">
        <f>IF(B348="MP-MT",VLOOKUP(C348,'COMPOSIÇÃO DE PREÇO UNITÁRIO'!A:B,2,FALSE),VLOOKUP(C348,'SINAPI_COMPOSIÇÕES 062020'!A:B,2,FALSE))</f>
        <v>REDUÇÃO EXCÊNTRICA, PVC, PARA ESGOTO PREDIAL, DN 75 X 50MM - FORNECIMENTO E INSTALAÇÃO</v>
      </c>
      <c r="E348" s="45" t="str">
        <f>IF(B348="MP-MT",VLOOKUP(C348,'COMPOSIÇÃO DE PREÇO UNITÁRIO'!A:H,8,FALSE),VLOOKUP(C348,'SINAPI_COMPOSIÇÕES 062020'!A:C,3,FALSE))</f>
        <v>UND</v>
      </c>
      <c r="F348" s="78">
        <v>2</v>
      </c>
      <c r="G348" s="79">
        <f>IF(B348="MP-MT",VLOOKUP(CONCATENATE("TOTAL DO ÍTEM - ",C348),'COMPOSIÇÃO DE PREÇO UNITÁRIO'!A:H,8,FALSE),VLOOKUP(C348,'SINAPI_COMPOSIÇÕES 062020'!A:D,4,FALSE))</f>
        <v>11.99</v>
      </c>
      <c r="H348" s="79">
        <f t="shared" si="58"/>
        <v>15.51</v>
      </c>
      <c r="I348" s="79">
        <f t="shared" si="59"/>
        <v>31.02</v>
      </c>
    </row>
    <row r="349" spans="1:9" ht="25.5" outlineLevel="2" x14ac:dyDescent="0.2">
      <c r="A349" s="45" t="s">
        <v>13558</v>
      </c>
      <c r="B349" s="45" t="s">
        <v>194</v>
      </c>
      <c r="C349" s="45" t="s">
        <v>12269</v>
      </c>
      <c r="D349" s="44" t="str">
        <f>IF(B349="MP-MT",VLOOKUP(C349,'COMPOSIÇÃO DE PREÇO UNITÁRIO'!A:B,2,FALSE),VLOOKUP(C349,'SINAPI_COMPOSIÇÕES 062020'!A:B,2,FALSE))</f>
        <v>FORNECIMENTO E INSTALAÇÃO DE TERMINAL DE VENTILACAO, 50 MM, SERIE NORMAL, ESGOTO PREDIAL</v>
      </c>
      <c r="E349" s="45" t="str">
        <f>IF(B349="MP-MT",VLOOKUP(C349,'COMPOSIÇÃO DE PREÇO UNITÁRIO'!A:H,8,FALSE),VLOOKUP(C349,'SINAPI_COMPOSIÇÕES 062020'!A:C,3,FALSE))</f>
        <v>UND</v>
      </c>
      <c r="F349" s="78">
        <v>10</v>
      </c>
      <c r="G349" s="79">
        <f>IF(B349="MP-MT",VLOOKUP(CONCATENATE("TOTAL DO ÍTEM - ",C349),'COMPOSIÇÃO DE PREÇO UNITÁRIO'!A:H,8,FALSE),VLOOKUP(C349,'SINAPI_COMPOSIÇÕES 062020'!A:D,4,FALSE))</f>
        <v>9.4700000000000006</v>
      </c>
      <c r="H349" s="79">
        <f t="shared" si="58"/>
        <v>12.25</v>
      </c>
      <c r="I349" s="79">
        <f t="shared" si="59"/>
        <v>122.5</v>
      </c>
    </row>
    <row r="350" spans="1:9" ht="25.5" outlineLevel="2" x14ac:dyDescent="0.2">
      <c r="A350" s="45" t="s">
        <v>13559</v>
      </c>
      <c r="B350" s="45" t="s">
        <v>194</v>
      </c>
      <c r="C350" s="45" t="s">
        <v>12273</v>
      </c>
      <c r="D350" s="44" t="str">
        <f>IF(B350="MP-MT",VLOOKUP(C350,'COMPOSIÇÃO DE PREÇO UNITÁRIO'!A:B,2,FALSE),VLOOKUP(C350,'SINAPI_COMPOSIÇÕES 062020'!A:B,2,FALSE))</f>
        <v xml:space="preserve">FORNECIMENTO E INSTALAÇÃO DE TERMINAL DE VENTILACAO, 75 MM, SERIE NORMAL, ESGOTO PREDIAL </v>
      </c>
      <c r="E350" s="45" t="str">
        <f>IF(B350="MP-MT",VLOOKUP(C350,'COMPOSIÇÃO DE PREÇO UNITÁRIO'!A:H,8,FALSE),VLOOKUP(C350,'SINAPI_COMPOSIÇÕES 062020'!A:C,3,FALSE))</f>
        <v>UND</v>
      </c>
      <c r="F350" s="78">
        <v>2</v>
      </c>
      <c r="G350" s="79">
        <f>IF(B350="MP-MT",VLOOKUP(CONCATENATE("TOTAL DO ÍTEM - ",C350),'COMPOSIÇÃO DE PREÇO UNITÁRIO'!A:H,8,FALSE),VLOOKUP(C350,'SINAPI_COMPOSIÇÕES 062020'!A:D,4,FALSE))</f>
        <v>12.66</v>
      </c>
      <c r="H350" s="79">
        <f t="shared" si="58"/>
        <v>16.38</v>
      </c>
      <c r="I350" s="79">
        <f t="shared" si="59"/>
        <v>32.76</v>
      </c>
    </row>
    <row r="351" spans="1:9" ht="38.25" outlineLevel="2" x14ac:dyDescent="0.2">
      <c r="A351" s="45" t="s">
        <v>13560</v>
      </c>
      <c r="B351" s="45" t="s">
        <v>9</v>
      </c>
      <c r="C351" s="45">
        <v>89546</v>
      </c>
      <c r="D351" s="44" t="str">
        <f>IF(B351="MP-MT",VLOOKUP(C351,'COMPOSIÇÃO DE PREÇO UNITÁRIO'!A:B,2,FALSE),VLOOKUP(C351,'SINAPI_COMPOSIÇÕES 062020'!A:B,2,FALSE))</f>
        <v>BUCHA DE REDUÇÃO LONGA, PVC, SERIE R, ÁGUA PLUVIAL, DN 50 X 40 MM, JUNTA ELÁSTICA, FORNECIDO E INSTALADO EM RAMAL DE ENCAMINHAMENTO. AF_12/2014</v>
      </c>
      <c r="E351" s="45" t="str">
        <f>IF(B351="MP-MT",VLOOKUP(C351,'COMPOSIÇÃO DE PREÇO UNITÁRIO'!A:H,8,FALSE),VLOOKUP(C351,'SINAPI_COMPOSIÇÕES 062020'!A:C,3,FALSE))</f>
        <v>UN</v>
      </c>
      <c r="F351" s="78">
        <v>2</v>
      </c>
      <c r="G351" s="79">
        <f>IF(B351="MP-MT",VLOOKUP(CONCATENATE("TOTAL DO ÍTEM - ",C351),'COMPOSIÇÃO DE PREÇO UNITÁRIO'!A:H,8,FALSE),VLOOKUP(C351,'SINAPI_COMPOSIÇÕES 062020'!A:D,4,FALSE))</f>
        <v>8.3800000000000008</v>
      </c>
      <c r="H351" s="79">
        <f t="shared" si="58"/>
        <v>10.84</v>
      </c>
      <c r="I351" s="79">
        <f t="shared" si="59"/>
        <v>21.68</v>
      </c>
    </row>
    <row r="352" spans="1:9" outlineLevel="2" x14ac:dyDescent="0.2">
      <c r="A352" s="45" t="s">
        <v>13561</v>
      </c>
      <c r="B352" s="45" t="s">
        <v>194</v>
      </c>
      <c r="C352" s="45" t="s">
        <v>12275</v>
      </c>
      <c r="D352" s="44" t="str">
        <f>IF(B352="MP-MT",VLOOKUP(C352,'COMPOSIÇÃO DE PREÇO UNITÁRIO'!A:B,2,FALSE),VLOOKUP(C352,'SINAPI_COMPOSIÇÕES 062020'!A:B,2,FALSE))</f>
        <v>CAP PVC ESGOTO 150MM (TAMPÃO) - FORNECIMENTO E INSTALAÇÃO</v>
      </c>
      <c r="E352" s="45" t="str">
        <f>IF(B352="MP-MT",VLOOKUP(C352,'COMPOSIÇÃO DE PREÇO UNITÁRIO'!A:H,8,FALSE),VLOOKUP(C352,'SINAPI_COMPOSIÇÕES 062020'!A:C,3,FALSE))</f>
        <v>UND</v>
      </c>
      <c r="F352" s="78">
        <v>1</v>
      </c>
      <c r="G352" s="79">
        <f>IF(B352="MP-MT",VLOOKUP(CONCATENATE("TOTAL DO ÍTEM - ",C352),'COMPOSIÇÃO DE PREÇO UNITÁRIO'!A:H,8,FALSE),VLOOKUP(C352,'SINAPI_COMPOSIÇÕES 062020'!A:D,4,FALSE))</f>
        <v>54.58</v>
      </c>
      <c r="H352" s="79">
        <f t="shared" si="58"/>
        <v>70.61</v>
      </c>
      <c r="I352" s="79">
        <f t="shared" si="59"/>
        <v>70.61</v>
      </c>
    </row>
    <row r="353" spans="1:9" ht="38.25" outlineLevel="2" x14ac:dyDescent="0.2">
      <c r="A353" s="45" t="s">
        <v>13562</v>
      </c>
      <c r="B353" s="45" t="s">
        <v>9</v>
      </c>
      <c r="C353" s="45">
        <v>89753</v>
      </c>
      <c r="D353" s="44" t="str">
        <f>IF(B353="MP-MT",VLOOKUP(C353,'COMPOSIÇÃO DE PREÇO UNITÁRIO'!A:B,2,FALSE),VLOOKUP(C353,'SINAPI_COMPOSIÇÕES 062020'!A:B,2,FALSE))</f>
        <v>LUVA SIMPLES, PVC, SERIE NORMAL, ESGOTO PREDIAL, DN 50 MM, JUNTA ELÁSTICA, FORNECIDO E INSTALADO EM RAMAL DE DESCARGA OU RAMAL DE ESGOTO SANITÁRIO. AF_12/2014</v>
      </c>
      <c r="E353" s="45" t="str">
        <f>IF(B353="MP-MT",VLOOKUP(C353,'COMPOSIÇÃO DE PREÇO UNITÁRIO'!A:H,8,FALSE),VLOOKUP(C353,'SINAPI_COMPOSIÇÕES 062020'!A:C,3,FALSE))</f>
        <v>UN</v>
      </c>
      <c r="F353" s="78">
        <v>46</v>
      </c>
      <c r="G353" s="79">
        <f>IF(B353="MP-MT",VLOOKUP(CONCATENATE("TOTAL DO ÍTEM - ",C353),'COMPOSIÇÃO DE PREÇO UNITÁRIO'!A:H,8,FALSE),VLOOKUP(C353,'SINAPI_COMPOSIÇÕES 062020'!A:D,4,FALSE))</f>
        <v>7</v>
      </c>
      <c r="H353" s="79">
        <f t="shared" si="58"/>
        <v>9.0500000000000007</v>
      </c>
      <c r="I353" s="79">
        <f t="shared" si="59"/>
        <v>416.3</v>
      </c>
    </row>
    <row r="354" spans="1:9" ht="38.25" outlineLevel="2" x14ac:dyDescent="0.2">
      <c r="A354" s="45" t="s">
        <v>13563</v>
      </c>
      <c r="B354" s="45" t="s">
        <v>9</v>
      </c>
      <c r="C354" s="45">
        <v>89774</v>
      </c>
      <c r="D354" s="44" t="str">
        <f>IF(B354="MP-MT",VLOOKUP(C354,'COMPOSIÇÃO DE PREÇO UNITÁRIO'!A:B,2,FALSE),VLOOKUP(C354,'SINAPI_COMPOSIÇÕES 062020'!A:B,2,FALSE))</f>
        <v>LUVA SIMPLES, PVC, SERIE NORMAL, ESGOTO PREDIAL, DN 75 MM, JUNTA ELÁSTICA, FORNECIDO E INSTALADO EM RAMAL DE DESCARGA OU RAMAL DE ESGOTO SANITÁRIO. AF_12/2014</v>
      </c>
      <c r="E354" s="45" t="str">
        <f>IF(B354="MP-MT",VLOOKUP(C354,'COMPOSIÇÃO DE PREÇO UNITÁRIO'!A:H,8,FALSE),VLOOKUP(C354,'SINAPI_COMPOSIÇÕES 062020'!A:C,3,FALSE))</f>
        <v>UN</v>
      </c>
      <c r="F354" s="78">
        <v>12</v>
      </c>
      <c r="G354" s="79">
        <f>IF(B354="MP-MT",VLOOKUP(CONCATENATE("TOTAL DO ÍTEM - ",C354),'COMPOSIÇÃO DE PREÇO UNITÁRIO'!A:H,8,FALSE),VLOOKUP(C354,'SINAPI_COMPOSIÇÕES 062020'!A:D,4,FALSE))</f>
        <v>11.46</v>
      </c>
      <c r="H354" s="79">
        <f t="shared" ref="H354:H363" si="78">TRUNC(G354*(1+$F$1),2)</f>
        <v>14.82</v>
      </c>
      <c r="I354" s="79">
        <f t="shared" ref="I354:I363" si="79">TRUNC(H354*F354,2)</f>
        <v>177.84</v>
      </c>
    </row>
    <row r="355" spans="1:9" ht="38.25" outlineLevel="2" x14ac:dyDescent="0.2">
      <c r="A355" s="45" t="s">
        <v>13564</v>
      </c>
      <c r="B355" s="45" t="s">
        <v>9</v>
      </c>
      <c r="C355" s="45">
        <v>89778</v>
      </c>
      <c r="D355" s="44" t="str">
        <f>IF(B355="MP-MT",VLOOKUP(C355,'COMPOSIÇÃO DE PREÇO UNITÁRIO'!A:B,2,FALSE),VLOOKUP(C355,'SINAPI_COMPOSIÇÕES 062020'!A:B,2,FALSE))</f>
        <v>LUVA SIMPLES, PVC, SERIE NORMAL, ESGOTO PREDIAL, DN 100 MM, JUNTA ELÁSTICA, FORNECIDO E INSTALADO EM RAMAL DE DESCARGA OU RAMAL DE ESGOTO SANITÁRIO. AF_12/2014</v>
      </c>
      <c r="E355" s="45" t="str">
        <f>IF(B355="MP-MT",VLOOKUP(C355,'COMPOSIÇÃO DE PREÇO UNITÁRIO'!A:H,8,FALSE),VLOOKUP(C355,'SINAPI_COMPOSIÇÕES 062020'!A:C,3,FALSE))</f>
        <v>UN</v>
      </c>
      <c r="F355" s="78">
        <v>80</v>
      </c>
      <c r="G355" s="79">
        <f>IF(B355="MP-MT",VLOOKUP(CONCATENATE("TOTAL DO ÍTEM - ",C355),'COMPOSIÇÃO DE PREÇO UNITÁRIO'!A:H,8,FALSE),VLOOKUP(C355,'SINAPI_COMPOSIÇÕES 062020'!A:D,4,FALSE))</f>
        <v>14.49</v>
      </c>
      <c r="H355" s="79">
        <f t="shared" si="78"/>
        <v>18.739999999999998</v>
      </c>
      <c r="I355" s="79">
        <f t="shared" si="79"/>
        <v>1499.2</v>
      </c>
    </row>
    <row r="356" spans="1:9" ht="38.25" outlineLevel="2" x14ac:dyDescent="0.2">
      <c r="A356" s="45" t="s">
        <v>13565</v>
      </c>
      <c r="B356" s="45" t="s">
        <v>9</v>
      </c>
      <c r="C356" s="45">
        <v>95693</v>
      </c>
      <c r="D356" s="44" t="str">
        <f>IF(B356="MP-MT",VLOOKUP(C356,'COMPOSIÇÃO DE PREÇO UNITÁRIO'!A:B,2,FALSE),VLOOKUP(C356,'SINAPI_COMPOSIÇÕES 062020'!A:B,2,FALSE))</f>
        <v>LUVA SIMPLES, PVC, SÉRIE NORMAL, ESGOTO PREDIAL, DN 150 MM, JUNTA ELÁSTICA, FORNECIDO E INSTALADO EM SUBCOLETOR AÉREO DE ESGOTO SANITÁRIO. AF_12/2014</v>
      </c>
      <c r="E356" s="45" t="str">
        <f>IF(B356="MP-MT",VLOOKUP(C356,'COMPOSIÇÃO DE PREÇO UNITÁRIO'!A:H,8,FALSE),VLOOKUP(C356,'SINAPI_COMPOSIÇÕES 062020'!A:C,3,FALSE))</f>
        <v>UN</v>
      </c>
      <c r="F356" s="78">
        <v>2</v>
      </c>
      <c r="G356" s="79">
        <f>IF(B356="MP-MT",VLOOKUP(CONCATENATE("TOTAL DO ÍTEM - ",C356),'COMPOSIÇÃO DE PREÇO UNITÁRIO'!A:H,8,FALSE),VLOOKUP(C356,'SINAPI_COMPOSIÇÕES 062020'!A:D,4,FALSE))</f>
        <v>40.380000000000003</v>
      </c>
      <c r="H356" s="79">
        <f t="shared" si="78"/>
        <v>52.24</v>
      </c>
      <c r="I356" s="79">
        <f t="shared" si="79"/>
        <v>104.48</v>
      </c>
    </row>
    <row r="357" spans="1:9" ht="38.25" outlineLevel="2" x14ac:dyDescent="0.2">
      <c r="A357" s="45" t="s">
        <v>13566</v>
      </c>
      <c r="B357" s="45" t="s">
        <v>194</v>
      </c>
      <c r="C357" s="45" t="s">
        <v>12279</v>
      </c>
      <c r="D357" s="44" t="str">
        <f>IF(B357="MP-MT",VLOOKUP(C357,'COMPOSIÇÃO DE PREÇO UNITÁRIO'!A:B,2,FALSE),VLOOKUP(C357,'SINAPI_COMPOSIÇÕES 062020'!A:B,2,FALSE))</f>
        <v>CAIXA ENTERRADA HIDRÁULICA RETANGULAR EM ALVENARIA COM TIJOLOS CERÂMICOS MACIÇOS, DIMENSÕES INTERNAS: 0,6X0,6 M E PROFUNDIDADE ATÉ 1,50 M, PARA ALIMENTAÇÃO ÁGUA FRIA</v>
      </c>
      <c r="E357" s="45" t="str">
        <f>IF(B357="MP-MT",VLOOKUP(C357,'COMPOSIÇÃO DE PREÇO UNITÁRIO'!A:H,8,FALSE),VLOOKUP(C357,'SINAPI_COMPOSIÇÕES 062020'!A:C,3,FALSE))</f>
        <v>UND</v>
      </c>
      <c r="F357" s="78">
        <v>1</v>
      </c>
      <c r="G357" s="79">
        <f>IF(B357="MP-MT",VLOOKUP(CONCATENATE("TOTAL DO ÍTEM - ",C357),'COMPOSIÇÃO DE PREÇO UNITÁRIO'!A:H,8,FALSE),VLOOKUP(C357,'SINAPI_COMPOSIÇÕES 062020'!A:D,4,FALSE))</f>
        <v>397.94</v>
      </c>
      <c r="H357" s="79">
        <f t="shared" si="78"/>
        <v>514.87</v>
      </c>
      <c r="I357" s="79">
        <f t="shared" si="79"/>
        <v>514.87</v>
      </c>
    </row>
    <row r="358" spans="1:9" ht="25.5" outlineLevel="2" x14ac:dyDescent="0.2">
      <c r="A358" s="45" t="s">
        <v>13567</v>
      </c>
      <c r="B358" s="45" t="s">
        <v>9</v>
      </c>
      <c r="C358" s="45">
        <v>98110</v>
      </c>
      <c r="D358" s="44" t="str">
        <f>IF(B358="MP-MT",VLOOKUP(C358,'COMPOSIÇÃO DE PREÇO UNITÁRIO'!A:B,2,FALSE),VLOOKUP(C358,'SINAPI_COMPOSIÇÕES 062020'!A:B,2,FALSE))</f>
        <v>CAIXA DE GORDURA PEQUENA (CAPACIDADE: 19 L), CIRCULAR, EM PVC, DIÂMETRO INTERNO= 0,3 M. AF_05/2018</v>
      </c>
      <c r="E358" s="45" t="str">
        <f>IF(B358="MP-MT",VLOOKUP(C358,'COMPOSIÇÃO DE PREÇO UNITÁRIO'!A:H,8,FALSE),VLOOKUP(C358,'SINAPI_COMPOSIÇÕES 062020'!A:C,3,FALSE))</f>
        <v>UN</v>
      </c>
      <c r="F358" s="78">
        <f>1+1</f>
        <v>2</v>
      </c>
      <c r="G358" s="79">
        <f>IF(B358="MP-MT",VLOOKUP(CONCATENATE("TOTAL DO ÍTEM - ",C358),'COMPOSIÇÃO DE PREÇO UNITÁRIO'!A:H,8,FALSE),VLOOKUP(C358,'SINAPI_COMPOSIÇÕES 062020'!A:D,4,FALSE))</f>
        <v>394.32</v>
      </c>
      <c r="H358" s="79">
        <f t="shared" si="78"/>
        <v>510.19</v>
      </c>
      <c r="I358" s="79">
        <f t="shared" si="79"/>
        <v>1020.38</v>
      </c>
    </row>
    <row r="359" spans="1:9" ht="38.25" outlineLevel="2" x14ac:dyDescent="0.2">
      <c r="A359" s="45" t="s">
        <v>13568</v>
      </c>
      <c r="B359" s="45" t="s">
        <v>194</v>
      </c>
      <c r="C359" s="45" t="s">
        <v>12283</v>
      </c>
      <c r="D359" s="44" t="str">
        <f>IF(B359="MP-MT",VLOOKUP(C359,'COMPOSIÇÃO DE PREÇO UNITÁRIO'!A:B,2,FALSE),VLOOKUP(C359,'SINAPI_COMPOSIÇÕES 062020'!A:B,2,FALSE))</f>
        <v>CAIXA ENTERRADA HIDRÁULICA RETANGULAR EM ALVENARIA COM TIJOLOS CERÂMICOS MACIÇOS, DIMENSÕES INTERNAS: 0,6X0,6 M E PROFUNDIDADE ATÉ 1,50 M, PARA REDE DE ESGOTO</v>
      </c>
      <c r="E359" s="45" t="str">
        <f>IF(B359="MP-MT",VLOOKUP(C359,'COMPOSIÇÃO DE PREÇO UNITÁRIO'!A:H,8,FALSE),VLOOKUP(C359,'SINAPI_COMPOSIÇÕES 062020'!A:C,3,FALSE))</f>
        <v>UND</v>
      </c>
      <c r="F359" s="78">
        <f>1+2+1+1+1+1</f>
        <v>7</v>
      </c>
      <c r="G359" s="79">
        <f>IF(B359="MP-MT",VLOOKUP(CONCATENATE("TOTAL DO ÍTEM - ",C359),'COMPOSIÇÃO DE PREÇO UNITÁRIO'!A:H,8,FALSE),VLOOKUP(C359,'SINAPI_COMPOSIÇÕES 062020'!A:D,4,FALSE))</f>
        <v>397.94</v>
      </c>
      <c r="H359" s="79">
        <f t="shared" si="78"/>
        <v>514.87</v>
      </c>
      <c r="I359" s="79">
        <f t="shared" si="79"/>
        <v>3604.09</v>
      </c>
    </row>
    <row r="360" spans="1:9" ht="38.25" outlineLevel="2" x14ac:dyDescent="0.2">
      <c r="A360" s="45" t="s">
        <v>13569</v>
      </c>
      <c r="B360" s="45" t="s">
        <v>194</v>
      </c>
      <c r="C360" s="45" t="s">
        <v>12285</v>
      </c>
      <c r="D360" s="44" t="str">
        <f>IF(B360="MP-MT",VLOOKUP(C360,'COMPOSIÇÃO DE PREÇO UNITÁRIO'!A:B,2,FALSE),VLOOKUP(C360,'SINAPI_COMPOSIÇÕES 062020'!A:B,2,FALSE))</f>
        <v>CAIXA ENTERRADA HIDRÁULICA RETANGULAR EM ALVENARIA COM TIJOLOS CERÂMICOS MACIÇOS, DIMENSÕES INTERNAS: 0,4X0,7M, PROFUNDIDADE DE ATÉ 1,0 M PARA REDE DE ESGOTO</v>
      </c>
      <c r="E360" s="45" t="str">
        <f>IF(B360="MP-MT",VLOOKUP(C360,'COMPOSIÇÃO DE PREÇO UNITÁRIO'!A:H,8,FALSE),VLOOKUP(C360,'SINAPI_COMPOSIÇÕES 062020'!A:C,3,FALSE))</f>
        <v>UND</v>
      </c>
      <c r="F360" s="78">
        <v>1</v>
      </c>
      <c r="G360" s="79">
        <f>IF(B360="MP-MT",VLOOKUP(CONCATENATE("TOTAL DO ÍTEM - ",C360),'COMPOSIÇÃO DE PREÇO UNITÁRIO'!A:H,8,FALSE),VLOOKUP(C360,'SINAPI_COMPOSIÇÕES 062020'!A:D,4,FALSE))</f>
        <v>427.99</v>
      </c>
      <c r="H360" s="79">
        <f t="shared" si="78"/>
        <v>553.75</v>
      </c>
      <c r="I360" s="79">
        <f t="shared" si="79"/>
        <v>553.75</v>
      </c>
    </row>
    <row r="361" spans="1:9" ht="38.25" outlineLevel="2" x14ac:dyDescent="0.2">
      <c r="A361" s="45" t="s">
        <v>13570</v>
      </c>
      <c r="B361" s="45" t="s">
        <v>194</v>
      </c>
      <c r="C361" s="45" t="s">
        <v>12289</v>
      </c>
      <c r="D361" s="44" t="str">
        <f>IF(B361="MP-MT",VLOOKUP(C361,'COMPOSIÇÃO DE PREÇO UNITÁRIO'!A:B,2,FALSE),VLOOKUP(C361,'SINAPI_COMPOSIÇÕES 062020'!A:B,2,FALSE))</f>
        <v>CAIXA ENTERRADA HIDRÁULICA RETANGULAR EM ALVENARIA COM TIJOLOS CERÂMICOS MACIÇOS, DIMENSÕES INTERNAS: 0,4X0,9M, PROFUNDIDADE DE ATÉ 1,0 M PARA REDE DE ESGOTO</v>
      </c>
      <c r="E361" s="45" t="str">
        <f>IF(B361="MP-MT",VLOOKUP(C361,'COMPOSIÇÃO DE PREÇO UNITÁRIO'!A:H,8,FALSE),VLOOKUP(C361,'SINAPI_COMPOSIÇÕES 062020'!A:C,3,FALSE))</f>
        <v>UND</v>
      </c>
      <c r="F361" s="78">
        <v>2</v>
      </c>
      <c r="G361" s="79">
        <f>IF(B361="MP-MT",VLOOKUP(CONCATENATE("TOTAL DO ÍTEM - ",C361),'COMPOSIÇÃO DE PREÇO UNITÁRIO'!A:H,8,FALSE),VLOOKUP(C361,'SINAPI_COMPOSIÇÕES 062020'!A:D,4,FALSE))</f>
        <v>440.81</v>
      </c>
      <c r="H361" s="79">
        <f t="shared" si="78"/>
        <v>570.34</v>
      </c>
      <c r="I361" s="79">
        <f t="shared" si="79"/>
        <v>1140.68</v>
      </c>
    </row>
    <row r="362" spans="1:9" ht="38.25" outlineLevel="2" x14ac:dyDescent="0.2">
      <c r="A362" s="45" t="s">
        <v>13571</v>
      </c>
      <c r="B362" s="45" t="s">
        <v>194</v>
      </c>
      <c r="C362" s="45" t="s">
        <v>12291</v>
      </c>
      <c r="D362" s="44" t="str">
        <f>IF(B362="MP-MT",VLOOKUP(C362,'COMPOSIÇÃO DE PREÇO UNITÁRIO'!A:B,2,FALSE),VLOOKUP(C362,'SINAPI_COMPOSIÇÕES 062020'!A:B,2,FALSE))</f>
        <v>CAIXA ENTERRADA HIDRÁULICA RETANGULAR EM ALVENARIA COM TIJOLOS CERÂMICOS MACIÇOS, DIMENSÕES INTERNAS: 0,6X0,9 M E PROFUNDIDADE ATÉ 1,50 M, PARA REDE DE ESGOTO</v>
      </c>
      <c r="E362" s="45" t="str">
        <f>IF(B362="MP-MT",VLOOKUP(C362,'COMPOSIÇÃO DE PREÇO UNITÁRIO'!A:H,8,FALSE),VLOOKUP(C362,'SINAPI_COMPOSIÇÕES 062020'!A:C,3,FALSE))</f>
        <v>UND</v>
      </c>
      <c r="F362" s="78">
        <f>1+1</f>
        <v>2</v>
      </c>
      <c r="G362" s="79">
        <f>IF(B362="MP-MT",VLOOKUP(CONCATENATE("TOTAL DO ÍTEM - ",C362),'COMPOSIÇÃO DE PREÇO UNITÁRIO'!A:H,8,FALSE),VLOOKUP(C362,'SINAPI_COMPOSIÇÕES 062020'!A:D,4,FALSE))</f>
        <v>405.34</v>
      </c>
      <c r="H362" s="79">
        <f t="shared" si="78"/>
        <v>524.44000000000005</v>
      </c>
      <c r="I362" s="79">
        <f t="shared" si="79"/>
        <v>1048.8800000000001</v>
      </c>
    </row>
    <row r="363" spans="1:9" ht="38.25" outlineLevel="2" x14ac:dyDescent="0.2">
      <c r="A363" s="45" t="s">
        <v>13572</v>
      </c>
      <c r="B363" s="45" t="s">
        <v>194</v>
      </c>
      <c r="C363" s="45" t="s">
        <v>12293</v>
      </c>
      <c r="D363" s="44" t="str">
        <f>IF(B363="MP-MT",VLOOKUP(C363,'COMPOSIÇÃO DE PREÇO UNITÁRIO'!A:B,2,FALSE),VLOOKUP(C363,'SINAPI_COMPOSIÇÕES 062020'!A:B,2,FALSE))</f>
        <v>CAIXA ENTERRADA HIDRÁULICA RETANGULAR EM ALVENARIA COM TIJOLOS CERÂMICOS MACIÇOS, DIMENSÕES INTERNAS: 0,6X0,6 M E PROFUNDIDADE ATÉ 1,50 M, PARA REDE DE DRENAGEM</v>
      </c>
      <c r="E363" s="45" t="str">
        <f>IF(B363="MP-MT",VLOOKUP(C363,'COMPOSIÇÃO DE PREÇO UNITÁRIO'!A:H,8,FALSE),VLOOKUP(C363,'SINAPI_COMPOSIÇÕES 062020'!A:C,3,FALSE))</f>
        <v>UND</v>
      </c>
      <c r="F363" s="78">
        <f>4+1+2+1+1+1+1+1+1+1+1+1</f>
        <v>16</v>
      </c>
      <c r="G363" s="79">
        <f>IF(B363="MP-MT",VLOOKUP(CONCATENATE("TOTAL DO ÍTEM - ",C363),'COMPOSIÇÃO DE PREÇO UNITÁRIO'!A:H,8,FALSE),VLOOKUP(C363,'SINAPI_COMPOSIÇÕES 062020'!A:D,4,FALSE))</f>
        <v>397.94</v>
      </c>
      <c r="H363" s="79">
        <f t="shared" si="78"/>
        <v>514.87</v>
      </c>
      <c r="I363" s="79">
        <f t="shared" si="79"/>
        <v>8237.92</v>
      </c>
    </row>
    <row r="364" spans="1:9" ht="38.25" outlineLevel="2" x14ac:dyDescent="0.2">
      <c r="A364" s="45" t="s">
        <v>13573</v>
      </c>
      <c r="B364" s="45" t="s">
        <v>194</v>
      </c>
      <c r="C364" s="45" t="s">
        <v>12295</v>
      </c>
      <c r="D364" s="44" t="str">
        <f>IF(B364="MP-MT",VLOOKUP(C364,'COMPOSIÇÃO DE PREÇO UNITÁRIO'!A:B,2,FALSE),VLOOKUP(C364,'SINAPI_COMPOSIÇÕES 062020'!A:B,2,FALSE))</f>
        <v>CAIXA DE PASSAGEM EM ALVENARIA 60 X 60 X 60 CM, COM GRELHA DE CAPTAÇÃO EM FERRO FUNDIDO, INCLUSIVE ESCAVAÇÃO, REATERRO E BOTA-FORA</v>
      </c>
      <c r="E364" s="45" t="str">
        <f>IF(B364="MP-MT",VLOOKUP(C364,'COMPOSIÇÃO DE PREÇO UNITÁRIO'!A:H,8,FALSE),VLOOKUP(C364,'SINAPI_COMPOSIÇÕES 062020'!A:C,3,FALSE))</f>
        <v>UND</v>
      </c>
      <c r="F364" s="78">
        <f>1+1+1+1</f>
        <v>4</v>
      </c>
      <c r="G364" s="79">
        <f>IF(B364="MP-MT",VLOOKUP(CONCATENATE("TOTAL DO ÍTEM - ",C364),'COMPOSIÇÃO DE PREÇO UNITÁRIO'!A:H,8,FALSE),VLOOKUP(C364,'SINAPI_COMPOSIÇÕES 062020'!A:D,4,FALSE))</f>
        <v>469.48</v>
      </c>
      <c r="H364" s="79">
        <f t="shared" ref="H364:H367" si="80">TRUNC(G364*(1+$F$1),2)</f>
        <v>607.42999999999995</v>
      </c>
      <c r="I364" s="79">
        <f t="shared" ref="I364:I367" si="81">TRUNC(H364*F364,2)</f>
        <v>2429.7199999999998</v>
      </c>
    </row>
    <row r="365" spans="1:9" ht="25.5" outlineLevel="2" x14ac:dyDescent="0.2">
      <c r="A365" s="45" t="s">
        <v>13574</v>
      </c>
      <c r="B365" s="45" t="s">
        <v>194</v>
      </c>
      <c r="C365" s="45" t="s">
        <v>12299</v>
      </c>
      <c r="D365" s="44" t="str">
        <f>IF(B365="MP-MT",VLOOKUP(C365,'COMPOSIÇÃO DE PREÇO UNITÁRIO'!A:B,2,FALSE),VLOOKUP(C365,'SINAPI_COMPOSIÇÕES 062020'!A:B,2,FALSE))</f>
        <v>FOSSA SÉPTICA EM ANÉIS DE CONCRETO, DIÂMETRO 2,00 M E ALTURA 2,50 M, INCLUSIVE ESCAVAÇÃO, TAMPA E CHAMINÉ</v>
      </c>
      <c r="E365" s="45" t="str">
        <f>IF(B365="MP-MT",VLOOKUP(C365,'COMPOSIÇÃO DE PREÇO UNITÁRIO'!A:H,8,FALSE),VLOOKUP(C365,'SINAPI_COMPOSIÇÕES 062020'!A:C,3,FALSE))</f>
        <v>UND</v>
      </c>
      <c r="F365" s="78">
        <v>1</v>
      </c>
      <c r="G365" s="79">
        <f>IF(B365="MP-MT",VLOOKUP(CONCATENATE("TOTAL DO ÍTEM - ",C365),'COMPOSIÇÃO DE PREÇO UNITÁRIO'!A:H,8,FALSE),VLOOKUP(C365,'SINAPI_COMPOSIÇÕES 062020'!A:D,4,FALSE))</f>
        <v>3858.54</v>
      </c>
      <c r="H365" s="79">
        <f t="shared" si="80"/>
        <v>4992.37</v>
      </c>
      <c r="I365" s="79">
        <f t="shared" si="81"/>
        <v>4992.37</v>
      </c>
    </row>
    <row r="366" spans="1:9" ht="38.25" outlineLevel="2" x14ac:dyDescent="0.2">
      <c r="A366" s="45" t="s">
        <v>13575</v>
      </c>
      <c r="B366" s="45" t="s">
        <v>194</v>
      </c>
      <c r="C366" s="45" t="s">
        <v>12302</v>
      </c>
      <c r="D366" s="44" t="str">
        <f>IF(B366="MP-MT",VLOOKUP(C366,'COMPOSIÇÃO DE PREÇO UNITÁRIO'!A:B,2,FALSE),VLOOKUP(C366,'SINAPI_COMPOSIÇÕES 062020'!A:B,2,FALSE))</f>
        <v>FILTRO ANAERÓBICO EM ANÉIS DE CONCRETO, DIÂMETRO 2,00 M E PROFUNDIDADE FINAL DE 2,00 M, CAMADA DRENANTE EM BRITA, INCLUSIVE ESCAVAÇÃO, TAMPA E CHAMINÉ</v>
      </c>
      <c r="E366" s="45" t="str">
        <f>IF(B366="MP-MT",VLOOKUP(C366,'COMPOSIÇÃO DE PREÇO UNITÁRIO'!A:H,8,FALSE),VLOOKUP(C366,'SINAPI_COMPOSIÇÕES 062020'!A:C,3,FALSE))</f>
        <v>UND</v>
      </c>
      <c r="F366" s="78">
        <v>1</v>
      </c>
      <c r="G366" s="79">
        <f>IF(B366="MP-MT",VLOOKUP(CONCATENATE("TOTAL DO ÍTEM - ",C366),'COMPOSIÇÃO DE PREÇO UNITÁRIO'!A:H,8,FALSE),VLOOKUP(C366,'SINAPI_COMPOSIÇÕES 062020'!A:D,4,FALSE))</f>
        <v>4468.6899999999996</v>
      </c>
      <c r="H366" s="79">
        <f t="shared" si="80"/>
        <v>5781.81</v>
      </c>
      <c r="I366" s="79">
        <f t="shared" si="81"/>
        <v>5781.81</v>
      </c>
    </row>
    <row r="367" spans="1:9" ht="25.5" outlineLevel="2" x14ac:dyDescent="0.2">
      <c r="A367" s="45" t="s">
        <v>13576</v>
      </c>
      <c r="B367" s="45" t="s">
        <v>194</v>
      </c>
      <c r="C367" s="45" t="s">
        <v>12304</v>
      </c>
      <c r="D367" s="44" t="str">
        <f>IF(B367="MP-MT",VLOOKUP(C367,'COMPOSIÇÃO DE PREÇO UNITÁRIO'!A:B,2,FALSE),VLOOKUP(C367,'SINAPI_COMPOSIÇÕES 062020'!A:B,2,FALSE))</f>
        <v>SUMIDOURO RETANGULAR, EM ALVENARIA COM TIJOLOS CERÂMICOS MACIÇOS, DIMENSÕES INTERNAS: 2,50 x 3,00 x 1,22 M</v>
      </c>
      <c r="E367" s="45" t="str">
        <f>IF(B367="MP-MT",VLOOKUP(C367,'COMPOSIÇÃO DE PREÇO UNITÁRIO'!A:H,8,FALSE),VLOOKUP(C367,'SINAPI_COMPOSIÇÕES 062020'!A:C,3,FALSE))</f>
        <v>UND</v>
      </c>
      <c r="F367" s="78">
        <v>1</v>
      </c>
      <c r="G367" s="79">
        <f>IF(B367="MP-MT",VLOOKUP(CONCATENATE("TOTAL DO ÍTEM - ",C367),'COMPOSIÇÃO DE PREÇO UNITÁRIO'!A:H,8,FALSE),VLOOKUP(C367,'SINAPI_COMPOSIÇÕES 062020'!A:D,4,FALSE))</f>
        <v>7056.83</v>
      </c>
      <c r="H367" s="79">
        <f t="shared" si="80"/>
        <v>9130.48</v>
      </c>
      <c r="I367" s="79">
        <f t="shared" si="81"/>
        <v>9130.48</v>
      </c>
    </row>
    <row r="368" spans="1:9" outlineLevel="1" x14ac:dyDescent="0.2">
      <c r="A368" s="76"/>
      <c r="B368" s="76"/>
      <c r="C368" s="76"/>
      <c r="D368" s="91" t="str">
        <f>CONCATENATE("TOTAL DO ITEM - ",A279)</f>
        <v>TOTAL DO ITEM - 13.0</v>
      </c>
      <c r="E368" s="76"/>
      <c r="F368" s="92"/>
      <c r="G368" s="93"/>
      <c r="H368" s="93"/>
      <c r="I368" s="93">
        <f>SUM(I280:I367)</f>
        <v>78572.42</v>
      </c>
    </row>
    <row r="369" spans="1:9" outlineLevel="1" x14ac:dyDescent="0.2">
      <c r="A369" s="87" t="s">
        <v>37</v>
      </c>
      <c r="B369" s="87"/>
      <c r="C369" s="87"/>
      <c r="D369" s="88" t="s">
        <v>11950</v>
      </c>
      <c r="E369" s="87"/>
      <c r="F369" s="89"/>
      <c r="G369" s="90"/>
      <c r="H369" s="90"/>
      <c r="I369" s="90"/>
    </row>
    <row r="370" spans="1:9" outlineLevel="2" x14ac:dyDescent="0.2">
      <c r="A370" s="45" t="s">
        <v>13577</v>
      </c>
      <c r="B370" s="45" t="s">
        <v>194</v>
      </c>
      <c r="C370" s="45" t="s">
        <v>12325</v>
      </c>
      <c r="D370" s="44" t="str">
        <f>IF(B370="MP-MT",VLOOKUP(C370,'COMPOSIÇÃO DE PREÇO UNITÁRIO'!A:B,2,FALSE),VLOOKUP(C370,'SINAPI_COMPOSIÇÕES 062020'!A:B,2,FALSE))</f>
        <v>EXTINTOR PQS ABC 4KG - FORNECIMENTO E INSTALAÇÃO</v>
      </c>
      <c r="E370" s="45" t="str">
        <f>IF(B370="MP-MT",VLOOKUP(C370,'COMPOSIÇÃO DE PREÇO UNITÁRIO'!A:H,8,FALSE),VLOOKUP(C370,'SINAPI_COMPOSIÇÕES 062020'!A:C,3,FALSE))</f>
        <v>UND</v>
      </c>
      <c r="F370" s="78">
        <v>4</v>
      </c>
      <c r="G370" s="79">
        <f>IF(B370="MP-MT",VLOOKUP(CONCATENATE("TOTAL DO ÍTEM - ",C370),'COMPOSIÇÃO DE PREÇO UNITÁRIO'!A:H,8,FALSE),VLOOKUP(C370,'SINAPI_COMPOSIÇÕES 062020'!A:D,4,FALSE))</f>
        <v>150.08000000000001</v>
      </c>
      <c r="H370" s="79">
        <f t="shared" ref="H370:H392" si="82">TRUNC(G370*(1+$F$1),2)</f>
        <v>194.18</v>
      </c>
      <c r="I370" s="79">
        <f t="shared" ref="I370:I392" si="83">TRUNC(H370*F370,2)</f>
        <v>776.72</v>
      </c>
    </row>
    <row r="371" spans="1:9" ht="25.5" outlineLevel="2" x14ac:dyDescent="0.2">
      <c r="A371" s="45" t="s">
        <v>13578</v>
      </c>
      <c r="B371" s="45" t="s">
        <v>9</v>
      </c>
      <c r="C371" s="45">
        <v>97599</v>
      </c>
      <c r="D371" s="44" t="str">
        <f>IF(B371="MP-MT",VLOOKUP(C371,'COMPOSIÇÃO DE PREÇO UNITÁRIO'!A:B,2,FALSE),VLOOKUP(C371,'SINAPI_COMPOSIÇÕES 062020'!A:B,2,FALSE))</f>
        <v>LUMINÁRIA DE EMERGÊNCIA, COM 30 LÂMPADAS LED DE 2 W, SEM REATOR - FORNECIMENTO E INSTALAÇÃO. AF_02/2020</v>
      </c>
      <c r="E371" s="45" t="str">
        <f>IF(B371="MP-MT",VLOOKUP(C371,'COMPOSIÇÃO DE PREÇO UNITÁRIO'!A:H,8,FALSE),VLOOKUP(C371,'SINAPI_COMPOSIÇÕES 062020'!A:C,3,FALSE))</f>
        <v>UN</v>
      </c>
      <c r="F371" s="78">
        <v>13</v>
      </c>
      <c r="G371" s="79">
        <f>IF(B371="MP-MT",VLOOKUP(CONCATENATE("TOTAL DO ÍTEM - ",C371),'COMPOSIÇÃO DE PREÇO UNITÁRIO'!A:H,8,FALSE),VLOOKUP(C371,'SINAPI_COMPOSIÇÕES 062020'!A:D,4,FALSE))</f>
        <v>21.92</v>
      </c>
      <c r="H371" s="79">
        <f t="shared" si="82"/>
        <v>28.36</v>
      </c>
      <c r="I371" s="79">
        <f t="shared" si="83"/>
        <v>368.68</v>
      </c>
    </row>
    <row r="372" spans="1:9" ht="51" outlineLevel="2" x14ac:dyDescent="0.2">
      <c r="A372" s="45" t="s">
        <v>13585</v>
      </c>
      <c r="B372" s="45" t="s">
        <v>9</v>
      </c>
      <c r="C372" s="45">
        <v>72283</v>
      </c>
      <c r="D372" s="44" t="str">
        <f>IF(B372="MP-MT",VLOOKUP(C372,'COMPOSIÇÃO DE PREÇO UNITÁRIO'!A:B,2,FALSE),VLOOKUP(C372,'SINAPI_COMPOSIÇÕES 062020'!A:B,2,FALSE))</f>
        <v>ABRIGO PARA HIDRANTE, 75X45X17CM, COM REGISTRO GLOBO ANGULAR 45º 2.1/2", ADAPTADOR STORZ 2.1/2", MANGUEIRA DE INCÊNDIO 15M, REDUÇÃO 2.1/2X1.1/2" E ESGUICHO EM LATÃO 1.1/2" - FORNECIMENTO E INSTALAÇÃO</v>
      </c>
      <c r="E372" s="45" t="str">
        <f>IF(B372="MP-MT",VLOOKUP(C372,'COMPOSIÇÃO DE PREÇO UNITÁRIO'!A:H,8,FALSE),VLOOKUP(C372,'SINAPI_COMPOSIÇÕES 062020'!A:C,3,FALSE))</f>
        <v>UN</v>
      </c>
      <c r="F372" s="78">
        <v>2</v>
      </c>
      <c r="G372" s="79">
        <f>IF(B372="MP-MT",VLOOKUP(CONCATENATE("TOTAL DO ÍTEM - ",C372),'COMPOSIÇÃO DE PREÇO UNITÁRIO'!A:H,8,FALSE),VLOOKUP(C372,'SINAPI_COMPOSIÇÕES 062020'!A:D,4,FALSE))</f>
        <v>953.32</v>
      </c>
      <c r="H372" s="79">
        <f t="shared" si="82"/>
        <v>1233.45</v>
      </c>
      <c r="I372" s="79">
        <f t="shared" si="83"/>
        <v>2466.9</v>
      </c>
    </row>
    <row r="373" spans="1:9" ht="25.5" outlineLevel="2" x14ac:dyDescent="0.2">
      <c r="A373" s="45" t="s">
        <v>13583</v>
      </c>
      <c r="B373" s="45" t="s">
        <v>194</v>
      </c>
      <c r="C373" s="45" t="s">
        <v>12338</v>
      </c>
      <c r="D373" s="44" t="str">
        <f>IF(B373="MP-MT",VLOOKUP(C373,'COMPOSIÇÃO DE PREÇO UNITÁRIO'!A:B,2,FALSE),VLOOKUP(C373,'SINAPI_COMPOSIÇÕES 062020'!A:B,2,FALSE))</f>
        <v>FORNECIMENTO E INSTALAÇÃO DE BOTOEIRA PARA BOMBA DE INCÊNDIO 2 CHAVES</v>
      </c>
      <c r="E373" s="45" t="str">
        <f>IF(B373="MP-MT",VLOOKUP(C373,'COMPOSIÇÃO DE PREÇO UNITÁRIO'!A:H,8,FALSE),VLOOKUP(C373,'SINAPI_COMPOSIÇÕES 062020'!A:C,3,FALSE))</f>
        <v>UND</v>
      </c>
      <c r="F373" s="78">
        <v>2</v>
      </c>
      <c r="G373" s="79">
        <f>IF(B373="MP-MT",VLOOKUP(CONCATENATE("TOTAL DO ÍTEM - ",C373),'COMPOSIÇÃO DE PREÇO UNITÁRIO'!A:H,8,FALSE),VLOOKUP(C373,'SINAPI_COMPOSIÇÕES 062020'!A:D,4,FALSE))</f>
        <v>94.86</v>
      </c>
      <c r="H373" s="79">
        <f t="shared" si="82"/>
        <v>122.73</v>
      </c>
      <c r="I373" s="79">
        <f t="shared" si="83"/>
        <v>245.46</v>
      </c>
    </row>
    <row r="374" spans="1:9" ht="38.25" outlineLevel="2" x14ac:dyDescent="0.2">
      <c r="A374" s="45" t="s">
        <v>13582</v>
      </c>
      <c r="B374" s="45" t="s">
        <v>9</v>
      </c>
      <c r="C374" s="45">
        <v>92367</v>
      </c>
      <c r="D374" s="44" t="str">
        <f>IF(B374="MP-MT",VLOOKUP(C374,'COMPOSIÇÃO DE PREÇO UNITÁRIO'!A:B,2,FALSE),VLOOKUP(C374,'SINAPI_COMPOSIÇÕES 062020'!A:B,2,FALSE))</f>
        <v>TUBO DE AÇO GALVANIZADO COM COSTURA, CLASSE MÉDIA, DN 65 (2 1/2"), CONEXÃO ROSQUEADA, INSTALADO EM REDE DE ALIMENTAÇÃO PARA HIDRANTE - FORNECIMENTO E INSTALAÇÃO. AF_12/2015</v>
      </c>
      <c r="E374" s="45" t="str">
        <f>IF(B374="MP-MT",VLOOKUP(C374,'COMPOSIÇÃO DE PREÇO UNITÁRIO'!A:H,8,FALSE),VLOOKUP(C374,'SINAPI_COMPOSIÇÕES 062020'!A:C,3,FALSE))</f>
        <v>M</v>
      </c>
      <c r="F374" s="78">
        <v>38</v>
      </c>
      <c r="G374" s="79">
        <f>IF(B374="MP-MT",VLOOKUP(CONCATENATE("TOTAL DO ÍTEM - ",C374),'COMPOSIÇÃO DE PREÇO UNITÁRIO'!A:H,8,FALSE),VLOOKUP(C374,'SINAPI_COMPOSIÇÕES 062020'!A:D,4,FALSE))</f>
        <v>63.88</v>
      </c>
      <c r="H374" s="79">
        <f t="shared" si="82"/>
        <v>82.65</v>
      </c>
      <c r="I374" s="79">
        <f t="shared" si="83"/>
        <v>3140.7</v>
      </c>
    </row>
    <row r="375" spans="1:9" ht="38.25" outlineLevel="2" x14ac:dyDescent="0.2">
      <c r="A375" s="45" t="s">
        <v>13580</v>
      </c>
      <c r="B375" s="45" t="s">
        <v>9</v>
      </c>
      <c r="C375" s="45">
        <v>92390</v>
      </c>
      <c r="D375" s="44" t="str">
        <f>IF(B375="MP-MT",VLOOKUP(C375,'COMPOSIÇÃO DE PREÇO UNITÁRIO'!A:B,2,FALSE),VLOOKUP(C375,'SINAPI_COMPOSIÇÕES 062020'!A:B,2,FALSE))</f>
        <v>JOELHO 90 GRAUS, EM FERRO GALVANIZADO, DN 65 (2 1/2"), CONEXÃO ROSQUEADA, INSTALADO EM REDE DE ALIMENTAÇÃO PARA HIDRANTE - FORNECIMENTO E INSTALAÇÃO. AF_12/2015</v>
      </c>
      <c r="E375" s="45" t="str">
        <f>IF(B375="MP-MT",VLOOKUP(C375,'COMPOSIÇÃO DE PREÇO UNITÁRIO'!A:H,8,FALSE),VLOOKUP(C375,'SINAPI_COMPOSIÇÕES 062020'!A:C,3,FALSE))</f>
        <v>UN</v>
      </c>
      <c r="F375" s="78">
        <v>3</v>
      </c>
      <c r="G375" s="79">
        <f>IF(B375="MP-MT",VLOOKUP(CONCATENATE("TOTAL DO ÍTEM - ",C375),'COMPOSIÇÃO DE PREÇO UNITÁRIO'!A:H,8,FALSE),VLOOKUP(C375,'SINAPI_COMPOSIÇÕES 062020'!A:D,4,FALSE))</f>
        <v>83.12</v>
      </c>
      <c r="H375" s="79">
        <f t="shared" si="82"/>
        <v>107.54</v>
      </c>
      <c r="I375" s="79">
        <f t="shared" si="83"/>
        <v>322.62</v>
      </c>
    </row>
    <row r="376" spans="1:9" ht="38.25" outlineLevel="2" x14ac:dyDescent="0.2">
      <c r="A376" s="45" t="s">
        <v>13584</v>
      </c>
      <c r="B376" s="45" t="s">
        <v>9</v>
      </c>
      <c r="C376" s="45">
        <v>92642</v>
      </c>
      <c r="D376" s="44" t="str">
        <f>IF(B376="MP-MT",VLOOKUP(C376,'COMPOSIÇÃO DE PREÇO UNITÁRIO'!A:B,2,FALSE),VLOOKUP(C376,'SINAPI_COMPOSIÇÕES 062020'!A:B,2,FALSE))</f>
        <v>TÊ, EM FERRO GALVANIZADO, CONEXÃO ROSQUEADA, DN 65 (2 1/2"), INSTALADO EM REDE DE ALIMENTAÇÃO PARA HIDRANTE - FORNECIMENTO E INSTALAÇÃO. AF_12/2015</v>
      </c>
      <c r="E376" s="45" t="str">
        <f>IF(B376="MP-MT",VLOOKUP(C376,'COMPOSIÇÃO DE PREÇO UNITÁRIO'!A:H,8,FALSE),VLOOKUP(C376,'SINAPI_COMPOSIÇÕES 062020'!A:C,3,FALSE))</f>
        <v>UN</v>
      </c>
      <c r="F376" s="78">
        <v>1</v>
      </c>
      <c r="G376" s="79">
        <f>IF(B376="MP-MT",VLOOKUP(CONCATENATE("TOTAL DO ÍTEM - ",C376),'COMPOSIÇÃO DE PREÇO UNITÁRIO'!A:H,8,FALSE),VLOOKUP(C376,'SINAPI_COMPOSIÇÕES 062020'!A:D,4,FALSE))</f>
        <v>113.48</v>
      </c>
      <c r="H376" s="79">
        <f t="shared" si="82"/>
        <v>146.82</v>
      </c>
      <c r="I376" s="79">
        <f t="shared" si="83"/>
        <v>146.82</v>
      </c>
    </row>
    <row r="377" spans="1:9" ht="38.25" outlineLevel="2" x14ac:dyDescent="0.2">
      <c r="A377" s="45" t="s">
        <v>13581</v>
      </c>
      <c r="B377" s="45" t="s">
        <v>9</v>
      </c>
      <c r="C377" s="45">
        <v>92378</v>
      </c>
      <c r="D377" s="44" t="str">
        <f>IF(B377="MP-MT",VLOOKUP(C377,'COMPOSIÇÃO DE PREÇO UNITÁRIO'!A:B,2,FALSE),VLOOKUP(C377,'SINAPI_COMPOSIÇÕES 062020'!A:B,2,FALSE))</f>
        <v>LUVA, EM FERRO GALVANIZADO, DN 65 (2 1/2"), CONEXÃO ROSQUEADA, INSTALADO EM REDE DE ALIMENTAÇÃO PARA HIDRANTE - FORNECIMENTO E INSTALAÇÃO. AF_12/2015</v>
      </c>
      <c r="E377" s="45" t="str">
        <f>IF(B377="MP-MT",VLOOKUP(C377,'COMPOSIÇÃO DE PREÇO UNITÁRIO'!A:H,8,FALSE),VLOOKUP(C377,'SINAPI_COMPOSIÇÕES 062020'!A:C,3,FALSE))</f>
        <v>UN</v>
      </c>
      <c r="F377" s="78">
        <v>1</v>
      </c>
      <c r="G377" s="79">
        <f>IF(B377="MP-MT",VLOOKUP(CONCATENATE("TOTAL DO ÍTEM - ",C377),'COMPOSIÇÃO DE PREÇO UNITÁRIO'!A:H,8,FALSE),VLOOKUP(C377,'SINAPI_COMPOSIÇÕES 062020'!A:D,4,FALSE))</f>
        <v>57.46</v>
      </c>
      <c r="H377" s="79">
        <f t="shared" si="82"/>
        <v>74.34</v>
      </c>
      <c r="I377" s="79">
        <f t="shared" si="83"/>
        <v>74.34</v>
      </c>
    </row>
    <row r="378" spans="1:9" ht="38.25" outlineLevel="2" x14ac:dyDescent="0.2">
      <c r="A378" s="45" t="s">
        <v>13579</v>
      </c>
      <c r="B378" s="45" t="s">
        <v>9</v>
      </c>
      <c r="C378" s="45">
        <v>95746</v>
      </c>
      <c r="D378" s="44" t="str">
        <f>IF(B378="MP-MT",VLOOKUP(C378,'COMPOSIÇÃO DE PREÇO UNITÁRIO'!A:B,2,FALSE),VLOOKUP(C378,'SINAPI_COMPOSIÇÕES 062020'!A:B,2,FALSE))</f>
        <v>ELETRODUTO DE AÇO GALVANIZADO, CLASSE LEVE, DN 25 MM (1), APARENTE, INSTALADO EM TETO - FORNECIMENTO E INSTALAÇÃO. AF_11/2016_P</v>
      </c>
      <c r="E378" s="45" t="str">
        <f>IF(B378="MP-MT",VLOOKUP(C378,'COMPOSIÇÃO DE PREÇO UNITÁRIO'!A:H,8,FALSE),VLOOKUP(C378,'SINAPI_COMPOSIÇÕES 062020'!A:C,3,FALSE))</f>
        <v>M</v>
      </c>
      <c r="F378" s="78">
        <v>162.4</v>
      </c>
      <c r="G378" s="79">
        <f>IF(B378="MP-MT",VLOOKUP(CONCATENATE("TOTAL DO ÍTEM - ",C378),'COMPOSIÇÃO DE PREÇO UNITÁRIO'!A:H,8,FALSE),VLOOKUP(C378,'SINAPI_COMPOSIÇÕES 062020'!A:D,4,FALSE))</f>
        <v>20.28</v>
      </c>
      <c r="H378" s="79">
        <f t="shared" si="82"/>
        <v>26.23</v>
      </c>
      <c r="I378" s="79">
        <f t="shared" si="83"/>
        <v>4259.75</v>
      </c>
    </row>
    <row r="379" spans="1:9" ht="25.5" outlineLevel="2" x14ac:dyDescent="0.2">
      <c r="A379" s="45" t="s">
        <v>13586</v>
      </c>
      <c r="B379" s="45" t="s">
        <v>194</v>
      </c>
      <c r="C379" s="45" t="s">
        <v>12352</v>
      </c>
      <c r="D379" s="44" t="str">
        <f>IF(B379="MP-MT",VLOOKUP(C379,'COMPOSIÇÃO DE PREÇO UNITÁRIO'!A:B,2,FALSE),VLOOKUP(C379,'SINAPI_COMPOSIÇÕES 062020'!A:B,2,FALSE))</f>
        <v xml:space="preserve">CURVA 90º PARA  ELETRODUTO EM AÇO GALV. Ø 1" - FONECIMENTO E INSTALAÇÃO </v>
      </c>
      <c r="E379" s="45" t="str">
        <f>IF(B379="MP-MT",VLOOKUP(C379,'COMPOSIÇÃO DE PREÇO UNITÁRIO'!A:H,8,FALSE),VLOOKUP(C379,'SINAPI_COMPOSIÇÕES 062020'!A:C,3,FALSE))</f>
        <v>UND</v>
      </c>
      <c r="F379" s="78">
        <v>4</v>
      </c>
      <c r="G379" s="79">
        <f>IF(B379="MP-MT",VLOOKUP(CONCATENATE("TOTAL DO ÍTEM - ",C379),'COMPOSIÇÃO DE PREÇO UNITÁRIO'!A:H,8,FALSE),VLOOKUP(C379,'SINAPI_COMPOSIÇÕES 062020'!A:D,4,FALSE))</f>
        <v>12.97</v>
      </c>
      <c r="H379" s="79">
        <f t="shared" si="82"/>
        <v>16.78</v>
      </c>
      <c r="I379" s="79">
        <f t="shared" si="83"/>
        <v>67.12</v>
      </c>
    </row>
    <row r="380" spans="1:9" ht="25.5" outlineLevel="2" x14ac:dyDescent="0.2">
      <c r="A380" s="45" t="s">
        <v>13587</v>
      </c>
      <c r="B380" s="45" t="s">
        <v>9</v>
      </c>
      <c r="C380" s="45">
        <v>90447</v>
      </c>
      <c r="D380" s="44" t="str">
        <f>IF(B380="MP-MT",VLOOKUP(C380,'COMPOSIÇÃO DE PREÇO UNITÁRIO'!A:B,2,FALSE),VLOOKUP(C380,'SINAPI_COMPOSIÇÕES 062020'!A:B,2,FALSE))</f>
        <v>RASGO EM ALVENARIA PARA ELETRODUTOS COM DIAMETROS MENORES OU IGUAIS A 40 MM. AF_05/2015</v>
      </c>
      <c r="E380" s="45" t="str">
        <f>IF(B380="MP-MT",VLOOKUP(C380,'COMPOSIÇÃO DE PREÇO UNITÁRIO'!A:H,8,FALSE),VLOOKUP(C380,'SINAPI_COMPOSIÇÕES 062020'!A:C,3,FALSE))</f>
        <v>M</v>
      </c>
      <c r="F380" s="78">
        <v>14.3</v>
      </c>
      <c r="G380" s="79">
        <f>IF(B380="MP-MT",VLOOKUP(CONCATENATE("TOTAL DO ÍTEM - ",C380),'COMPOSIÇÃO DE PREÇO UNITÁRIO'!A:H,8,FALSE),VLOOKUP(C380,'SINAPI_COMPOSIÇÕES 062020'!A:D,4,FALSE))</f>
        <v>4.45</v>
      </c>
      <c r="H380" s="79">
        <f t="shared" si="82"/>
        <v>5.75</v>
      </c>
      <c r="I380" s="79">
        <f t="shared" si="83"/>
        <v>82.22</v>
      </c>
    </row>
    <row r="381" spans="1:9" ht="38.25" outlineLevel="2" x14ac:dyDescent="0.2">
      <c r="A381" s="45" t="s">
        <v>13588</v>
      </c>
      <c r="B381" s="45" t="s">
        <v>9</v>
      </c>
      <c r="C381" s="45">
        <v>91856</v>
      </c>
      <c r="D381" s="44" t="str">
        <f>IF(B381="MP-MT",VLOOKUP(C381,'COMPOSIÇÃO DE PREÇO UNITÁRIO'!A:B,2,FALSE),VLOOKUP(C381,'SINAPI_COMPOSIÇÕES 062020'!A:B,2,FALSE))</f>
        <v>ELETRODUTO FLEXÍVEL CORRUGADO, PVC, DN 32 MM (1"), PARA CIRCUITOS TERMINAIS, INSTALADO EM PAREDE - FORNECIMENTO E INSTALAÇÃO. AF_12/2015</v>
      </c>
      <c r="E381" s="45" t="str">
        <f>IF(B381="MP-MT",VLOOKUP(C381,'COMPOSIÇÃO DE PREÇO UNITÁRIO'!A:H,8,FALSE),VLOOKUP(C381,'SINAPI_COMPOSIÇÕES 062020'!A:C,3,FALSE))</f>
        <v>M</v>
      </c>
      <c r="F381" s="78">
        <v>14.3</v>
      </c>
      <c r="G381" s="79">
        <f>IF(B381="MP-MT",VLOOKUP(CONCATENATE("TOTAL DO ÍTEM - ",C381),'COMPOSIÇÃO DE PREÇO UNITÁRIO'!A:H,8,FALSE),VLOOKUP(C381,'SINAPI_COMPOSIÇÕES 062020'!A:D,4,FALSE))</f>
        <v>7.81</v>
      </c>
      <c r="H381" s="79">
        <f t="shared" si="82"/>
        <v>10.1</v>
      </c>
      <c r="I381" s="79">
        <f t="shared" si="83"/>
        <v>144.43</v>
      </c>
    </row>
    <row r="382" spans="1:9" ht="25.5" outlineLevel="2" x14ac:dyDescent="0.2">
      <c r="A382" s="45" t="s">
        <v>13589</v>
      </c>
      <c r="B382" s="45" t="s">
        <v>9</v>
      </c>
      <c r="C382" s="45">
        <v>90466</v>
      </c>
      <c r="D382" s="44" t="str">
        <f>IF(B382="MP-MT",VLOOKUP(C382,'COMPOSIÇÃO DE PREÇO UNITÁRIO'!A:B,2,FALSE),VLOOKUP(C382,'SINAPI_COMPOSIÇÕES 062020'!A:B,2,FALSE))</f>
        <v>CHUMBAMENTO LINEAR EM ALVENARIA PARA RAMAIS/DISTRIBUIÇÃO COM DIÂMETROS MENORES OU IGUAIS A 40 MM. AF_05/2015</v>
      </c>
      <c r="E382" s="45" t="str">
        <f>IF(B382="MP-MT",VLOOKUP(C382,'COMPOSIÇÃO DE PREÇO UNITÁRIO'!A:H,8,FALSE),VLOOKUP(C382,'SINAPI_COMPOSIÇÕES 062020'!A:C,3,FALSE))</f>
        <v>M</v>
      </c>
      <c r="F382" s="78">
        <v>14.3</v>
      </c>
      <c r="G382" s="79">
        <f>IF(B382="MP-MT",VLOOKUP(CONCATENATE("TOTAL DO ÍTEM - ",C382),'COMPOSIÇÃO DE PREÇO UNITÁRIO'!A:H,8,FALSE),VLOOKUP(C382,'SINAPI_COMPOSIÇÕES 062020'!A:D,4,FALSE))</f>
        <v>8.99</v>
      </c>
      <c r="H382" s="79">
        <f t="shared" si="82"/>
        <v>11.63</v>
      </c>
      <c r="I382" s="79">
        <f t="shared" si="83"/>
        <v>166.3</v>
      </c>
    </row>
    <row r="383" spans="1:9" ht="38.25" outlineLevel="2" x14ac:dyDescent="0.2">
      <c r="A383" s="45" t="s">
        <v>13590</v>
      </c>
      <c r="B383" s="45" t="s">
        <v>9</v>
      </c>
      <c r="C383" s="45">
        <v>95796</v>
      </c>
      <c r="D383" s="44" t="str">
        <f>IF(B383="MP-MT",VLOOKUP(C383,'COMPOSIÇÃO DE PREÇO UNITÁRIO'!A:B,2,FALSE),VLOOKUP(C383,'SINAPI_COMPOSIÇÕES 062020'!A:B,2,FALSE))</f>
        <v>CONDULETE DE ALUMÍNIO, TIPO T, PARA ELETRODUTO DE AÇO GALVANIZADO DN 25 MM (1''), APARENTE - FORNECIMENTO E INSTALAÇÃO. AF_11/2016_P</v>
      </c>
      <c r="E383" s="45" t="str">
        <f>IF(B383="MP-MT",VLOOKUP(C383,'COMPOSIÇÃO DE PREÇO UNITÁRIO'!A:H,8,FALSE),VLOOKUP(C383,'SINAPI_COMPOSIÇÕES 062020'!A:C,3,FALSE))</f>
        <v>UN</v>
      </c>
      <c r="F383" s="78">
        <v>12</v>
      </c>
      <c r="G383" s="79">
        <f>IF(B383="MP-MT",VLOOKUP(CONCATENATE("TOTAL DO ÍTEM - ",C383),'COMPOSIÇÃO DE PREÇO UNITÁRIO'!A:H,8,FALSE),VLOOKUP(C383,'SINAPI_COMPOSIÇÕES 062020'!A:D,4,FALSE))</f>
        <v>28.54</v>
      </c>
      <c r="H383" s="79">
        <f t="shared" si="82"/>
        <v>36.92</v>
      </c>
      <c r="I383" s="79">
        <f t="shared" si="83"/>
        <v>443.04</v>
      </c>
    </row>
    <row r="384" spans="1:9" ht="38.25" outlineLevel="2" x14ac:dyDescent="0.2">
      <c r="A384" s="45" t="s">
        <v>13591</v>
      </c>
      <c r="B384" s="45" t="s">
        <v>9</v>
      </c>
      <c r="C384" s="45">
        <v>95789</v>
      </c>
      <c r="D384" s="44" t="str">
        <f>IF(B384="MP-MT",VLOOKUP(C384,'COMPOSIÇÃO DE PREÇO UNITÁRIO'!A:B,2,FALSE),VLOOKUP(C384,'SINAPI_COMPOSIÇÕES 062020'!A:B,2,FALSE))</f>
        <v>CONDULETE DE ALUMÍNIO, TIPO LR, PARA ELETRODUTO DE AÇO GALVANIZADO DN 25 MM (1''), APARENTE - FORNECIMENTO E INSTALAÇÃO. AF_11/2016_P</v>
      </c>
      <c r="E384" s="45" t="str">
        <f>IF(B384="MP-MT",VLOOKUP(C384,'COMPOSIÇÃO DE PREÇO UNITÁRIO'!A:H,8,FALSE),VLOOKUP(C384,'SINAPI_COMPOSIÇÕES 062020'!A:C,3,FALSE))</f>
        <v>UN</v>
      </c>
      <c r="F384" s="78">
        <v>3</v>
      </c>
      <c r="G384" s="79">
        <f>IF(B384="MP-MT",VLOOKUP(CONCATENATE("TOTAL DO ÍTEM - ",C384),'COMPOSIÇÃO DE PREÇO UNITÁRIO'!A:H,8,FALSE),VLOOKUP(C384,'SINAPI_COMPOSIÇÕES 062020'!A:D,4,FALSE))</f>
        <v>24.26</v>
      </c>
      <c r="H384" s="79">
        <f t="shared" si="82"/>
        <v>31.38</v>
      </c>
      <c r="I384" s="79">
        <f t="shared" si="83"/>
        <v>94.14</v>
      </c>
    </row>
    <row r="385" spans="1:9" ht="38.25" outlineLevel="2" x14ac:dyDescent="0.2">
      <c r="A385" s="45" t="s">
        <v>13592</v>
      </c>
      <c r="B385" s="45" t="s">
        <v>194</v>
      </c>
      <c r="C385" s="45" t="s">
        <v>12356</v>
      </c>
      <c r="D385" s="44" t="str">
        <f>IF(B385="MP-MT",VLOOKUP(C385,'COMPOSIÇÃO DE PREÇO UNITÁRIO'!A:B,2,FALSE),VLOOKUP(C385,'SINAPI_COMPOSIÇÕES 062020'!A:B,2,FALSE))</f>
        <v>FORNECIMENTO E INSTALAÇÃO PLACA DE SINALIZAÇÃO DE SEGURANÇA CONTRA INCÊNDIO, 13X26CM, INDICAÇÃO SAÍDA DE EMERGÊNCIA DIR/ESQ/SAÍDA, FOTOLUMINECENTE</v>
      </c>
      <c r="E385" s="45" t="str">
        <f>IF(B385="MP-MT",VLOOKUP(C385,'COMPOSIÇÃO DE PREÇO UNITÁRIO'!A:H,8,FALSE),VLOOKUP(C385,'SINAPI_COMPOSIÇÕES 062020'!A:C,3,FALSE))</f>
        <v>UND</v>
      </c>
      <c r="F385" s="78">
        <v>12</v>
      </c>
      <c r="G385" s="79">
        <f>IF(B385="MP-MT",VLOOKUP(CONCATENATE("TOTAL DO ÍTEM - ",C385),'COMPOSIÇÃO DE PREÇO UNITÁRIO'!A:H,8,FALSE),VLOOKUP(C385,'SINAPI_COMPOSIÇÕES 062020'!A:D,4,FALSE))</f>
        <v>19.91</v>
      </c>
      <c r="H385" s="79">
        <f t="shared" si="82"/>
        <v>25.76</v>
      </c>
      <c r="I385" s="79">
        <f t="shared" si="83"/>
        <v>309.12</v>
      </c>
    </row>
    <row r="386" spans="1:9" ht="38.25" outlineLevel="2" x14ac:dyDescent="0.2">
      <c r="A386" s="45" t="s">
        <v>13593</v>
      </c>
      <c r="B386" s="45" t="s">
        <v>194</v>
      </c>
      <c r="C386" s="45" t="s">
        <v>12360</v>
      </c>
      <c r="D386" s="44" t="str">
        <f>IF(B386="MP-MT",VLOOKUP(C386,'COMPOSIÇÃO DE PREÇO UNITÁRIO'!A:B,2,FALSE),VLOOKUP(C386,'SINAPI_COMPOSIÇÕES 062020'!A:B,2,FALSE))</f>
        <v>FORNECIMENTO E INSTALAÇÃO PLACA DE INDICAÇÃO DE EXTINTOR/HIDRANTE/ALARME/CASA DE BOMBAS/DIVERSOS, 13X26CM, FOTOLUMINECENTE</v>
      </c>
      <c r="E386" s="45" t="str">
        <f>IF(B386="MP-MT",VLOOKUP(C386,'COMPOSIÇÃO DE PREÇO UNITÁRIO'!A:H,8,FALSE),VLOOKUP(C386,'SINAPI_COMPOSIÇÕES 062020'!A:C,3,FALSE))</f>
        <v>UND</v>
      </c>
      <c r="F386" s="78">
        <f>4+2+2+2</f>
        <v>10</v>
      </c>
      <c r="G386" s="79">
        <f>IF(B386="MP-MT",VLOOKUP(CONCATENATE("TOTAL DO ÍTEM - ",C386),'COMPOSIÇÃO DE PREÇO UNITÁRIO'!A:H,8,FALSE),VLOOKUP(C386,'SINAPI_COMPOSIÇÕES 062020'!A:D,4,FALSE))</f>
        <v>11.77</v>
      </c>
      <c r="H386" s="79">
        <f t="shared" si="82"/>
        <v>15.22</v>
      </c>
      <c r="I386" s="79">
        <f t="shared" si="83"/>
        <v>152.19999999999999</v>
      </c>
    </row>
    <row r="387" spans="1:9" ht="38.25" outlineLevel="2" x14ac:dyDescent="0.2">
      <c r="A387" s="45" t="s">
        <v>13594</v>
      </c>
      <c r="B387" s="45" t="s">
        <v>194</v>
      </c>
      <c r="C387" s="45" t="s">
        <v>12364</v>
      </c>
      <c r="D387" s="44" t="str">
        <f>IF(B387="MP-MT",VLOOKUP(C387,'COMPOSIÇÃO DE PREÇO UNITÁRIO'!A:B,2,FALSE),VLOOKUP(C387,'SINAPI_COMPOSIÇÕES 062020'!A:B,2,FALSE))</f>
        <v>FORNECIMENTO E INSTALAÇÃO PLACA DE DE SINALIZAÇÃO DE SEGURANÇA CONTRA INCÊNDIO, FOTOLUMINECENTE, QUADRADA 20 X 20 CM, SIMBOLOS "NÃO FUME", "INFLAMÁVEL", "ELETRICIDADE"</v>
      </c>
      <c r="E387" s="45" t="str">
        <f>IF(B387="MP-MT",VLOOKUP(C387,'COMPOSIÇÃO DE PREÇO UNITÁRIO'!A:H,8,FALSE),VLOOKUP(C387,'SINAPI_COMPOSIÇÕES 062020'!A:C,3,FALSE))</f>
        <v>UND</v>
      </c>
      <c r="F387" s="78">
        <f>5+2</f>
        <v>7</v>
      </c>
      <c r="G387" s="79">
        <f>IF(B387="MP-MT",VLOOKUP(CONCATENATE("TOTAL DO ÍTEM - ",C387),'COMPOSIÇÃO DE PREÇO UNITÁRIO'!A:H,8,FALSE),VLOOKUP(C387,'SINAPI_COMPOSIÇÕES 062020'!A:D,4,FALSE))</f>
        <v>13.33</v>
      </c>
      <c r="H387" s="79">
        <f t="shared" si="82"/>
        <v>17.239999999999998</v>
      </c>
      <c r="I387" s="79">
        <f t="shared" si="83"/>
        <v>120.68</v>
      </c>
    </row>
    <row r="388" spans="1:9" ht="25.5" outlineLevel="2" x14ac:dyDescent="0.2">
      <c r="A388" s="45" t="s">
        <v>13595</v>
      </c>
      <c r="B388" s="45" t="s">
        <v>194</v>
      </c>
      <c r="C388" s="45" t="s">
        <v>12366</v>
      </c>
      <c r="D388" s="44" t="str">
        <f>IF(B388="MP-MT",VLOOKUP(C388,'COMPOSIÇÃO DE PREÇO UNITÁRIO'!A:B,2,FALSE),VLOOKUP(C388,'SINAPI_COMPOSIÇÕES 062020'!A:B,2,FALSE))</f>
        <v>FORNECIMENTO E INSTALAÇÃO DE ACIONADOR MANUAL PARA ALARME DE EMERGÊNCIA, TIPO QUEBRA VIDRO</v>
      </c>
      <c r="E388" s="45" t="str">
        <f>IF(B388="MP-MT",VLOOKUP(C388,'COMPOSIÇÃO DE PREÇO UNITÁRIO'!A:H,8,FALSE),VLOOKUP(C388,'SINAPI_COMPOSIÇÕES 062020'!A:C,3,FALSE))</f>
        <v>UND</v>
      </c>
      <c r="F388" s="78">
        <v>2</v>
      </c>
      <c r="G388" s="79">
        <f>IF(B388="MP-MT",VLOOKUP(CONCATENATE("TOTAL DO ÍTEM - ",C388),'COMPOSIÇÃO DE PREÇO UNITÁRIO'!A:H,8,FALSE),VLOOKUP(C388,'SINAPI_COMPOSIÇÕES 062020'!A:D,4,FALSE))</f>
        <v>64.44</v>
      </c>
      <c r="H388" s="79">
        <f t="shared" si="82"/>
        <v>83.37</v>
      </c>
      <c r="I388" s="79">
        <f t="shared" si="83"/>
        <v>166.74</v>
      </c>
    </row>
    <row r="389" spans="1:9" outlineLevel="2" x14ac:dyDescent="0.2">
      <c r="A389" s="45" t="s">
        <v>13596</v>
      </c>
      <c r="B389" s="45" t="s">
        <v>194</v>
      </c>
      <c r="C389" s="45" t="s">
        <v>12378</v>
      </c>
      <c r="D389" s="44" t="str">
        <f>IF(B389="MP-MT",VLOOKUP(C389,'COMPOSIÇÃO DE PREÇO UNITÁRIO'!A:B,2,FALSE),VLOOKUP(C389,'SINAPI_COMPOSIÇÕES 062020'!A:B,2,FALSE))</f>
        <v>FORNECIMENTO E INSTALAÇÃO DE SIRENE ELÉTRICA 120dB 12V</v>
      </c>
      <c r="E389" s="45" t="str">
        <f>IF(B389="MP-MT",VLOOKUP(C389,'COMPOSIÇÃO DE PREÇO UNITÁRIO'!A:H,8,FALSE),VLOOKUP(C389,'SINAPI_COMPOSIÇÕES 062020'!A:C,3,FALSE))</f>
        <v>UND</v>
      </c>
      <c r="F389" s="78">
        <v>2</v>
      </c>
      <c r="G389" s="79">
        <f>IF(B389="MP-MT",VLOOKUP(CONCATENATE("TOTAL DO ÍTEM - ",C389),'COMPOSIÇÃO DE PREÇO UNITÁRIO'!A:H,8,FALSE),VLOOKUP(C389,'SINAPI_COMPOSIÇÕES 062020'!A:D,4,FALSE))</f>
        <v>49.09</v>
      </c>
      <c r="H389" s="79">
        <f t="shared" si="82"/>
        <v>63.51</v>
      </c>
      <c r="I389" s="79">
        <f t="shared" si="83"/>
        <v>127.02</v>
      </c>
    </row>
    <row r="390" spans="1:9" outlineLevel="2" x14ac:dyDescent="0.2">
      <c r="A390" s="45" t="s">
        <v>13597</v>
      </c>
      <c r="B390" s="45" t="s">
        <v>194</v>
      </c>
      <c r="C390" s="45" t="s">
        <v>12389</v>
      </c>
      <c r="D390" s="44" t="str">
        <f>IF(B390="MP-MT",VLOOKUP(C390,'COMPOSIÇÃO DE PREÇO UNITÁRIO'!A:B,2,FALSE),VLOOKUP(C390,'SINAPI_COMPOSIÇÕES 062020'!A:B,2,FALSE))</f>
        <v>FORNECIMENTO E INSTALAÇÃO DE DETECTOR DE FUMAÇA OPTICO</v>
      </c>
      <c r="E390" s="45" t="str">
        <f>IF(B390="MP-MT",VLOOKUP(C390,'COMPOSIÇÃO DE PREÇO UNITÁRIO'!A:H,8,FALSE),VLOOKUP(C390,'SINAPI_COMPOSIÇÕES 062020'!A:C,3,FALSE))</f>
        <v>UND</v>
      </c>
      <c r="F390" s="78">
        <v>25</v>
      </c>
      <c r="G390" s="79">
        <f>IF(B390="MP-MT",VLOOKUP(CONCATENATE("TOTAL DO ÍTEM - ",C390),'COMPOSIÇÃO DE PREÇO UNITÁRIO'!A:H,8,FALSE),VLOOKUP(C390,'SINAPI_COMPOSIÇÕES 062020'!A:D,4,FALSE))</f>
        <v>97.14</v>
      </c>
      <c r="H390" s="79">
        <f t="shared" si="82"/>
        <v>125.68</v>
      </c>
      <c r="I390" s="79">
        <f t="shared" si="83"/>
        <v>3142</v>
      </c>
    </row>
    <row r="391" spans="1:9" ht="25.5" outlineLevel="2" x14ac:dyDescent="0.2">
      <c r="A391" s="45" t="s">
        <v>13598</v>
      </c>
      <c r="B391" s="45" t="s">
        <v>9</v>
      </c>
      <c r="C391" s="45">
        <v>91928</v>
      </c>
      <c r="D391" s="44" t="str">
        <f>IF(B391="MP-MT",VLOOKUP(C391,'COMPOSIÇÃO DE PREÇO UNITÁRIO'!A:B,2,FALSE),VLOOKUP(C391,'SINAPI_COMPOSIÇÕES 062020'!A:B,2,FALSE))</f>
        <v>CABO DE COBRE FLEXÍVEL ISOLADO, 4 MM², ANTI-CHAMA 450/750 V, PARA CIRCUITOS TERMINAIS - FORNECIMENTO E INSTALAÇÃO. AF_12/2015</v>
      </c>
      <c r="E391" s="45" t="str">
        <f>IF(B391="MP-MT",VLOOKUP(C391,'COMPOSIÇÃO DE PREÇO UNITÁRIO'!A:H,8,FALSE),VLOOKUP(C391,'SINAPI_COMPOSIÇÕES 062020'!A:C,3,FALSE))</f>
        <v>M</v>
      </c>
      <c r="F391" s="78">
        <v>125</v>
      </c>
      <c r="G391" s="79">
        <f>IF(B391="MP-MT",VLOOKUP(CONCATENATE("TOTAL DO ÍTEM - ",C391),'COMPOSIÇÃO DE PREÇO UNITÁRIO'!A:H,8,FALSE),VLOOKUP(C391,'SINAPI_COMPOSIÇÕES 062020'!A:D,4,FALSE))</f>
        <v>4.3499999999999996</v>
      </c>
      <c r="H391" s="79">
        <f t="shared" si="82"/>
        <v>5.62</v>
      </c>
      <c r="I391" s="79">
        <f t="shared" si="83"/>
        <v>702.5</v>
      </c>
    </row>
    <row r="392" spans="1:9" ht="25.5" outlineLevel="2" x14ac:dyDescent="0.2">
      <c r="A392" s="45" t="s">
        <v>13599</v>
      </c>
      <c r="B392" s="45" t="s">
        <v>194</v>
      </c>
      <c r="C392" s="45" t="s">
        <v>12402</v>
      </c>
      <c r="D392" s="44" t="str">
        <f>IF(B392="MP-MT",VLOOKUP(C392,'COMPOSIÇÃO DE PREÇO UNITÁRIO'!A:B,2,FALSE),VLOOKUP(C392,'SINAPI_COMPOSIÇÕES 062020'!A:B,2,FALSE))</f>
        <v>CABO FLEXÍVEL BLINDADO, 2 VIAS 1,5MM², PARA INSTALAÇÕES DE SISTEMA DE PREVENÇÃO E COMBATE A INCÊNDIO - FORNECIMENTO E INSTALAÇÃO</v>
      </c>
      <c r="E392" s="45" t="str">
        <f>IF(B392="MP-MT",VLOOKUP(C392,'COMPOSIÇÃO DE PREÇO UNITÁRIO'!A:H,8,FALSE),VLOOKUP(C392,'SINAPI_COMPOSIÇÕES 062020'!A:C,3,FALSE))</f>
        <v>M</v>
      </c>
      <c r="F392" s="78">
        <v>211.2</v>
      </c>
      <c r="G392" s="79">
        <f>IF(B392="MP-MT",VLOOKUP(CONCATENATE("TOTAL DO ÍTEM - ",C392),'COMPOSIÇÃO DE PREÇO UNITÁRIO'!A:H,8,FALSE),VLOOKUP(C392,'SINAPI_COMPOSIÇÕES 062020'!A:D,4,FALSE))</f>
        <v>7.25</v>
      </c>
      <c r="H392" s="79">
        <f t="shared" si="82"/>
        <v>9.3800000000000008</v>
      </c>
      <c r="I392" s="79">
        <f t="shared" si="83"/>
        <v>1981.05</v>
      </c>
    </row>
    <row r="393" spans="1:9" outlineLevel="1" x14ac:dyDescent="0.2">
      <c r="A393" s="76"/>
      <c r="B393" s="76"/>
      <c r="C393" s="76"/>
      <c r="D393" s="91" t="str">
        <f>CONCATENATE("TOTAL DO ITEM - ",A369)</f>
        <v>TOTAL DO ITEM - 14.0</v>
      </c>
      <c r="E393" s="76"/>
      <c r="F393" s="92"/>
      <c r="G393" s="93"/>
      <c r="H393" s="93"/>
      <c r="I393" s="93">
        <f>SUM(I370:I392)</f>
        <v>19500.55</v>
      </c>
    </row>
    <row r="394" spans="1:9" outlineLevel="1" x14ac:dyDescent="0.2">
      <c r="A394" s="87" t="s">
        <v>60</v>
      </c>
      <c r="B394" s="87"/>
      <c r="C394" s="87"/>
      <c r="D394" s="88" t="s">
        <v>11939</v>
      </c>
      <c r="E394" s="87"/>
      <c r="F394" s="89"/>
      <c r="G394" s="90"/>
      <c r="H394" s="90"/>
      <c r="I394" s="90"/>
    </row>
    <row r="395" spans="1:9" ht="25.5" outlineLevel="2" x14ac:dyDescent="0.2">
      <c r="A395" s="45" t="s">
        <v>13489</v>
      </c>
      <c r="B395" s="45" t="s">
        <v>9</v>
      </c>
      <c r="C395" s="45">
        <v>93358</v>
      </c>
      <c r="D395" s="44" t="str">
        <f>IF(B395="MP-MT",VLOOKUP(C395,'COMPOSIÇÃO DE PREÇO UNITÁRIO'!A:B,2,FALSE),VLOOKUP(C395,'SINAPI_COMPOSIÇÕES 062020'!A:B,2,FALSE))</f>
        <v>ESCAVAÇÃO MANUAL DE VALA COM PROFUNDIDADE MENOR OU IGUAL A 1,30 M. AF_03/2016</v>
      </c>
      <c r="E395" s="45" t="str">
        <f>IF(B395="MP-MT",VLOOKUP(C395,'COMPOSIÇÃO DE PREÇO UNITÁRIO'!A:H,8,FALSE),VLOOKUP(C395,'SINAPI_COMPOSIÇÕES 062020'!A:C,3,FALSE))</f>
        <v>M3</v>
      </c>
      <c r="F395" s="78">
        <v>25.398</v>
      </c>
      <c r="G395" s="79">
        <f>IF(B395="MP-MT",VLOOKUP(CONCATENATE("TOTAL DO ÍTEM - ",C395),'COMPOSIÇÃO DE PREÇO UNITÁRIO'!A:H,8,FALSE),VLOOKUP(C395,'SINAPI_COMPOSIÇÕES 062020'!A:D,4,FALSE))</f>
        <v>56.84</v>
      </c>
      <c r="H395" s="79">
        <f>TRUNC(G395*(1+$F$1),2)</f>
        <v>73.540000000000006</v>
      </c>
      <c r="I395" s="79">
        <f>TRUNC(H395*F395,2)</f>
        <v>1867.76</v>
      </c>
    </row>
    <row r="396" spans="1:9" outlineLevel="2" x14ac:dyDescent="0.2">
      <c r="A396" s="45" t="s">
        <v>13600</v>
      </c>
      <c r="B396" s="45" t="s">
        <v>9</v>
      </c>
      <c r="C396" s="45">
        <v>96995</v>
      </c>
      <c r="D396" s="44" t="str">
        <f>IF(B396="MP-MT",VLOOKUP(C396,'COMPOSIÇÃO DE PREÇO UNITÁRIO'!A:B,2,FALSE),VLOOKUP(C396,'SINAPI_COMPOSIÇÕES 062020'!A:B,2,FALSE))</f>
        <v>REATERRO MANUAL APILOADO COM SOQUETE. AF_10/2017</v>
      </c>
      <c r="E396" s="45" t="str">
        <f>IF(B396="MP-MT",VLOOKUP(C396,'COMPOSIÇÃO DE PREÇO UNITÁRIO'!A:H,8,FALSE),VLOOKUP(C396,'SINAPI_COMPOSIÇÕES 062020'!A:C,3,FALSE))</f>
        <v>M3</v>
      </c>
      <c r="F396" s="78">
        <v>22.8582</v>
      </c>
      <c r="G396" s="79">
        <f>IF(B396="MP-MT",VLOOKUP(CONCATENATE("TOTAL DO ÍTEM - ",C396),'COMPOSIÇÃO DE PREÇO UNITÁRIO'!A:H,8,FALSE),VLOOKUP(C396,'SINAPI_COMPOSIÇÕES 062020'!A:D,4,FALSE))</f>
        <v>34.46</v>
      </c>
      <c r="H396" s="79">
        <f t="shared" ref="H396:H404" si="84">TRUNC(G396*(1+$F$1),2)</f>
        <v>44.58</v>
      </c>
      <c r="I396" s="79">
        <f t="shared" ref="I396:I403" si="85">TRUNC(H396*F396,2)</f>
        <v>1019.01</v>
      </c>
    </row>
    <row r="397" spans="1:9" ht="25.5" outlineLevel="2" x14ac:dyDescent="0.2">
      <c r="A397" s="45" t="s">
        <v>13601</v>
      </c>
      <c r="B397" s="45" t="s">
        <v>9</v>
      </c>
      <c r="C397" s="45">
        <v>89512</v>
      </c>
      <c r="D397" s="44" t="str">
        <f>IF(B397="MP-MT",VLOOKUP(C397,'COMPOSIÇÃO DE PREÇO UNITÁRIO'!A:B,2,FALSE),VLOOKUP(C397,'SINAPI_COMPOSIÇÕES 062020'!A:B,2,FALSE))</f>
        <v>TUBO PVC, SÉRIE R, ÁGUA PLUVIAL, DN 100 MM, FORNECIDO E INSTALADO EM RAMAL DE ENCAMINHAMENTO. AF_12/2014</v>
      </c>
      <c r="E397" s="45" t="str">
        <f>IF(B397="MP-MT",VLOOKUP(C397,'COMPOSIÇÃO DE PREÇO UNITÁRIO'!A:H,8,FALSE),VLOOKUP(C397,'SINAPI_COMPOSIÇÕES 062020'!A:C,3,FALSE))</f>
        <v>M</v>
      </c>
      <c r="F397" s="78">
        <f>104.04+76.05</f>
        <v>180.09</v>
      </c>
      <c r="G397" s="79">
        <f>IF(B397="MP-MT",VLOOKUP(CONCATENATE("TOTAL DO ÍTEM - ",C397),'COMPOSIÇÃO DE PREÇO UNITÁRIO'!A:H,8,FALSE),VLOOKUP(C397,'SINAPI_COMPOSIÇÕES 062020'!A:D,4,FALSE))</f>
        <v>49.2</v>
      </c>
      <c r="H397" s="79">
        <f t="shared" si="84"/>
        <v>63.65</v>
      </c>
      <c r="I397" s="79">
        <f t="shared" si="85"/>
        <v>11462.72</v>
      </c>
    </row>
    <row r="398" spans="1:9" ht="25.5" outlineLevel="2" x14ac:dyDescent="0.2">
      <c r="A398" s="45" t="s">
        <v>13602</v>
      </c>
      <c r="B398" s="45" t="s">
        <v>9</v>
      </c>
      <c r="C398" s="45">
        <v>89580</v>
      </c>
      <c r="D398" s="44" t="str">
        <f>IF(B398="MP-MT",VLOOKUP(C398,'COMPOSIÇÃO DE PREÇO UNITÁRIO'!A:B,2,FALSE),VLOOKUP(C398,'SINAPI_COMPOSIÇÕES 062020'!A:B,2,FALSE))</f>
        <v>TUBO PVC, SÉRIE R, ÁGUA PLUVIAL, DN 150 MM, FORNECIDO E INSTALADO EM CONDUTORES VERTICAIS DE ÁGUAS PLUVIAIS. AF_12/2014</v>
      </c>
      <c r="E398" s="45" t="str">
        <f>IF(B398="MP-MT",VLOOKUP(C398,'COMPOSIÇÃO DE PREÇO UNITÁRIO'!A:H,8,FALSE),VLOOKUP(C398,'SINAPI_COMPOSIÇÕES 062020'!A:C,3,FALSE))</f>
        <v>M</v>
      </c>
      <c r="F398" s="78">
        <v>104.03</v>
      </c>
      <c r="G398" s="79">
        <f>IF(B398="MP-MT",VLOOKUP(CONCATENATE("TOTAL DO ÍTEM - ",C398),'COMPOSIÇÃO DE PREÇO UNITÁRIO'!A:H,8,FALSE),VLOOKUP(C398,'SINAPI_COMPOSIÇÕES 062020'!A:D,4,FALSE))</f>
        <v>60.41</v>
      </c>
      <c r="H398" s="79">
        <f t="shared" si="84"/>
        <v>78.16</v>
      </c>
      <c r="I398" s="79">
        <f t="shared" si="85"/>
        <v>8130.98</v>
      </c>
    </row>
    <row r="399" spans="1:9" ht="25.5" outlineLevel="2" x14ac:dyDescent="0.2">
      <c r="A399" s="45" t="s">
        <v>13603</v>
      </c>
      <c r="B399" s="45" t="s">
        <v>194</v>
      </c>
      <c r="C399" s="45" t="s">
        <v>12308</v>
      </c>
      <c r="D399" s="44" t="str">
        <f>IF(B399="MP-MT",VLOOKUP(C399,'COMPOSIÇÃO DE PREÇO UNITÁRIO'!A:B,2,FALSE),VLOOKUP(C399,'SINAPI_COMPOSIÇÕES 062020'!A:B,2,FALSE))</f>
        <v>TUBO PVC, SÉRIE R, ÁGUA PLUVIAL, DN 200 MM, FORNECIDO E INSTALADO EM CONDUTORES VERTICAIS DE ÁGUAS PLUVIAIS</v>
      </c>
      <c r="E399" s="45" t="str">
        <f>IF(B399="MP-MT",VLOOKUP(C399,'COMPOSIÇÃO DE PREÇO UNITÁRIO'!A:H,8,FALSE),VLOOKUP(C399,'SINAPI_COMPOSIÇÕES 062020'!A:C,3,FALSE))</f>
        <v>M</v>
      </c>
      <c r="F399" s="78">
        <v>3.58</v>
      </c>
      <c r="G399" s="79">
        <f>IF(B399="MP-MT",VLOOKUP(CONCATENATE("TOTAL DO ÍTEM - ",C399),'COMPOSIÇÃO DE PREÇO UNITÁRIO'!A:H,8,FALSE),VLOOKUP(C399,'SINAPI_COMPOSIÇÕES 062020'!A:D,4,FALSE))</f>
        <v>66.89</v>
      </c>
      <c r="H399" s="79">
        <f t="shared" si="84"/>
        <v>86.54</v>
      </c>
      <c r="I399" s="79">
        <f t="shared" si="85"/>
        <v>309.81</v>
      </c>
    </row>
    <row r="400" spans="1:9" ht="38.25" outlineLevel="2" x14ac:dyDescent="0.2">
      <c r="A400" s="45" t="s">
        <v>13604</v>
      </c>
      <c r="B400" s="45" t="s">
        <v>9</v>
      </c>
      <c r="C400" s="45">
        <v>89531</v>
      </c>
      <c r="D400" s="44" t="str">
        <f>IF(B400="MP-MT",VLOOKUP(C400,'COMPOSIÇÃO DE PREÇO UNITÁRIO'!A:B,2,FALSE),VLOOKUP(C400,'SINAPI_COMPOSIÇÕES 062020'!A:B,2,FALSE))</f>
        <v>JOELHO 45 GRAUS, PVC, SERIE R, ÁGUA PLUVIAL, DN 100 MM, JUNTA ELÁSTICA, FORNECIDO E INSTALADO EM RAMAL DE ENCAMINHAMENTO. AF_12/2014</v>
      </c>
      <c r="E400" s="45" t="str">
        <f>IF(B400="MP-MT",VLOOKUP(C400,'COMPOSIÇÃO DE PREÇO UNITÁRIO'!A:H,8,FALSE),VLOOKUP(C400,'SINAPI_COMPOSIÇÕES 062020'!A:C,3,FALSE))</f>
        <v>UN</v>
      </c>
      <c r="F400" s="78">
        <v>5</v>
      </c>
      <c r="G400" s="79">
        <f>IF(B400="MP-MT",VLOOKUP(CONCATENATE("TOTAL DO ÍTEM - ",C400),'COMPOSIÇÃO DE PREÇO UNITÁRIO'!A:H,8,FALSE),VLOOKUP(C400,'SINAPI_COMPOSIÇÕES 062020'!A:D,4,FALSE))</f>
        <v>25.26</v>
      </c>
      <c r="H400" s="79">
        <f t="shared" si="84"/>
        <v>32.68</v>
      </c>
      <c r="I400" s="79">
        <f t="shared" si="85"/>
        <v>163.4</v>
      </c>
    </row>
    <row r="401" spans="1:9" ht="38.25" outlineLevel="2" x14ac:dyDescent="0.2">
      <c r="A401" s="45" t="s">
        <v>13605</v>
      </c>
      <c r="B401" s="45" t="s">
        <v>9</v>
      </c>
      <c r="C401" s="45">
        <v>89529</v>
      </c>
      <c r="D401" s="44" t="str">
        <f>IF(B401="MP-MT",VLOOKUP(C401,'COMPOSIÇÃO DE PREÇO UNITÁRIO'!A:B,2,FALSE),VLOOKUP(C401,'SINAPI_COMPOSIÇÕES 062020'!A:B,2,FALSE))</f>
        <v>JOELHO 90 GRAUS, PVC, SERIE R, ÁGUA PLUVIAL, DN 100 MM, JUNTA ELÁSTICA, FORNECIDO E INSTALADO EM RAMAL DE ENCAMINHAMENTO. AF_12/2014</v>
      </c>
      <c r="E401" s="45" t="str">
        <f>IF(B401="MP-MT",VLOOKUP(C401,'COMPOSIÇÃO DE PREÇO UNITÁRIO'!A:H,8,FALSE),VLOOKUP(C401,'SINAPI_COMPOSIÇÕES 062020'!A:C,3,FALSE))</f>
        <v>UN</v>
      </c>
      <c r="F401" s="78">
        <v>58</v>
      </c>
      <c r="G401" s="79">
        <f>IF(B401="MP-MT",VLOOKUP(CONCATENATE("TOTAL DO ÍTEM - ",C401),'COMPOSIÇÃO DE PREÇO UNITÁRIO'!A:H,8,FALSE),VLOOKUP(C401,'SINAPI_COMPOSIÇÕES 062020'!A:D,4,FALSE))</f>
        <v>30.9</v>
      </c>
      <c r="H401" s="79">
        <f t="shared" si="84"/>
        <v>39.97</v>
      </c>
      <c r="I401" s="79">
        <f t="shared" si="85"/>
        <v>2318.2600000000002</v>
      </c>
    </row>
    <row r="402" spans="1:9" ht="38.25" outlineLevel="2" x14ac:dyDescent="0.2">
      <c r="A402" s="45" t="s">
        <v>13606</v>
      </c>
      <c r="B402" s="45" t="s">
        <v>9</v>
      </c>
      <c r="C402" s="45">
        <v>89690</v>
      </c>
      <c r="D402" s="44" t="str">
        <f>IF(B402="MP-MT",VLOOKUP(C402,'COMPOSIÇÃO DE PREÇO UNITÁRIO'!A:B,2,FALSE),VLOOKUP(C402,'SINAPI_COMPOSIÇÕES 062020'!A:B,2,FALSE))</f>
        <v>JUNÇÃO SIMPLES, PVC, SERIE R, ÁGUA PLUVIAL, DN 100 X 100 MM, JUNTA ELÁSTICA, FORNECIDO E INSTALADO EM CONDUTORES VERTICAIS DE ÁGUAS PLUVIAIS. AF_12/2014</v>
      </c>
      <c r="E402" s="45" t="str">
        <f>IF(B402="MP-MT",VLOOKUP(C402,'COMPOSIÇÃO DE PREÇO UNITÁRIO'!A:H,8,FALSE),VLOOKUP(C402,'SINAPI_COMPOSIÇÕES 062020'!A:C,3,FALSE))</f>
        <v>UN</v>
      </c>
      <c r="F402" s="78">
        <v>3</v>
      </c>
      <c r="G402" s="79">
        <f>IF(B402="MP-MT",VLOOKUP(CONCATENATE("TOTAL DO ÍTEM - ",C402),'COMPOSIÇÃO DE PREÇO UNITÁRIO'!A:H,8,FALSE),VLOOKUP(C402,'SINAPI_COMPOSIÇÕES 062020'!A:D,4,FALSE))</f>
        <v>54.54</v>
      </c>
      <c r="H402" s="79">
        <f t="shared" si="84"/>
        <v>70.56</v>
      </c>
      <c r="I402" s="79">
        <f t="shared" si="85"/>
        <v>211.68</v>
      </c>
    </row>
    <row r="403" spans="1:9" ht="38.25" outlineLevel="2" x14ac:dyDescent="0.2">
      <c r="A403" s="45" t="s">
        <v>13607</v>
      </c>
      <c r="B403" s="45" t="s">
        <v>9</v>
      </c>
      <c r="C403" s="45">
        <v>89693</v>
      </c>
      <c r="D403" s="44" t="str">
        <f>IF(B403="MP-MT",VLOOKUP(C403,'COMPOSIÇÃO DE PREÇO UNITÁRIO'!A:B,2,FALSE),VLOOKUP(C403,'SINAPI_COMPOSIÇÕES 062020'!A:B,2,FALSE))</f>
        <v>TÊ, PVC, SERIE R, ÁGUA PLUVIAL, DN 100 X 100 MM, JUNTA ELÁSTICA, FORNECIDO E INSTALADO EM CONDUTORES VERTICAIS DE ÁGUAS PLUVIAIS. AF_12/2014</v>
      </c>
      <c r="E403" s="45" t="str">
        <f>IF(B403="MP-MT",VLOOKUP(C403,'COMPOSIÇÃO DE PREÇO UNITÁRIO'!A:H,8,FALSE),VLOOKUP(C403,'SINAPI_COMPOSIÇÕES 062020'!A:C,3,FALSE))</f>
        <v>UN</v>
      </c>
      <c r="F403" s="78">
        <v>3</v>
      </c>
      <c r="G403" s="79">
        <f>IF(B403="MP-MT",VLOOKUP(CONCATENATE("TOTAL DO ÍTEM - ",C403),'COMPOSIÇÃO DE PREÇO UNITÁRIO'!A:H,8,FALSE),VLOOKUP(C403,'SINAPI_COMPOSIÇÕES 062020'!A:D,4,FALSE))</f>
        <v>50.16</v>
      </c>
      <c r="H403" s="79">
        <f t="shared" si="84"/>
        <v>64.89</v>
      </c>
      <c r="I403" s="79">
        <f t="shared" si="85"/>
        <v>194.67</v>
      </c>
    </row>
    <row r="404" spans="1:9" ht="25.5" outlineLevel="2" x14ac:dyDescent="0.2">
      <c r="A404" s="45" t="s">
        <v>13608</v>
      </c>
      <c r="B404" s="45" t="s">
        <v>194</v>
      </c>
      <c r="C404" s="45" t="s">
        <v>12320</v>
      </c>
      <c r="D404" s="44" t="str">
        <f>IF(B404="MP-MT",VLOOKUP(C404,'COMPOSIÇÃO DE PREÇO UNITÁRIO'!A:B,2,FALSE),VLOOKUP(C404,'SINAPI_COMPOSIÇÕES 062020'!A:B,2,FALSE))</f>
        <v>PINTURA ESMALTE FOSCO, DUAS DEMAOS, SOBRE TUBO DE DESCIDA DE ÁGUAS PLUVIAIS</v>
      </c>
      <c r="E404" s="45" t="str">
        <f>IF(B404="MP-MT",VLOOKUP(C404,'COMPOSIÇÃO DE PREÇO UNITÁRIO'!A:H,8,FALSE),VLOOKUP(C404,'SINAPI_COMPOSIÇÕES 062020'!A:C,3,FALSE))</f>
        <v>M2</v>
      </c>
      <c r="F404" s="78">
        <v>16.11</v>
      </c>
      <c r="G404" s="79">
        <f>IF(B404="MP-MT",VLOOKUP(CONCATENATE("TOTAL DO ÍTEM - ",C404),'COMPOSIÇÃO DE PREÇO UNITÁRIO'!A:H,8,FALSE),VLOOKUP(C404,'SINAPI_COMPOSIÇÕES 062020'!A:D,4,FALSE))</f>
        <v>23.27</v>
      </c>
      <c r="H404" s="79">
        <f t="shared" si="84"/>
        <v>30.1</v>
      </c>
      <c r="I404" s="79">
        <f t="shared" ref="I404" si="86">TRUNC(H404*F404,2)</f>
        <v>484.91</v>
      </c>
    </row>
    <row r="405" spans="1:9" outlineLevel="1" x14ac:dyDescent="0.2">
      <c r="A405" s="76"/>
      <c r="B405" s="76"/>
      <c r="C405" s="76"/>
      <c r="D405" s="91" t="str">
        <f>CONCATENATE("TOTAL DO ITEM - ",A394)</f>
        <v>TOTAL DO ITEM - 15.0</v>
      </c>
      <c r="E405" s="76"/>
      <c r="F405" s="92"/>
      <c r="G405" s="93"/>
      <c r="H405" s="93"/>
      <c r="I405" s="93">
        <f>SUM(I395:I404)</f>
        <v>26163.200000000001</v>
      </c>
    </row>
    <row r="406" spans="1:9" outlineLevel="1" x14ac:dyDescent="0.2">
      <c r="A406" s="87" t="s">
        <v>62</v>
      </c>
      <c r="B406" s="87"/>
      <c r="C406" s="87"/>
      <c r="D406" s="88" t="s">
        <v>11940</v>
      </c>
      <c r="E406" s="87"/>
      <c r="F406" s="89"/>
      <c r="G406" s="90"/>
      <c r="H406" s="90"/>
      <c r="I406" s="90"/>
    </row>
    <row r="407" spans="1:9" ht="25.5" outlineLevel="2" x14ac:dyDescent="0.2">
      <c r="A407" s="77" t="s">
        <v>13609</v>
      </c>
      <c r="B407" s="45" t="s">
        <v>9</v>
      </c>
      <c r="C407" s="45">
        <v>91222</v>
      </c>
      <c r="D407" s="44" t="str">
        <f>IF(B407="MP-MT",VLOOKUP(C407,'COMPOSIÇÃO DE PREÇO UNITÁRIO'!A:B,2,FALSE),VLOOKUP(C407,'SINAPI_COMPOSIÇÕES 062020'!A:B,2,FALSE))</f>
        <v>RASGO EM ALVENARIA PARA RAMAIS/ DISTRIBUIÇÃO COM DIÂMETROS MAIORES QUE 40 MM E MENORES OU IGUAIS A 75 MM. AF_05/2015</v>
      </c>
      <c r="E407" s="45" t="str">
        <f>IF(B407="MP-MT",VLOOKUP(C407,'COMPOSIÇÃO DE PREÇO UNITÁRIO'!A:H,8,FALSE),VLOOKUP(C407,'SINAPI_COMPOSIÇÕES 062020'!A:C,3,FALSE))</f>
        <v>M</v>
      </c>
      <c r="F407" s="78">
        <f>48.38+11.31</f>
        <v>59.690000000000005</v>
      </c>
      <c r="G407" s="79">
        <f>IF(B407="MP-MT",VLOOKUP(CONCATENATE("TOTAL DO ÍTEM - ",C407),'COMPOSIÇÃO DE PREÇO UNITÁRIO'!A:H,8,FALSE),VLOOKUP(C407,'SINAPI_COMPOSIÇÕES 062020'!A:D,4,FALSE))</f>
        <v>9.64</v>
      </c>
      <c r="H407" s="79">
        <f t="shared" ref="H407:H414" si="87">TRUNC(G407*(1+$F$1),2)</f>
        <v>12.47</v>
      </c>
      <c r="I407" s="79">
        <f t="shared" ref="I407:I414" si="88">TRUNC(H407*F407,2)</f>
        <v>744.33</v>
      </c>
    </row>
    <row r="408" spans="1:9" ht="25.5" outlineLevel="2" x14ac:dyDescent="0.2">
      <c r="A408" s="77" t="s">
        <v>13610</v>
      </c>
      <c r="B408" s="45" t="s">
        <v>9</v>
      </c>
      <c r="C408" s="45">
        <v>93358</v>
      </c>
      <c r="D408" s="44" t="str">
        <f>IF(B408="MP-MT",VLOOKUP(C408,'COMPOSIÇÃO DE PREÇO UNITÁRIO'!A:B,2,FALSE),VLOOKUP(C408,'SINAPI_COMPOSIÇÕES 062020'!A:B,2,FALSE))</f>
        <v>ESCAVAÇÃO MANUAL DE VALA COM PROFUNDIDADE MENOR OU IGUAL A 1,30 M. AF_03/2016</v>
      </c>
      <c r="E408" s="45" t="str">
        <f>IF(B408="MP-MT",VLOOKUP(C408,'COMPOSIÇÃO DE PREÇO UNITÁRIO'!A:H,8,FALSE),VLOOKUP(C408,'SINAPI_COMPOSIÇÕES 062020'!A:C,3,FALSE))</f>
        <v>M3</v>
      </c>
      <c r="F408" s="78">
        <v>3.5147999999999997</v>
      </c>
      <c r="G408" s="79">
        <f>IF(B408="MP-MT",VLOOKUP(CONCATENATE("TOTAL DO ÍTEM - ",C408),'COMPOSIÇÃO DE PREÇO UNITÁRIO'!A:H,8,FALSE),VLOOKUP(C408,'SINAPI_COMPOSIÇÕES 062020'!A:D,4,FALSE))</f>
        <v>56.84</v>
      </c>
      <c r="H408" s="79">
        <f t="shared" si="87"/>
        <v>73.540000000000006</v>
      </c>
      <c r="I408" s="79">
        <f t="shared" si="88"/>
        <v>258.47000000000003</v>
      </c>
    </row>
    <row r="409" spans="1:9" outlineLevel="2" x14ac:dyDescent="0.2">
      <c r="A409" s="77" t="s">
        <v>13611</v>
      </c>
      <c r="B409" s="45" t="s">
        <v>9</v>
      </c>
      <c r="C409" s="45">
        <v>96995</v>
      </c>
      <c r="D409" s="44" t="str">
        <f>IF(B409="MP-MT",VLOOKUP(C409,'COMPOSIÇÃO DE PREÇO UNITÁRIO'!A:B,2,FALSE),VLOOKUP(C409,'SINAPI_COMPOSIÇÕES 062020'!A:B,2,FALSE))</f>
        <v>REATERRO MANUAL APILOADO COM SOQUETE. AF_10/2017</v>
      </c>
      <c r="E409" s="45" t="str">
        <f>IF(B409="MP-MT",VLOOKUP(C409,'COMPOSIÇÃO DE PREÇO UNITÁRIO'!A:H,8,FALSE),VLOOKUP(C409,'SINAPI_COMPOSIÇÕES 062020'!A:C,3,FALSE))</f>
        <v>M3</v>
      </c>
      <c r="F409" s="78">
        <v>3.1633199999999997</v>
      </c>
      <c r="G409" s="79">
        <f>IF(B409="MP-MT",VLOOKUP(CONCATENATE("TOTAL DO ÍTEM - ",C409),'COMPOSIÇÃO DE PREÇO UNITÁRIO'!A:H,8,FALSE),VLOOKUP(C409,'SINAPI_COMPOSIÇÕES 062020'!A:D,4,FALSE))</f>
        <v>34.46</v>
      </c>
      <c r="H409" s="79">
        <f t="shared" si="87"/>
        <v>44.58</v>
      </c>
      <c r="I409" s="79">
        <f t="shared" si="88"/>
        <v>141.02000000000001</v>
      </c>
    </row>
    <row r="410" spans="1:9" ht="25.5" outlineLevel="2" x14ac:dyDescent="0.2">
      <c r="A410" s="77" t="s">
        <v>13612</v>
      </c>
      <c r="B410" s="77" t="s">
        <v>9</v>
      </c>
      <c r="C410" s="77">
        <v>89865</v>
      </c>
      <c r="D410" s="44" t="str">
        <f>IF(B410="MP-MT",VLOOKUP(C410,'COMPOSIÇÃO DE PREÇO UNITÁRIO'!A:B,2,FALSE),VLOOKUP(C410,'SINAPI_COMPOSIÇÕES 062020'!A:B,2,FALSE))</f>
        <v>TUBO, PVC, SOLDÁVEL, DN 25MM, INSTALADO EM DRENO DE AR-CONDICIONADO - FORNECIMENTO E INSTALAÇÃO. AF_12/2014</v>
      </c>
      <c r="E410" s="45" t="str">
        <f>IF(B410="MP-MT",VLOOKUP(C410,'COMPOSIÇÃO DE PREÇO UNITÁRIO'!A:H,8,FALSE),VLOOKUP(C410,'SINAPI_COMPOSIÇÕES 062020'!A:C,3,FALSE))</f>
        <v>M</v>
      </c>
      <c r="F410" s="78">
        <f>48.38+19.81</f>
        <v>68.19</v>
      </c>
      <c r="G410" s="79">
        <f>IF(B410="MP-MT",VLOOKUP(CONCATENATE("TOTAL DO ÍTEM - ",C410),'COMPOSIÇÃO DE PREÇO UNITÁRIO'!A:H,8,FALSE),VLOOKUP(C410,'SINAPI_COMPOSIÇÕES 062020'!A:D,4,FALSE))</f>
        <v>9.09</v>
      </c>
      <c r="H410" s="79">
        <f t="shared" si="87"/>
        <v>11.76</v>
      </c>
      <c r="I410" s="79">
        <f t="shared" si="88"/>
        <v>801.91</v>
      </c>
    </row>
    <row r="411" spans="1:9" ht="25.5" outlineLevel="2" x14ac:dyDescent="0.2">
      <c r="A411" s="77" t="s">
        <v>13613</v>
      </c>
      <c r="B411" s="77" t="s">
        <v>194</v>
      </c>
      <c r="C411" s="77" t="s">
        <v>12312</v>
      </c>
      <c r="D411" s="44" t="str">
        <f>IF(B411="MP-MT",VLOOKUP(C411,'COMPOSIÇÃO DE PREÇO UNITÁRIO'!A:B,2,FALSE),VLOOKUP(C411,'SINAPI_COMPOSIÇÕES 062020'!A:B,2,FALSE))</f>
        <v>TUBO, PVC, SOLDÁVEL, DN 32MM, INSTALADO EM DRENO DE AR-CONDICIONADO - FORNECIMENTO E INSTALAÇÃO</v>
      </c>
      <c r="E411" s="45" t="str">
        <f>IF(B411="MP-MT",VLOOKUP(C411,'COMPOSIÇÃO DE PREÇO UNITÁRIO'!A:H,8,FALSE),VLOOKUP(C411,'SINAPI_COMPOSIÇÕES 062020'!A:C,3,FALSE))</f>
        <v>M</v>
      </c>
      <c r="F411" s="78">
        <f>11.31+9.48</f>
        <v>20.79</v>
      </c>
      <c r="G411" s="79">
        <f>IF(B411="MP-MT",VLOOKUP(CONCATENATE("TOTAL DO ÍTEM - ",C411),'COMPOSIÇÃO DE PREÇO UNITÁRIO'!A:H,8,FALSE),VLOOKUP(C411,'SINAPI_COMPOSIÇÕES 062020'!A:D,4,FALSE))</f>
        <v>12.77</v>
      </c>
      <c r="H411" s="79">
        <f t="shared" si="87"/>
        <v>16.52</v>
      </c>
      <c r="I411" s="79">
        <f t="shared" si="88"/>
        <v>343.45</v>
      </c>
    </row>
    <row r="412" spans="1:9" ht="25.5" outlineLevel="2" x14ac:dyDescent="0.2">
      <c r="A412" s="77" t="s">
        <v>13614</v>
      </c>
      <c r="B412" s="77" t="s">
        <v>9</v>
      </c>
      <c r="C412" s="77">
        <v>90466</v>
      </c>
      <c r="D412" s="44" t="str">
        <f>IF(B412="MP-MT",VLOOKUP(C412,'COMPOSIÇÃO DE PREÇO UNITÁRIO'!A:B,2,FALSE),VLOOKUP(C412,'SINAPI_COMPOSIÇÕES 062020'!A:B,2,FALSE))</f>
        <v>CHUMBAMENTO LINEAR EM ALVENARIA PARA RAMAIS/DISTRIBUIÇÃO COM DIÂMETROS MENORES OU IGUAIS A 40 MM. AF_05/2015</v>
      </c>
      <c r="E412" s="45" t="str">
        <f>IF(B412="MP-MT",VLOOKUP(C412,'COMPOSIÇÃO DE PREÇO UNITÁRIO'!A:H,8,FALSE),VLOOKUP(C412,'SINAPI_COMPOSIÇÕES 062020'!A:C,3,FALSE))</f>
        <v>M</v>
      </c>
      <c r="F412" s="78">
        <v>59.69</v>
      </c>
      <c r="G412" s="79">
        <f>IF(B412="MP-MT",VLOOKUP(CONCATENATE("TOTAL DO ÍTEM - ",C412),'COMPOSIÇÃO DE PREÇO UNITÁRIO'!A:H,8,FALSE),VLOOKUP(C412,'SINAPI_COMPOSIÇÕES 062020'!A:D,4,FALSE))</f>
        <v>8.99</v>
      </c>
      <c r="H412" s="79">
        <f t="shared" si="87"/>
        <v>11.63</v>
      </c>
      <c r="I412" s="79">
        <f t="shared" si="88"/>
        <v>694.19</v>
      </c>
    </row>
    <row r="413" spans="1:9" ht="25.5" outlineLevel="2" x14ac:dyDescent="0.2">
      <c r="A413" s="77" t="s">
        <v>13615</v>
      </c>
      <c r="B413" s="77" t="s">
        <v>9</v>
      </c>
      <c r="C413" s="77">
        <v>89866</v>
      </c>
      <c r="D413" s="44" t="str">
        <f>IF(B413="MP-MT",VLOOKUP(C413,'COMPOSIÇÃO DE PREÇO UNITÁRIO'!A:B,2,FALSE),VLOOKUP(C413,'SINAPI_COMPOSIÇÕES 062020'!A:B,2,FALSE))</f>
        <v>JOELHO 90 GRAUS, PVC, SOLDÁVEL, DN 25MM, INSTALADO EM DRENO DE AR-CONDICIONADO - FORNECIMENTO E INSTALAÇÃO. AF_12/2014</v>
      </c>
      <c r="E413" s="45" t="str">
        <f>IF(B413="MP-MT",VLOOKUP(C413,'COMPOSIÇÃO DE PREÇO UNITÁRIO'!A:H,8,FALSE),VLOOKUP(C413,'SINAPI_COMPOSIÇÕES 062020'!A:C,3,FALSE))</f>
        <v>UN</v>
      </c>
      <c r="F413" s="78">
        <v>28</v>
      </c>
      <c r="G413" s="79">
        <f>IF(B413="MP-MT",VLOOKUP(CONCATENATE("TOTAL DO ÍTEM - ",C413),'COMPOSIÇÃO DE PREÇO UNITÁRIO'!A:H,8,FALSE),VLOOKUP(C413,'SINAPI_COMPOSIÇÕES 062020'!A:D,4,FALSE))</f>
        <v>3.95</v>
      </c>
      <c r="H413" s="79">
        <f t="shared" si="87"/>
        <v>5.1100000000000003</v>
      </c>
      <c r="I413" s="79">
        <f t="shared" si="88"/>
        <v>143.08000000000001</v>
      </c>
    </row>
    <row r="414" spans="1:9" ht="25.5" outlineLevel="2" x14ac:dyDescent="0.2">
      <c r="A414" s="77" t="s">
        <v>13616</v>
      </c>
      <c r="B414" s="77" t="s">
        <v>194</v>
      </c>
      <c r="C414" s="77" t="s">
        <v>12316</v>
      </c>
      <c r="D414" s="44" t="str">
        <f>IF(B414="MP-MT",VLOOKUP(C414,'COMPOSIÇÃO DE PREÇO UNITÁRIO'!A:B,2,FALSE),VLOOKUP(C414,'SINAPI_COMPOSIÇÕES 062020'!A:B,2,FALSE))</f>
        <v>JOELHO 90 GRAUS, PVC, SOLDÁVEL, DN 32MM, INSTALADO EM DRENO DE AR-CONDICIONADO - FORNECIMENTO E INSTALAÇÃO</v>
      </c>
      <c r="E414" s="45" t="str">
        <f>IF(B414="MP-MT",VLOOKUP(C414,'COMPOSIÇÃO DE PREÇO UNITÁRIO'!A:H,8,FALSE),VLOOKUP(C414,'SINAPI_COMPOSIÇÕES 062020'!A:C,3,FALSE))</f>
        <v>UND</v>
      </c>
      <c r="F414" s="78">
        <v>6</v>
      </c>
      <c r="G414" s="79">
        <f>IF(B414="MP-MT",VLOOKUP(CONCATENATE("TOTAL DO ÍTEM - ",C414),'COMPOSIÇÃO DE PREÇO UNITÁRIO'!A:H,8,FALSE),VLOOKUP(C414,'SINAPI_COMPOSIÇÕES 062020'!A:D,4,FALSE))</f>
        <v>5.0599999999999996</v>
      </c>
      <c r="H414" s="79">
        <f t="shared" si="87"/>
        <v>6.54</v>
      </c>
      <c r="I414" s="79">
        <f t="shared" si="88"/>
        <v>39.24</v>
      </c>
    </row>
    <row r="415" spans="1:9" outlineLevel="1" x14ac:dyDescent="0.2">
      <c r="A415" s="76"/>
      <c r="B415" s="76"/>
      <c r="C415" s="76"/>
      <c r="D415" s="91" t="str">
        <f>CONCATENATE("TOTAL DO ITEM - ",A406)</f>
        <v>TOTAL DO ITEM - 16.0</v>
      </c>
      <c r="E415" s="76"/>
      <c r="F415" s="92"/>
      <c r="G415" s="93"/>
      <c r="H415" s="93"/>
      <c r="I415" s="93">
        <f>SUM(I407:I414)</f>
        <v>3165.6899999999996</v>
      </c>
    </row>
    <row r="416" spans="1:9" outlineLevel="1" x14ac:dyDescent="0.2">
      <c r="A416" s="87" t="s">
        <v>63</v>
      </c>
      <c r="B416" s="87"/>
      <c r="C416" s="87"/>
      <c r="D416" s="88" t="s">
        <v>61</v>
      </c>
      <c r="E416" s="87"/>
      <c r="F416" s="89"/>
      <c r="G416" s="90"/>
      <c r="H416" s="90"/>
      <c r="I416" s="90"/>
    </row>
    <row r="417" spans="1:9" ht="51" outlineLevel="2" x14ac:dyDescent="0.2">
      <c r="A417" s="45" t="s">
        <v>13617</v>
      </c>
      <c r="B417" s="77" t="s">
        <v>9</v>
      </c>
      <c r="C417" s="77">
        <v>94570</v>
      </c>
      <c r="D417" s="44" t="str">
        <f>IF(B417="MP-MT",VLOOKUP(C417,'COMPOSIÇÃO DE PREÇO UNITÁRIO'!A:B,2,FALSE),VLOOKUP(C417,'SINAPI_COMPOSIÇÕES 062020'!A:B,2,FALSE))</f>
        <v>JANELA DE ALUMÍNIO DE CORRER COM 2 FOLHAS PARA VIDROS, COM VIDROS, BATENTE, ACABAMENTO COM ACETATO OU BRILHANTE E FERRAGENS. EXCLUSIVE ALIZAR E CONTRAMARCO. FORNECIMENTO E INSTALAÇÃO. AF_12/2019</v>
      </c>
      <c r="E417" s="45" t="str">
        <f>IF(B417="MP-MT",VLOOKUP(C417,'COMPOSIÇÃO DE PREÇO UNITÁRIO'!A:H,8,FALSE),VLOOKUP(C417,'SINAPI_COMPOSIÇÕES 062020'!A:C,3,FALSE))</f>
        <v>M2</v>
      </c>
      <c r="F417" s="78">
        <f>(1.2*1*2)+(1.5*1*1)+(1.5*1.7*1)</f>
        <v>6.4499999999999993</v>
      </c>
      <c r="G417" s="79">
        <f>IF(B417="MP-MT",VLOOKUP(CONCATENATE("TOTAL DO ÍTEM - ",C417),'COMPOSIÇÃO DE PREÇO UNITÁRIO'!A:H,8,FALSE),VLOOKUP(C417,'SINAPI_COMPOSIÇÕES 062020'!A:D,4,FALSE))</f>
        <v>261.07</v>
      </c>
      <c r="H417" s="79">
        <f t="shared" ref="H417:H428" si="89">TRUNC(G417*(1+$F$1),2)</f>
        <v>337.78</v>
      </c>
      <c r="I417" s="79">
        <f t="shared" ref="I417:I428" si="90">TRUNC(H417*F417,2)</f>
        <v>2178.6799999999998</v>
      </c>
    </row>
    <row r="418" spans="1:9" ht="51" outlineLevel="2" x14ac:dyDescent="0.2">
      <c r="A418" s="45" t="s">
        <v>13618</v>
      </c>
      <c r="B418" s="77" t="s">
        <v>9</v>
      </c>
      <c r="C418" s="77">
        <v>94573</v>
      </c>
      <c r="D418" s="44" t="str">
        <f>IF(B418="MP-MT",VLOOKUP(C418,'COMPOSIÇÃO DE PREÇO UNITÁRIO'!A:B,2,FALSE),VLOOKUP(C418,'SINAPI_COMPOSIÇÕES 062020'!A:B,2,FALSE))</f>
        <v>JANELA DE ALUMÍNIO DE CORRER COM 4 FOLHAS PARA VIDROS, COM VIDROS, BATENTE, ACABAMENTO COM ACETATO OU BRILHANTE E FERRAGENS. EXCLUSIVE ALIZAR E CONTRAMARCO. FORNECIMENTO E INSTALAÇÃO. AF_12/2019</v>
      </c>
      <c r="E418" s="45" t="str">
        <f>IF(B418="MP-MT",VLOOKUP(C418,'COMPOSIÇÃO DE PREÇO UNITÁRIO'!A:H,8,FALSE),VLOOKUP(C418,'SINAPI_COMPOSIÇÕES 062020'!A:C,3,FALSE))</f>
        <v>M2</v>
      </c>
      <c r="F418" s="78">
        <f>(1.5*1*1)+(1.8*1*1)+(2*1*4)+(2*1*1)</f>
        <v>13.3</v>
      </c>
      <c r="G418" s="79">
        <f>IF(B418="MP-MT",VLOOKUP(CONCATENATE("TOTAL DO ÍTEM - ",C418),'COMPOSIÇÃO DE PREÇO UNITÁRIO'!A:H,8,FALSE),VLOOKUP(C418,'SINAPI_COMPOSIÇÕES 062020'!A:D,4,FALSE))</f>
        <v>301.47000000000003</v>
      </c>
      <c r="H418" s="79">
        <f t="shared" si="89"/>
        <v>390.05</v>
      </c>
      <c r="I418" s="79">
        <f t="shared" si="90"/>
        <v>5187.66</v>
      </c>
    </row>
    <row r="419" spans="1:9" ht="38.25" outlineLevel="2" x14ac:dyDescent="0.2">
      <c r="A419" s="45" t="s">
        <v>13619</v>
      </c>
      <c r="B419" s="77" t="s">
        <v>9</v>
      </c>
      <c r="C419" s="77">
        <v>94569</v>
      </c>
      <c r="D419" s="44" t="str">
        <f>IF(B419="MP-MT",VLOOKUP(C419,'COMPOSIÇÃO DE PREÇO UNITÁRIO'!A:B,2,FALSE),VLOOKUP(C419,'SINAPI_COMPOSIÇÕES 062020'!A:B,2,FALSE))</f>
        <v>JANELA DE ALUMÍNIO TIPO MAXIM-AR, COM VIDROS, BATENTE E FERRAGENS. EXCLUSIVE ALIZAR, ACABAMENTO E CONTRAMARCO. FORNECIMENTO E INSTALAÇÃO. AF_12/2019</v>
      </c>
      <c r="E419" s="45" t="str">
        <f>IF(B419="MP-MT",VLOOKUP(C419,'COMPOSIÇÃO DE PREÇO UNITÁRIO'!A:H,8,FALSE),VLOOKUP(C419,'SINAPI_COMPOSIÇÕES 062020'!A:C,3,FALSE))</f>
        <v>M2</v>
      </c>
      <c r="F419" s="78">
        <f>(0.6*1.7*1)+(0.8*0.6*3)+(1.2*0.6*2)+(1.7*0.6*2)+(2.5*0.6*3)</f>
        <v>10.44</v>
      </c>
      <c r="G419" s="79">
        <f>IF(B419="MP-MT",VLOOKUP(CONCATENATE("TOTAL DO ÍTEM - ",C419),'COMPOSIÇÃO DE PREÇO UNITÁRIO'!A:H,8,FALSE),VLOOKUP(C419,'SINAPI_COMPOSIÇÕES 062020'!A:D,4,FALSE))</f>
        <v>416.47</v>
      </c>
      <c r="H419" s="79">
        <f t="shared" si="89"/>
        <v>538.85</v>
      </c>
      <c r="I419" s="79">
        <f t="shared" si="90"/>
        <v>5625.59</v>
      </c>
    </row>
    <row r="420" spans="1:9" ht="38.25" outlineLevel="2" x14ac:dyDescent="0.2">
      <c r="A420" s="45" t="s">
        <v>13620</v>
      </c>
      <c r="B420" s="77" t="s">
        <v>9</v>
      </c>
      <c r="C420" s="77">
        <v>100674</v>
      </c>
      <c r="D420" s="44" t="str">
        <f>IF(B420="MP-MT",VLOOKUP(C420,'COMPOSIÇÃO DE PREÇO UNITÁRIO'!A:B,2,FALSE),VLOOKUP(C420,'SINAPI_COMPOSIÇÕES 062020'!A:B,2,FALSE))</f>
        <v>JANELA FIXA DE ALUMÍNIO PARA VIDRO, COM VIDRO, BATENTE E FERRAGENS. EXCLUSIVE ACABAMENTO, ALIZAR E CONTRAMARCO. FORNECIMENTO E INSTALAÇÃO. AF_12/2019</v>
      </c>
      <c r="E420" s="45" t="str">
        <f>IF(B420="MP-MT",VLOOKUP(C420,'COMPOSIÇÃO DE PREÇO UNITÁRIO'!A:H,8,FALSE),VLOOKUP(C420,'SINAPI_COMPOSIÇÕES 062020'!A:C,3,FALSE))</f>
        <v>M2</v>
      </c>
      <c r="F420" s="78">
        <f>1.5*1*1</f>
        <v>1.5</v>
      </c>
      <c r="G420" s="79">
        <f>IF(B420="MP-MT",VLOOKUP(CONCATENATE("TOTAL DO ÍTEM - ",C420),'COMPOSIÇÃO DE PREÇO UNITÁRIO'!A:H,8,FALSE),VLOOKUP(C420,'SINAPI_COMPOSIÇÕES 062020'!A:D,4,FALSE))</f>
        <v>287.06</v>
      </c>
      <c r="H420" s="79">
        <f t="shared" si="89"/>
        <v>371.41</v>
      </c>
      <c r="I420" s="79">
        <f t="shared" si="90"/>
        <v>557.11</v>
      </c>
    </row>
    <row r="421" spans="1:9" ht="25.5" outlineLevel="2" x14ac:dyDescent="0.2">
      <c r="A421" s="45" t="s">
        <v>13621</v>
      </c>
      <c r="B421" s="77" t="s">
        <v>194</v>
      </c>
      <c r="C421" s="77" t="s">
        <v>12667</v>
      </c>
      <c r="D421" s="44" t="str">
        <f>IF(B421="MP-MT",VLOOKUP(C421,'COMPOSIÇÃO DE PREÇO UNITÁRIO'!A:B,2,FALSE),VLOOKUP(C421,'SINAPI_COMPOSIÇÕES 062020'!A:B,2,FALSE))</f>
        <v>FORNECIMENTO E INSTALAÇÃO DE VENEZIANA FIXA, EM AÇO, PARA SAÍDA DE AR, 0,40 X 1,50 M</v>
      </c>
      <c r="E421" s="45" t="str">
        <f>IF(B421="MP-MT",VLOOKUP(C421,'COMPOSIÇÃO DE PREÇO UNITÁRIO'!A:H,8,FALSE),VLOOKUP(C421,'SINAPI_COMPOSIÇÕES 062020'!A:C,3,FALSE))</f>
        <v>UND</v>
      </c>
      <c r="F421" s="78">
        <v>4</v>
      </c>
      <c r="G421" s="79">
        <f>IF(B421="MP-MT",VLOOKUP(CONCATENATE("TOTAL DO ÍTEM - ",C421),'COMPOSIÇÃO DE PREÇO UNITÁRIO'!A:H,8,FALSE),VLOOKUP(C421,'SINAPI_COMPOSIÇÕES 062020'!A:D,4,FALSE))</f>
        <v>525.4</v>
      </c>
      <c r="H421" s="79">
        <f t="shared" si="89"/>
        <v>679.78</v>
      </c>
      <c r="I421" s="79">
        <f t="shared" si="90"/>
        <v>2719.12</v>
      </c>
    </row>
    <row r="422" spans="1:9" ht="25.5" outlineLevel="2" x14ac:dyDescent="0.2">
      <c r="A422" s="45" t="s">
        <v>13622</v>
      </c>
      <c r="B422" s="77" t="s">
        <v>9</v>
      </c>
      <c r="C422" s="77">
        <v>99862</v>
      </c>
      <c r="D422" s="44" t="str">
        <f>IF(B422="MP-MT",VLOOKUP(C422,'COMPOSIÇÃO DE PREÇO UNITÁRIO'!A:B,2,FALSE),VLOOKUP(C422,'SINAPI_COMPOSIÇÕES 062020'!A:B,2,FALSE))</f>
        <v>GRADIL EM ALUMÍNIO FIXADO EM VÃOS DE JANELAS, FORMADO POR TUBOS DE 3/4". AF_04/2019</v>
      </c>
      <c r="E422" s="45" t="str">
        <f>IF(B422="MP-MT",VLOOKUP(C422,'COMPOSIÇÃO DE PREÇO UNITÁRIO'!A:H,8,FALSE),VLOOKUP(C422,'SINAPI_COMPOSIÇÕES 062020'!A:C,3,FALSE))</f>
        <v>M2</v>
      </c>
      <c r="F422" s="78">
        <v>23.22</v>
      </c>
      <c r="G422" s="79">
        <f>IF(B422="MP-MT",VLOOKUP(CONCATENATE("TOTAL DO ÍTEM - ",C422),'COMPOSIÇÃO DE PREÇO UNITÁRIO'!A:H,8,FALSE),VLOOKUP(C422,'SINAPI_COMPOSIÇÕES 062020'!A:D,4,FALSE))</f>
        <v>390.53</v>
      </c>
      <c r="H422" s="79">
        <f t="shared" ref="H422:H423" si="91">TRUNC(G422*(1+$F$1),2)</f>
        <v>505.28</v>
      </c>
      <c r="I422" s="79">
        <f t="shared" ref="I422:I423" si="92">TRUNC(H422*F422,2)</f>
        <v>11732.6</v>
      </c>
    </row>
    <row r="423" spans="1:9" ht="25.5" outlineLevel="2" x14ac:dyDescent="0.2">
      <c r="A423" s="45" t="s">
        <v>13623</v>
      </c>
      <c r="B423" s="77" t="s">
        <v>194</v>
      </c>
      <c r="C423" s="77" t="s">
        <v>12676</v>
      </c>
      <c r="D423" s="44" t="str">
        <f>IF(B423="MP-MT",VLOOKUP(C423,'COMPOSIÇÃO DE PREÇO UNITÁRIO'!A:B,2,FALSE),VLOOKUP(C423,'SINAPI_COMPOSIÇÕES 062020'!A:B,2,FALSE))</f>
        <v>JANELA DE ALUMÍNIO DE CORRER COM 2 FOLHAS PARA VIDROS, COM VIDROS - INSTALAÇÃO PREVENDO REAPROVEITAMENTO</v>
      </c>
      <c r="E423" s="45" t="str">
        <f>IF(B423="MP-MT",VLOOKUP(C423,'COMPOSIÇÃO DE PREÇO UNITÁRIO'!A:H,8,FALSE),VLOOKUP(C423,'SINAPI_COMPOSIÇÕES 062020'!A:C,3,FALSE))</f>
        <v>M2</v>
      </c>
      <c r="F423" s="78">
        <f>1.5*1*2</f>
        <v>3</v>
      </c>
      <c r="G423" s="79">
        <f>IF(B423="MP-MT",VLOOKUP(CONCATENATE("TOTAL DO ÍTEM - ",C423),'COMPOSIÇÃO DE PREÇO UNITÁRIO'!A:H,8,FALSE),VLOOKUP(C423,'SINAPI_COMPOSIÇÕES 062020'!A:D,4,FALSE))</f>
        <v>34.21</v>
      </c>
      <c r="H423" s="79">
        <f t="shared" si="91"/>
        <v>44.26</v>
      </c>
      <c r="I423" s="79">
        <f t="shared" si="92"/>
        <v>132.78</v>
      </c>
    </row>
    <row r="424" spans="1:9" ht="38.25" outlineLevel="2" x14ac:dyDescent="0.2">
      <c r="A424" s="45" t="s">
        <v>13624</v>
      </c>
      <c r="B424" s="77" t="s">
        <v>194</v>
      </c>
      <c r="C424" s="77" t="s">
        <v>12682</v>
      </c>
      <c r="D424" s="44" t="str">
        <f>IF(B424="MP-MT",VLOOKUP(C424,'COMPOSIÇÃO DE PREÇO UNITÁRIO'!A:B,2,FALSE),VLOOKUP(C424,'SINAPI_COMPOSIÇÕES 062020'!A:B,2,FALSE))</f>
        <v>PEITORIL EM GRANITO PRETO SÃO GABRIEL, LARGURA DE 18CM, ASSENTADO COM ARGAMASSA TRACO 1:4 (CIMENTO E AREIA MEDIA), PREPARO MANUAL DA ARGAMASSA</v>
      </c>
      <c r="E424" s="45" t="str">
        <f>IF(B424="MP-MT",VLOOKUP(C424,'COMPOSIÇÃO DE PREÇO UNITÁRIO'!A:H,8,FALSE),VLOOKUP(C424,'SINAPI_COMPOSIÇÕES 062020'!A:C,3,FALSE))</f>
        <v>M</v>
      </c>
      <c r="F424" s="78">
        <f>2.4+1.5+5.4+10+7.5</f>
        <v>26.8</v>
      </c>
      <c r="G424" s="79">
        <f>IF(B424="MP-MT",VLOOKUP(CONCATENATE("TOTAL DO ÍTEM - ",C424),'COMPOSIÇÃO DE PREÇO UNITÁRIO'!A:H,8,FALSE),VLOOKUP(C424,'SINAPI_COMPOSIÇÕES 062020'!A:D,4,FALSE))</f>
        <v>111.88</v>
      </c>
      <c r="H424" s="79">
        <f t="shared" ref="H424" si="93">TRUNC(G424*(1+$F$1),2)</f>
        <v>144.75</v>
      </c>
      <c r="I424" s="79">
        <f t="shared" ref="I424" si="94">TRUNC(H424*F424,2)</f>
        <v>3879.3</v>
      </c>
    </row>
    <row r="425" spans="1:9" ht="25.5" outlineLevel="2" x14ac:dyDescent="0.2">
      <c r="A425" s="45" t="s">
        <v>13625</v>
      </c>
      <c r="B425" s="77" t="s">
        <v>9</v>
      </c>
      <c r="C425" s="77">
        <v>91341</v>
      </c>
      <c r="D425" s="44" t="str">
        <f>IF(B425="MP-MT",VLOOKUP(C425,'COMPOSIÇÃO DE PREÇO UNITÁRIO'!A:B,2,FALSE),VLOOKUP(C425,'SINAPI_COMPOSIÇÕES 062020'!A:B,2,FALSE))</f>
        <v>PORTA EM ALUMÍNIO DE ABRIR TIPO VENEZIANA COM GUARNIÇÃO, FIXAÇÃO COM PARAFUSOS - FORNECIMENTO E INSTALAÇÃO. AF_12/2019</v>
      </c>
      <c r="E425" s="45" t="str">
        <f>IF(B425="MP-MT",VLOOKUP(C425,'COMPOSIÇÃO DE PREÇO UNITÁRIO'!A:H,8,FALSE),VLOOKUP(C425,'SINAPI_COMPOSIÇÕES 062020'!A:C,3,FALSE))</f>
        <v>M2</v>
      </c>
      <c r="F425" s="78">
        <f>(0.5*0.6*2)+(0.6*1.8*4)+(0.8*2.1*2)</f>
        <v>8.2800000000000011</v>
      </c>
      <c r="G425" s="79">
        <f>IF(B425="MP-MT",VLOOKUP(CONCATENATE("TOTAL DO ÍTEM - ",C425),'COMPOSIÇÃO DE PREÇO UNITÁRIO'!A:H,8,FALSE),VLOOKUP(C425,'SINAPI_COMPOSIÇÕES 062020'!A:D,4,FALSE))</f>
        <v>597.25</v>
      </c>
      <c r="H425" s="79">
        <f t="shared" si="89"/>
        <v>772.75</v>
      </c>
      <c r="I425" s="79">
        <f t="shared" si="90"/>
        <v>6398.37</v>
      </c>
    </row>
    <row r="426" spans="1:9" ht="51" outlineLevel="2" x14ac:dyDescent="0.2">
      <c r="A426" s="45" t="s">
        <v>13626</v>
      </c>
      <c r="B426" s="77" t="s">
        <v>9</v>
      </c>
      <c r="C426" s="77">
        <v>100680</v>
      </c>
      <c r="D426" s="44" t="str">
        <f>IF(B426="MP-MT",VLOOKUP(C426,'COMPOSIÇÃO DE PREÇO UNITÁRIO'!A:B,2,FALSE),VLOOKUP(C426,'SINAPI_COMPOSIÇÕES 062020'!A:B,2,FALSE))</f>
        <v>KIT DE PORTA DE MADEIRA PARA VERNIZ, SEMI-OCA (LEVE OU MÉDIA), PADRÃO MÉDIO, 70X210CM, ESPESSURA DE 3,5CM, ITENS INCLUSOS: DOBRADIÇAS, MONTAGEM E INSTALAÇÃO DE BATENTE, FECHADURA COM EXECUÇÃO DO FURO - FORNECIMENTO E INSTALAÇÃO. AF_12/2019</v>
      </c>
      <c r="E426" s="45" t="str">
        <f>IF(B426="MP-MT",VLOOKUP(C426,'COMPOSIÇÃO DE PREÇO UNITÁRIO'!A:H,8,FALSE),VLOOKUP(C426,'SINAPI_COMPOSIÇÕES 062020'!A:C,3,FALSE))</f>
        <v>UN</v>
      </c>
      <c r="F426" s="78">
        <v>1</v>
      </c>
      <c r="G426" s="79">
        <f>IF(B426="MP-MT",VLOOKUP(CONCATENATE("TOTAL DO ÍTEM - ",C426),'COMPOSIÇÃO DE PREÇO UNITÁRIO'!A:H,8,FALSE),VLOOKUP(C426,'SINAPI_COMPOSIÇÕES 062020'!A:D,4,FALSE))</f>
        <v>631.04</v>
      </c>
      <c r="H426" s="79">
        <f t="shared" si="89"/>
        <v>816.47</v>
      </c>
      <c r="I426" s="79">
        <f t="shared" si="90"/>
        <v>816.47</v>
      </c>
    </row>
    <row r="427" spans="1:9" ht="51" outlineLevel="2" x14ac:dyDescent="0.2">
      <c r="A427" s="45" t="s">
        <v>13627</v>
      </c>
      <c r="B427" s="77" t="s">
        <v>9</v>
      </c>
      <c r="C427" s="77">
        <v>100683</v>
      </c>
      <c r="D427" s="44" t="str">
        <f>IF(B427="MP-MT",VLOOKUP(C427,'COMPOSIÇÃO DE PREÇO UNITÁRIO'!A:B,2,FALSE),VLOOKUP(C427,'SINAPI_COMPOSIÇÕES 062020'!A:B,2,FALSE))</f>
        <v>KIT DE PORTA DE MADEIRA PARA VERNIZ, SEMI-OCA (LEVE OU MÉDIA), PADRÃO MÉDIO, 80X210CM, ESPESSURA DE 3,5CM, ITENS INCLUSOS: DOBRADIÇAS, MONTAGEM E INSTALAÇÃO DE BATENTE, FECHADURA COM EXECUÇÃO DO FURO - FORNECIMENTO E INSTALAÇÃO. AF_12/2019</v>
      </c>
      <c r="E427" s="45" t="str">
        <f>IF(B427="MP-MT",VLOOKUP(C427,'COMPOSIÇÃO DE PREÇO UNITÁRIO'!A:H,8,FALSE),VLOOKUP(C427,'SINAPI_COMPOSIÇÕES 062020'!A:C,3,FALSE))</f>
        <v>UN</v>
      </c>
      <c r="F427" s="78">
        <v>1</v>
      </c>
      <c r="G427" s="79">
        <f>IF(B427="MP-MT",VLOOKUP(CONCATENATE("TOTAL DO ÍTEM - ",C427),'COMPOSIÇÃO DE PREÇO UNITÁRIO'!A:H,8,FALSE),VLOOKUP(C427,'SINAPI_COMPOSIÇÕES 062020'!A:D,4,FALSE))</f>
        <v>768.63</v>
      </c>
      <c r="H427" s="79">
        <f t="shared" si="89"/>
        <v>994.49</v>
      </c>
      <c r="I427" s="79">
        <f t="shared" si="90"/>
        <v>994.49</v>
      </c>
    </row>
    <row r="428" spans="1:9" ht="51" outlineLevel="2" x14ac:dyDescent="0.2">
      <c r="A428" s="45" t="s">
        <v>13628</v>
      </c>
      <c r="B428" s="77" t="s">
        <v>9</v>
      </c>
      <c r="C428" s="77">
        <v>100685</v>
      </c>
      <c r="D428" s="44" t="str">
        <f>IF(B428="MP-MT",VLOOKUP(C428,'COMPOSIÇÃO DE PREÇO UNITÁRIO'!A:B,2,FALSE),VLOOKUP(C428,'SINAPI_COMPOSIÇÕES 062020'!A:B,2,FALSE))</f>
        <v>KIT DE PORTA DE MADEIRA PARA VERNIZ, SEMI-OCA (LEVE OU MÉDIA), PADRÃO MÉDIO, 90X210CM, ESPESSURA DE 3,5CM, ITENS INCLUSOS: DOBRADIÇAS, MONTAGEM E INSTALAÇÃO DE BATENTE, FECHADURA COM EXECUÇÃO DO FURO - FORNECIMENTO E INSTALAÇÃO. AF_12/2019</v>
      </c>
      <c r="E428" s="45" t="str">
        <f>IF(B428="MP-MT",VLOOKUP(C428,'COMPOSIÇÃO DE PREÇO UNITÁRIO'!A:H,8,FALSE),VLOOKUP(C428,'SINAPI_COMPOSIÇÕES 062020'!A:C,3,FALSE))</f>
        <v>UN</v>
      </c>
      <c r="F428" s="78">
        <v>4</v>
      </c>
      <c r="G428" s="79">
        <f>IF(B428="MP-MT",VLOOKUP(CONCATENATE("TOTAL DO ÍTEM - ",C428),'COMPOSIÇÃO DE PREÇO UNITÁRIO'!A:H,8,FALSE),VLOOKUP(C428,'SINAPI_COMPOSIÇÕES 062020'!A:D,4,FALSE))</f>
        <v>749.69</v>
      </c>
      <c r="H428" s="79">
        <f t="shared" si="89"/>
        <v>969.98</v>
      </c>
      <c r="I428" s="79">
        <f t="shared" si="90"/>
        <v>3879.92</v>
      </c>
    </row>
    <row r="429" spans="1:9" ht="38.25" outlineLevel="2" x14ac:dyDescent="0.2">
      <c r="A429" s="45" t="s">
        <v>13629</v>
      </c>
      <c r="B429" s="45" t="s">
        <v>194</v>
      </c>
      <c r="C429" s="45" t="s">
        <v>12138</v>
      </c>
      <c r="D429" s="44" t="str">
        <f>IF(B429="MP-MT",VLOOKUP(C429,'COMPOSIÇÃO DE PREÇO UNITÁRIO'!A:B,2,FALSE),VLOOKUP(C429,'SINAPI_COMPOSIÇÕES 062020'!A:B,2,FALSE))</f>
        <v>INSTALAÇÃO DE PORTA EM ALUMÍNIO DE ABRIR TIPO VENEZIANA COM GUARNIÇÃO, FIXAÇÃO COM PARAFUSOS - CONSIDENRANDO O REAPROVEITAMENTO DO MATERIAL</v>
      </c>
      <c r="E429" s="45" t="str">
        <f>IF(B429="MP-MT",VLOOKUP(C429,'COMPOSIÇÃO DE PREÇO UNITÁRIO'!A:H,8,FALSE),VLOOKUP(C429,'SINAPI_COMPOSIÇÕES 062020'!A:C,3,FALSE))</f>
        <v>M2</v>
      </c>
      <c r="F429" s="78">
        <f>0.6*1.8*12</f>
        <v>12.96</v>
      </c>
      <c r="G429" s="79">
        <f>IF(B429="MP-MT",VLOOKUP(CONCATENATE("TOTAL DO ÍTEM - ",C429),'COMPOSIÇÃO DE PREÇO UNITÁRIO'!A:H,8,FALSE),VLOOKUP(C429,'SINAPI_COMPOSIÇÕES 062020'!A:D,4,FALSE))</f>
        <v>84.99</v>
      </c>
      <c r="H429" s="79">
        <f t="shared" ref="H429:H443" si="95">TRUNC(G429*(1+$F$1),2)</f>
        <v>109.96</v>
      </c>
      <c r="I429" s="79">
        <f t="shared" ref="I429:I443" si="96">TRUNC(H429*F429,2)</f>
        <v>1425.08</v>
      </c>
    </row>
    <row r="430" spans="1:9" ht="38.25" outlineLevel="2" x14ac:dyDescent="0.2">
      <c r="A430" s="45" t="s">
        <v>13630</v>
      </c>
      <c r="B430" s="45" t="s">
        <v>194</v>
      </c>
      <c r="C430" s="45" t="s">
        <v>12184</v>
      </c>
      <c r="D430" s="44" t="str">
        <f>IF(B430="MP-MT",VLOOKUP(C430,'COMPOSIÇÃO DE PREÇO UNITÁRIO'!A:B,2,FALSE),VLOOKUP(C430,'SINAPI_COMPOSIÇÕES 062020'!A:B,2,FALSE))</f>
        <v>FORNECIMENTO E INSTALAÇÃO DE PORTA VENEZIANA EM ALUMINIO, CORRER, 0,70 X 1,70M, INCLUSIVE TRILHOS E ROLDANAS, CONFORME PROJETO EXECUTIVO</v>
      </c>
      <c r="E430" s="45" t="str">
        <f>IF(B430="MP-MT",VLOOKUP(C430,'COMPOSIÇÃO DE PREÇO UNITÁRIO'!A:H,8,FALSE),VLOOKUP(C430,'SINAPI_COMPOSIÇÕES 062020'!A:C,3,FALSE))</f>
        <v>UND</v>
      </c>
      <c r="F430" s="78">
        <f>0.7*1.7*2</f>
        <v>2.38</v>
      </c>
      <c r="G430" s="79">
        <f>IF(B430="MP-MT",VLOOKUP(CONCATENATE("TOTAL DO ÍTEM - ",C430),'COMPOSIÇÃO DE PREÇO UNITÁRIO'!A:H,8,FALSE),VLOOKUP(C430,'SINAPI_COMPOSIÇÕES 062020'!A:D,4,FALSE))</f>
        <v>894.26</v>
      </c>
      <c r="H430" s="79">
        <f t="shared" si="95"/>
        <v>1157.03</v>
      </c>
      <c r="I430" s="79">
        <f t="shared" si="96"/>
        <v>2753.73</v>
      </c>
    </row>
    <row r="431" spans="1:9" ht="38.25" outlineLevel="2" x14ac:dyDescent="0.2">
      <c r="A431" s="45" t="s">
        <v>13631</v>
      </c>
      <c r="B431" s="45" t="s">
        <v>194</v>
      </c>
      <c r="C431" s="45" t="s">
        <v>12626</v>
      </c>
      <c r="D431" s="44" t="str">
        <f>IF(B431="MP-MT",VLOOKUP(C431,'COMPOSIÇÃO DE PREÇO UNITÁRIO'!A:B,2,FALSE),VLOOKUP(C431,'SINAPI_COMPOSIÇÕES 062020'!A:B,2,FALSE))</f>
        <v>PORTA EM CHAPA DE AÇO REFORÇADA, COM PAINEIS REBAIXADOS, COM GUARNIÇÕES, 80X210CM, COM GRADE E VIDRO, CONFORME PROJETO DETALHADO - FORNECIMENTO E INSTALAÇÃO</v>
      </c>
      <c r="E431" s="45" t="str">
        <f>IF(B431="MP-MT",VLOOKUP(C431,'COMPOSIÇÃO DE PREÇO UNITÁRIO'!A:H,8,FALSE),VLOOKUP(C431,'SINAPI_COMPOSIÇÕES 062020'!A:C,3,FALSE))</f>
        <v>UND</v>
      </c>
      <c r="F431" s="78">
        <v>1</v>
      </c>
      <c r="G431" s="79">
        <f>IF(B431="MP-MT",VLOOKUP(CONCATENATE("TOTAL DO ÍTEM - ",C431),'COMPOSIÇÃO DE PREÇO UNITÁRIO'!A:H,8,FALSE),VLOOKUP(C431,'SINAPI_COMPOSIÇÕES 062020'!A:D,4,FALSE))</f>
        <v>1053.99</v>
      </c>
      <c r="H431" s="79">
        <f t="shared" si="95"/>
        <v>1363.7</v>
      </c>
      <c r="I431" s="79">
        <f t="shared" si="96"/>
        <v>1363.7</v>
      </c>
    </row>
    <row r="432" spans="1:9" ht="38.25" outlineLevel="2" x14ac:dyDescent="0.2">
      <c r="A432" s="45" t="s">
        <v>13632</v>
      </c>
      <c r="B432" s="45" t="s">
        <v>194</v>
      </c>
      <c r="C432" s="45" t="s">
        <v>12633</v>
      </c>
      <c r="D432" s="44" t="str">
        <f>IF(B432="MP-MT",VLOOKUP(C432,'COMPOSIÇÃO DE PREÇO UNITÁRIO'!A:B,2,FALSE),VLOOKUP(C432,'SINAPI_COMPOSIÇÕES 062020'!A:B,2,FALSE))</f>
        <v>PORTA EM CHAPA DE AÇO REFORÇADA, COM PAINEIS REBAIXADOS, COM GUARNIÇÕES, 90X210CM, COM GRADE E VIDRO, CONFORME PROJETO DETALHADO - FORNECIMENTO E INSTALAÇÃO</v>
      </c>
      <c r="E432" s="45" t="str">
        <f>IF(B432="MP-MT",VLOOKUP(C432,'COMPOSIÇÃO DE PREÇO UNITÁRIO'!A:H,8,FALSE),VLOOKUP(C432,'SINAPI_COMPOSIÇÕES 062020'!A:C,3,FALSE))</f>
        <v>UND</v>
      </c>
      <c r="F432" s="78">
        <v>1</v>
      </c>
      <c r="G432" s="79">
        <f>IF(B432="MP-MT",VLOOKUP(CONCATENATE("TOTAL DO ÍTEM - ",C432),'COMPOSIÇÃO DE PREÇO UNITÁRIO'!A:H,8,FALSE),VLOOKUP(C432,'SINAPI_COMPOSIÇÕES 062020'!A:D,4,FALSE))</f>
        <v>1150.29</v>
      </c>
      <c r="H432" s="79">
        <f t="shared" si="95"/>
        <v>1488.3</v>
      </c>
      <c r="I432" s="79">
        <f t="shared" si="96"/>
        <v>1488.3</v>
      </c>
    </row>
    <row r="433" spans="1:9" ht="38.25" outlineLevel="2" x14ac:dyDescent="0.2">
      <c r="A433" s="45" t="s">
        <v>13633</v>
      </c>
      <c r="B433" s="45" t="s">
        <v>194</v>
      </c>
      <c r="C433" s="45" t="s">
        <v>12636</v>
      </c>
      <c r="D433" s="44" t="str">
        <f>IF(B433="MP-MT",VLOOKUP(C433,'COMPOSIÇÃO DE PREÇO UNITÁRIO'!A:B,2,FALSE),VLOOKUP(C433,'SINAPI_COMPOSIÇÕES 062020'!A:B,2,FALSE))</f>
        <v>PORTA EM CHAPA DE AÇO REFORÇADA, CORRER, COM GUARNIÇÕES, 80X210CM, CONFORME PROJETO DETALHADO - FORNECIMENTO E INSTALAÇÃO</v>
      </c>
      <c r="E433" s="45" t="str">
        <f>IF(B433="MP-MT",VLOOKUP(C433,'COMPOSIÇÃO DE PREÇO UNITÁRIO'!A:H,8,FALSE),VLOOKUP(C433,'SINAPI_COMPOSIÇÕES 062020'!A:C,3,FALSE))</f>
        <v>UND</v>
      </c>
      <c r="F433" s="78">
        <v>1</v>
      </c>
      <c r="G433" s="79">
        <f>IF(B433="MP-MT",VLOOKUP(CONCATENATE("TOTAL DO ÍTEM - ",C433),'COMPOSIÇÃO DE PREÇO UNITÁRIO'!A:H,8,FALSE),VLOOKUP(C433,'SINAPI_COMPOSIÇÕES 062020'!A:D,4,FALSE))</f>
        <v>666.9</v>
      </c>
      <c r="H433" s="79">
        <f t="shared" si="95"/>
        <v>862.86</v>
      </c>
      <c r="I433" s="79">
        <f t="shared" si="96"/>
        <v>862.86</v>
      </c>
    </row>
    <row r="434" spans="1:9" ht="25.5" outlineLevel="2" x14ac:dyDescent="0.2">
      <c r="A434" s="45" t="s">
        <v>13634</v>
      </c>
      <c r="B434" s="45" t="s">
        <v>194</v>
      </c>
      <c r="C434" s="45" t="s">
        <v>12639</v>
      </c>
      <c r="D434" s="44" t="str">
        <f>IF(B434="MP-MT",VLOOKUP(C434,'COMPOSIÇÃO DE PREÇO UNITÁRIO'!A:B,2,FALSE),VLOOKUP(C434,'SINAPI_COMPOSIÇÕES 062020'!A:B,2,FALSE))</f>
        <v>FORNECIMENTO E INSTALAÇÃO DE PORTA DE CORRER 1F, EM MADEIRA, 0,80X2,10M, COM VISOR EM VIDRO, INCLUSIVE BATENTES E FERRAGENS</v>
      </c>
      <c r="E434" s="45" t="str">
        <f>IF(B434="MP-MT",VLOOKUP(C434,'COMPOSIÇÃO DE PREÇO UNITÁRIO'!A:H,8,FALSE),VLOOKUP(C434,'SINAPI_COMPOSIÇÕES 062020'!A:C,3,FALSE))</f>
        <v>UND</v>
      </c>
      <c r="F434" s="78">
        <v>1</v>
      </c>
      <c r="G434" s="79">
        <f>IF(B434="MP-MT",VLOOKUP(CONCATENATE("TOTAL DO ÍTEM - ",C434),'COMPOSIÇÃO DE PREÇO UNITÁRIO'!A:H,8,FALSE),VLOOKUP(C434,'SINAPI_COMPOSIÇÕES 062020'!A:D,4,FALSE))</f>
        <v>988.22</v>
      </c>
      <c r="H434" s="79">
        <f t="shared" si="95"/>
        <v>1278.5999999999999</v>
      </c>
      <c r="I434" s="79">
        <f t="shared" si="96"/>
        <v>1278.5999999999999</v>
      </c>
    </row>
    <row r="435" spans="1:9" ht="25.5" outlineLevel="2" x14ac:dyDescent="0.2">
      <c r="A435" s="45" t="s">
        <v>13635</v>
      </c>
      <c r="B435" s="45" t="s">
        <v>194</v>
      </c>
      <c r="C435" s="45" t="s">
        <v>12643</v>
      </c>
      <c r="D435" s="44" t="str">
        <f>IF(B435="MP-MT",VLOOKUP(C435,'COMPOSIÇÃO DE PREÇO UNITÁRIO'!A:B,2,FALSE),VLOOKUP(C435,'SINAPI_COMPOSIÇÕES 062020'!A:B,2,FALSE))</f>
        <v>FORNECIMENTO E INSTALAÇÃO DE PORTA DE CORRER 1F, EM MADEIRA, 0,90X2,10M, COM VISOR EM VIDRO, INCLUSIVE BATENTES E FERRAGENS</v>
      </c>
      <c r="E435" s="45" t="str">
        <f>IF(B435="MP-MT",VLOOKUP(C435,'COMPOSIÇÃO DE PREÇO UNITÁRIO'!A:H,8,FALSE),VLOOKUP(C435,'SINAPI_COMPOSIÇÕES 062020'!A:C,3,FALSE))</f>
        <v>UND</v>
      </c>
      <c r="F435" s="78">
        <v>2</v>
      </c>
      <c r="G435" s="79">
        <f>IF(B435="MP-MT",VLOOKUP(CONCATENATE("TOTAL DO ÍTEM - ",C435),'COMPOSIÇÃO DE PREÇO UNITÁRIO'!A:H,8,FALSE),VLOOKUP(C435,'SINAPI_COMPOSIÇÕES 062020'!A:D,4,FALSE))</f>
        <v>1045.76</v>
      </c>
      <c r="H435" s="79">
        <f t="shared" si="95"/>
        <v>1353.05</v>
      </c>
      <c r="I435" s="79">
        <f t="shared" si="96"/>
        <v>2706.1</v>
      </c>
    </row>
    <row r="436" spans="1:9" ht="51" outlineLevel="2" x14ac:dyDescent="0.2">
      <c r="A436" s="45" t="s">
        <v>13636</v>
      </c>
      <c r="B436" s="45" t="s">
        <v>194</v>
      </c>
      <c r="C436" s="45" t="s">
        <v>12648</v>
      </c>
      <c r="D436" s="44" t="str">
        <f>IF(B436="MP-MT",VLOOKUP(C436,'COMPOSIÇÃO DE PREÇO UNITÁRIO'!A:B,2,FALSE),VLOOKUP(C436,'SINAPI_COMPOSIÇÕES 062020'!A:B,2,FALSE))</f>
        <v>PORTA DE MADEIRA PARA VERNIZ, 2F 160X210CM, ESPESSURA DE 3,5CM, COM VISOR EM VIDRO LAMINADO 6,0 MM, ITENS INCLUSOS: DOBRADIÇAS, MONTAGEM E INSTALAÇÃO DO BATENTE, SEM FECHADURA - FORNECIMENTO E INSTALAÇÃO</v>
      </c>
      <c r="E436" s="45" t="str">
        <f>IF(B436="MP-MT",VLOOKUP(C436,'COMPOSIÇÃO DE PREÇO UNITÁRIO'!A:H,8,FALSE),VLOOKUP(C436,'SINAPI_COMPOSIÇÕES 062020'!A:C,3,FALSE))</f>
        <v>UND</v>
      </c>
      <c r="F436" s="78">
        <v>1</v>
      </c>
      <c r="G436" s="79">
        <f>IF(B436="MP-MT",VLOOKUP(CONCATENATE("TOTAL DO ÍTEM - ",C436),'COMPOSIÇÃO DE PREÇO UNITÁRIO'!A:H,8,FALSE),VLOOKUP(C436,'SINAPI_COMPOSIÇÕES 062020'!A:D,4,FALSE))</f>
        <v>1315.05</v>
      </c>
      <c r="H436" s="79">
        <f t="shared" si="95"/>
        <v>1701.47</v>
      </c>
      <c r="I436" s="79">
        <f t="shared" si="96"/>
        <v>1701.47</v>
      </c>
    </row>
    <row r="437" spans="1:9" ht="25.5" outlineLevel="2" x14ac:dyDescent="0.2">
      <c r="A437" s="45" t="s">
        <v>13637</v>
      </c>
      <c r="B437" s="45" t="s">
        <v>194</v>
      </c>
      <c r="C437" s="45" t="s">
        <v>12649</v>
      </c>
      <c r="D437" s="44" t="str">
        <f>IF(B437="MP-MT",VLOOKUP(C437,'COMPOSIÇÃO DE PREÇO UNITÁRIO'!A:B,2,FALSE),VLOOKUP(C437,'SINAPI_COMPOSIÇÕES 062020'!A:B,2,FALSE))</f>
        <v>FORNECIMENTO E INSTALAÇÃO DE GRADE EXTERNA, EM BARRA CHATA 1 1/4" X 3/16", CONFORME DETALHAMENTO EM PROJETO</v>
      </c>
      <c r="E437" s="45" t="str">
        <f>IF(B437="MP-MT",VLOOKUP(C437,'COMPOSIÇÃO DE PREÇO UNITÁRIO'!A:H,8,FALSE),VLOOKUP(C437,'SINAPI_COMPOSIÇÕES 062020'!A:C,3,FALSE))</f>
        <v>M2</v>
      </c>
      <c r="F437" s="78">
        <f>1.5*2.1</f>
        <v>3.1500000000000004</v>
      </c>
      <c r="G437" s="79">
        <f>IF(B437="MP-MT",VLOOKUP(CONCATENATE("TOTAL DO ÍTEM - ",C437),'COMPOSIÇÃO DE PREÇO UNITÁRIO'!A:H,8,FALSE),VLOOKUP(C437,'SINAPI_COMPOSIÇÕES 062020'!A:D,4,FALSE))</f>
        <v>329.11</v>
      </c>
      <c r="H437" s="79">
        <f t="shared" si="95"/>
        <v>425.81</v>
      </c>
      <c r="I437" s="79">
        <f t="shared" si="96"/>
        <v>1341.3</v>
      </c>
    </row>
    <row r="438" spans="1:9" ht="51" outlineLevel="2" x14ac:dyDescent="0.2">
      <c r="A438" s="45" t="s">
        <v>13638</v>
      </c>
      <c r="B438" s="45" t="s">
        <v>194</v>
      </c>
      <c r="C438" s="45" t="s">
        <v>12653</v>
      </c>
      <c r="D438" s="44" t="str">
        <f>IF(B438="MP-MT",VLOOKUP(C438,'COMPOSIÇÃO DE PREÇO UNITÁRIO'!A:B,2,FALSE),VLOOKUP(C438,'SINAPI_COMPOSIÇÕES 062020'!A:B,2,FALSE))</f>
        <v>PORTA DE MADEIRA PARA VERNIZ, SEMI-OCA (LEVE OU MÉDIA), PADRÃO MÉDIO, 60X210CM, ESPESSURA DE 3,5CM, ITENS INCLUSOS: DOBRADIÇAS, MONTAGEM E INSTALAÇÃO DO BATENTE, SEM FECHADURA E FOLHA DA PORTA - INSTALAÇÃO CONSIDERANDO REAPROVEITAMENTO</v>
      </c>
      <c r="E438" s="45" t="str">
        <f>IF(B438="MP-MT",VLOOKUP(C438,'COMPOSIÇÃO DE PREÇO UNITÁRIO'!A:H,8,FALSE),VLOOKUP(C438,'SINAPI_COMPOSIÇÕES 062020'!A:C,3,FALSE))</f>
        <v>UND</v>
      </c>
      <c r="F438" s="78">
        <v>4</v>
      </c>
      <c r="G438" s="79">
        <f>IF(B438="MP-MT",VLOOKUP(CONCATENATE("TOTAL DO ÍTEM - ",C438),'COMPOSIÇÃO DE PREÇO UNITÁRIO'!A:H,8,FALSE),VLOOKUP(C438,'SINAPI_COMPOSIÇÕES 062020'!A:D,4,FALSE))</f>
        <v>377.51</v>
      </c>
      <c r="H438" s="79">
        <f t="shared" si="95"/>
        <v>488.44</v>
      </c>
      <c r="I438" s="79">
        <f t="shared" si="96"/>
        <v>1953.76</v>
      </c>
    </row>
    <row r="439" spans="1:9" ht="51" outlineLevel="2" x14ac:dyDescent="0.2">
      <c r="A439" s="45" t="s">
        <v>13639</v>
      </c>
      <c r="B439" s="45" t="s">
        <v>194</v>
      </c>
      <c r="C439" s="45" t="s">
        <v>12657</v>
      </c>
      <c r="D439" s="44" t="str">
        <f>IF(B439="MP-MT",VLOOKUP(C439,'COMPOSIÇÃO DE PREÇO UNITÁRIO'!A:B,2,FALSE),VLOOKUP(C439,'SINAPI_COMPOSIÇÕES 062020'!A:B,2,FALSE))</f>
        <v>PORTA DE MADEIRA PARA VERNIZ, SEMI-OCA (LEVE OU MÉDIA), PADRÃO MÉDIO, 80X210CM, ESPESSURA DE 3,5CM, ITENS INCLUSOS: DOBRADIÇAS, MONTAGEM E INSTALAÇÃO DO BATENTE, SEM FECHADURA E FOLHA DA PORTA - INSTALAÇÃO CONSIDERANDO REAPROVEITAMENTO</v>
      </c>
      <c r="E439" s="45" t="str">
        <f>IF(B439="MP-MT",VLOOKUP(C439,'COMPOSIÇÃO DE PREÇO UNITÁRIO'!A:H,8,FALSE),VLOOKUP(C439,'SINAPI_COMPOSIÇÕES 062020'!A:C,3,FALSE))</f>
        <v>UND</v>
      </c>
      <c r="F439" s="78">
        <f>16+2</f>
        <v>18</v>
      </c>
      <c r="G439" s="79">
        <f>IF(B439="MP-MT",VLOOKUP(CONCATENATE("TOTAL DO ÍTEM - ",C439),'COMPOSIÇÃO DE PREÇO UNITÁRIO'!A:H,8,FALSE),VLOOKUP(C439,'SINAPI_COMPOSIÇÕES 062020'!A:D,4,FALSE))</f>
        <v>386.64</v>
      </c>
      <c r="H439" s="79">
        <f t="shared" si="95"/>
        <v>500.25</v>
      </c>
      <c r="I439" s="79">
        <f t="shared" si="96"/>
        <v>9004.5</v>
      </c>
    </row>
    <row r="440" spans="1:9" ht="51" outlineLevel="2" x14ac:dyDescent="0.2">
      <c r="A440" s="45" t="s">
        <v>13640</v>
      </c>
      <c r="B440" s="45" t="s">
        <v>194</v>
      </c>
      <c r="C440" s="45" t="s">
        <v>12661</v>
      </c>
      <c r="D440" s="44" t="str">
        <f>IF(B440="MP-MT",VLOOKUP(C440,'COMPOSIÇÃO DE PREÇO UNITÁRIO'!A:B,2,FALSE),VLOOKUP(C440,'SINAPI_COMPOSIÇÕES 062020'!A:B,2,FALSE))</f>
        <v>PORTA DE MADEIRA PARA VERNIZ, 2F 120X210CM, ESPESSURA DE 3,5CM, COM VISOR EM VIDRO LAMINADO 6,0 MM, ITENS INCLUSOS: DOBRADIÇAS, MONTAGEM E INSTALAÇÃO DO BATENTE, SEM FECHADURA - INSTALAÇÃO PREVENDO REAPROVEIRAMENTO</v>
      </c>
      <c r="E440" s="45" t="str">
        <f>IF(B440="MP-MT",VLOOKUP(C440,'COMPOSIÇÃO DE PREÇO UNITÁRIO'!A:H,8,FALSE),VLOOKUP(C440,'SINAPI_COMPOSIÇÕES 062020'!A:C,3,FALSE))</f>
        <v>UND</v>
      </c>
      <c r="F440" s="78">
        <v>1</v>
      </c>
      <c r="G440" s="79">
        <f>IF(B440="MP-MT",VLOOKUP(CONCATENATE("TOTAL DO ÍTEM - ",C440),'COMPOSIÇÃO DE PREÇO UNITÁRIO'!A:H,8,FALSE),VLOOKUP(C440,'SINAPI_COMPOSIÇÕES 062020'!A:D,4,FALSE))</f>
        <v>522.4</v>
      </c>
      <c r="H440" s="79">
        <f t="shared" si="95"/>
        <v>675.9</v>
      </c>
      <c r="I440" s="79">
        <f t="shared" si="96"/>
        <v>675.9</v>
      </c>
    </row>
    <row r="441" spans="1:9" ht="38.25" outlineLevel="2" x14ac:dyDescent="0.2">
      <c r="A441" s="45" t="s">
        <v>13641</v>
      </c>
      <c r="B441" s="45" t="s">
        <v>194</v>
      </c>
      <c r="C441" s="45" t="s">
        <v>12665</v>
      </c>
      <c r="D441" s="44" t="str">
        <f>IF(B441="MP-MT",VLOOKUP(C441,'COMPOSIÇÃO DE PREÇO UNITÁRIO'!A:B,2,FALSE),VLOOKUP(C441,'SINAPI_COMPOSIÇÕES 062020'!A:B,2,FALSE))</f>
        <v>PORTA DE VIDRO TEMPERADO, 2 FOLHAS, 1,60X2,10M, ESPESSURA 10MM, INCLUSIVE ACESSORIOS, INSTALAÇÃO PREVENDO REAPROVEITAMENTO DA PORTA E SUBSTITUIÇÃO DA MOLA HIDRÁULICA</v>
      </c>
      <c r="E441" s="45" t="str">
        <f>IF(B441="MP-MT",VLOOKUP(C441,'COMPOSIÇÃO DE PREÇO UNITÁRIO'!A:H,8,FALSE),VLOOKUP(C441,'SINAPI_COMPOSIÇÕES 062020'!A:C,3,FALSE))</f>
        <v>UND</v>
      </c>
      <c r="F441" s="78">
        <v>1</v>
      </c>
      <c r="G441" s="79">
        <f>IF(B441="MP-MT",VLOOKUP(CONCATENATE("TOTAL DO ÍTEM - ",C441),'COMPOSIÇÃO DE PREÇO UNITÁRIO'!A:H,8,FALSE),VLOOKUP(C441,'SINAPI_COMPOSIÇÕES 062020'!A:D,4,FALSE))</f>
        <v>2229.98</v>
      </c>
      <c r="H441" s="79">
        <f t="shared" si="95"/>
        <v>2885.26</v>
      </c>
      <c r="I441" s="79">
        <f t="shared" si="96"/>
        <v>2885.26</v>
      </c>
    </row>
    <row r="442" spans="1:9" ht="38.25" outlineLevel="2" x14ac:dyDescent="0.2">
      <c r="A442" s="45" t="s">
        <v>13642</v>
      </c>
      <c r="B442" s="45" t="s">
        <v>9</v>
      </c>
      <c r="C442" s="45">
        <v>100757</v>
      </c>
      <c r="D442" s="44" t="str">
        <f>IF(B442="MP-MT",VLOOKUP(C442,'COMPOSIÇÃO DE PREÇO UNITÁRIO'!A:B,2,FALSE),VLOOKUP(C442,'SINAPI_COMPOSIÇÕES 062020'!A:B,2,FALSE))</f>
        <v>PINTURA COM TINTA ALQUÍDICA DE ACABAMENTO (ESMALTE SINTÉTICO ACETINADO) PULVERIZADA SOBRE SUPERFÍCIES METÁLICAS (EXCETO PERFIL) EXECUTADO EM OBRA (02 DEMÃOS). AF_01/2020</v>
      </c>
      <c r="E442" s="45" t="str">
        <f>IF(B442="MP-MT",VLOOKUP(C442,'COMPOSIÇÃO DE PREÇO UNITÁRIO'!A:H,8,FALSE),VLOOKUP(C442,'SINAPI_COMPOSIÇÕES 062020'!A:C,3,FALSE))</f>
        <v>M2</v>
      </c>
      <c r="F442" s="78">
        <v>33.04</v>
      </c>
      <c r="G442" s="79">
        <f>IF(B442="MP-MT",VLOOKUP(CONCATENATE("TOTAL DO ÍTEM - ",C442),'COMPOSIÇÃO DE PREÇO UNITÁRIO'!A:H,8,FALSE),VLOOKUP(C442,'SINAPI_COMPOSIÇÕES 062020'!A:D,4,FALSE))</f>
        <v>31.73</v>
      </c>
      <c r="H442" s="79">
        <f t="shared" si="95"/>
        <v>41.05</v>
      </c>
      <c r="I442" s="79">
        <f t="shared" si="96"/>
        <v>1356.29</v>
      </c>
    </row>
    <row r="443" spans="1:9" outlineLevel="2" x14ac:dyDescent="0.2">
      <c r="A443" s="45" t="s">
        <v>13643</v>
      </c>
      <c r="B443" s="45" t="s">
        <v>9</v>
      </c>
      <c r="C443" s="45">
        <v>95464</v>
      </c>
      <c r="D443" s="44" t="str">
        <f>IF(B443="MP-MT",VLOOKUP(C443,'COMPOSIÇÃO DE PREÇO UNITÁRIO'!A:B,2,FALSE),VLOOKUP(C443,'SINAPI_COMPOSIÇÕES 062020'!A:B,2,FALSE))</f>
        <v>PINTURA VERNIZ POLIURETANO BRILHANTE EM MADEIRA, TRES DEMAOS</v>
      </c>
      <c r="E443" s="45" t="str">
        <f>IF(B443="MP-MT",VLOOKUP(C443,'COMPOSIÇÃO DE PREÇO UNITÁRIO'!A:H,8,FALSE),VLOOKUP(C443,'SINAPI_COMPOSIÇÕES 062020'!A:C,3,FALSE))</f>
        <v>M2</v>
      </c>
      <c r="F443" s="78">
        <v>114.66</v>
      </c>
      <c r="G443" s="79">
        <f>IF(B443="MP-MT",VLOOKUP(CONCATENATE("TOTAL DO ÍTEM - ",C443),'COMPOSIÇÃO DE PREÇO UNITÁRIO'!A:H,8,FALSE),VLOOKUP(C443,'SINAPI_COMPOSIÇÕES 062020'!A:D,4,FALSE))</f>
        <v>18.989999999999998</v>
      </c>
      <c r="H443" s="79">
        <f t="shared" si="95"/>
        <v>24.57</v>
      </c>
      <c r="I443" s="79">
        <f t="shared" si="96"/>
        <v>2817.19</v>
      </c>
    </row>
    <row r="444" spans="1:9" outlineLevel="1" x14ac:dyDescent="0.2">
      <c r="A444" s="76"/>
      <c r="B444" s="76"/>
      <c r="C444" s="76"/>
      <c r="D444" s="91" t="str">
        <f>CONCATENATE("TOTAL DO ITEM - ",A416)</f>
        <v>TOTAL DO ITEM - 17.0</v>
      </c>
      <c r="E444" s="76"/>
      <c r="F444" s="92"/>
      <c r="G444" s="93"/>
      <c r="H444" s="93"/>
      <c r="I444" s="93">
        <f>SUM(I417:I443)</f>
        <v>77716.12999999999</v>
      </c>
    </row>
    <row r="445" spans="1:9" outlineLevel="1" x14ac:dyDescent="0.2">
      <c r="A445" s="87" t="s">
        <v>64</v>
      </c>
      <c r="B445" s="87"/>
      <c r="C445" s="87"/>
      <c r="D445" s="88" t="s">
        <v>11949</v>
      </c>
      <c r="E445" s="87"/>
      <c r="F445" s="89"/>
      <c r="G445" s="90"/>
      <c r="H445" s="90"/>
      <c r="I445" s="90"/>
    </row>
    <row r="446" spans="1:9" ht="25.5" outlineLevel="2" x14ac:dyDescent="0.2">
      <c r="A446" s="45" t="s">
        <v>13488</v>
      </c>
      <c r="B446" s="77" t="s">
        <v>9</v>
      </c>
      <c r="C446" s="77">
        <v>90447</v>
      </c>
      <c r="D446" s="44" t="str">
        <f>IF(B446="MP-MT",VLOOKUP(C446,'COMPOSIÇÃO DE PREÇO UNITÁRIO'!A:B,2,FALSE),VLOOKUP(C446,'SINAPI_COMPOSIÇÕES 062020'!A:B,2,FALSE))</f>
        <v>RASGO EM ALVENARIA PARA ELETRODUTOS COM DIAMETROS MENORES OU IGUAIS A 40 MM. AF_05/2015</v>
      </c>
      <c r="E446" s="45" t="str">
        <f>IF(B446="MP-MT",VLOOKUP(C446,'COMPOSIÇÃO DE PREÇO UNITÁRIO'!A:H,8,FALSE),VLOOKUP(C446,'SINAPI_COMPOSIÇÕES 062020'!A:C,3,FALSE))</f>
        <v>M</v>
      </c>
      <c r="F446" s="78">
        <v>16.41</v>
      </c>
      <c r="G446" s="79">
        <f>IF(B446="MP-MT",VLOOKUP(CONCATENATE("TOTAL DO ÍTEM - ",C446),'COMPOSIÇÃO DE PREÇO UNITÁRIO'!A:H,8,FALSE),VLOOKUP(C446,'SINAPI_COMPOSIÇÕES 062020'!A:D,4,FALSE))</f>
        <v>4.45</v>
      </c>
      <c r="H446" s="79">
        <f t="shared" ref="H446:H466" si="97">TRUNC(G446*(1+$F$1),2)</f>
        <v>5.75</v>
      </c>
      <c r="I446" s="79">
        <f t="shared" ref="I446:I466" si="98">TRUNC(H446*F446,2)</f>
        <v>94.35</v>
      </c>
    </row>
    <row r="447" spans="1:9" ht="38.25" outlineLevel="2" x14ac:dyDescent="0.2">
      <c r="A447" s="45" t="s">
        <v>13647</v>
      </c>
      <c r="B447" s="77" t="s">
        <v>9</v>
      </c>
      <c r="C447" s="77">
        <v>97329</v>
      </c>
      <c r="D447" s="44" t="str">
        <f>IF(B447="MP-MT",VLOOKUP(C447,'COMPOSIÇÃO DE PREÇO UNITÁRIO'!A:B,2,FALSE),VLOOKUP(C447,'SINAPI_COMPOSIÇÕES 062020'!A:B,2,FALSE))</f>
        <v>TUBO EM COBRE FLEXÍVEL, DN 1/2", COM ISOLAMENTO, INSTALADO EM RAMAL DE ALIMENTAÇÃO DE AR CONDICIONADO COM CONDENSADORA INDIVIDUAL  FORNECIMENTO E INSTALAÇÃO. AF_12/2015</v>
      </c>
      <c r="E447" s="45" t="str">
        <f>IF(B447="MP-MT",VLOOKUP(C447,'COMPOSIÇÃO DE PREÇO UNITÁRIO'!A:H,8,FALSE),VLOOKUP(C447,'SINAPI_COMPOSIÇÕES 062020'!A:C,3,FALSE))</f>
        <v>M</v>
      </c>
      <c r="F447" s="78">
        <v>55.35</v>
      </c>
      <c r="G447" s="79">
        <f>IF(B447="MP-MT",VLOOKUP(CONCATENATE("TOTAL DO ÍTEM - ",C447),'COMPOSIÇÃO DE PREÇO UNITÁRIO'!A:H,8,FALSE),VLOOKUP(C447,'SINAPI_COMPOSIÇÕES 062020'!A:D,4,FALSE))</f>
        <v>43.28</v>
      </c>
      <c r="H447" s="79">
        <f t="shared" ref="H447:H460" si="99">TRUNC(G447*(1+$F$1),2)</f>
        <v>55.99</v>
      </c>
      <c r="I447" s="79">
        <f t="shared" ref="I447:I465" si="100">TRUNC(H447*F447,2)</f>
        <v>3099.04</v>
      </c>
    </row>
    <row r="448" spans="1:9" ht="38.25" outlineLevel="2" x14ac:dyDescent="0.2">
      <c r="A448" s="45" t="s">
        <v>13646</v>
      </c>
      <c r="B448" s="77" t="s">
        <v>9</v>
      </c>
      <c r="C448" s="77">
        <v>97327</v>
      </c>
      <c r="D448" s="44" t="str">
        <f>IF(B448="MP-MT",VLOOKUP(C448,'COMPOSIÇÃO DE PREÇO UNITÁRIO'!A:B,2,FALSE),VLOOKUP(C448,'SINAPI_COMPOSIÇÕES 062020'!A:B,2,FALSE))</f>
        <v>TUBO EM COBRE FLEXÍVEL, DN 1/4, COM ISOLAMENTO, INSTALADO EM RAMAL DE ALIMENTAÇÃO DE AR CONDICIONADO COM CONDENSADORA INDIVIDUAL   FORNECIMENTO E INSTALAÇÃO. AF_12/2015</v>
      </c>
      <c r="E448" s="45" t="str">
        <f>IF(B448="MP-MT",VLOOKUP(C448,'COMPOSIÇÃO DE PREÇO UNITÁRIO'!A:H,8,FALSE),VLOOKUP(C448,'SINAPI_COMPOSIÇÕES 062020'!A:C,3,FALSE))</f>
        <v>M</v>
      </c>
      <c r="F448" s="78">
        <v>81.900000000000006</v>
      </c>
      <c r="G448" s="79">
        <f>IF(B448="MP-MT",VLOOKUP(CONCATENATE("TOTAL DO ÍTEM - ",C448),'COMPOSIÇÃO DE PREÇO UNITÁRIO'!A:H,8,FALSE),VLOOKUP(C448,'SINAPI_COMPOSIÇÕES 062020'!A:D,4,FALSE))</f>
        <v>19.77</v>
      </c>
      <c r="H448" s="79">
        <f t="shared" si="99"/>
        <v>25.57</v>
      </c>
      <c r="I448" s="79">
        <f t="shared" si="100"/>
        <v>2094.1799999999998</v>
      </c>
    </row>
    <row r="449" spans="1:9" ht="38.25" outlineLevel="2" x14ac:dyDescent="0.2">
      <c r="A449" s="45" t="s">
        <v>13648</v>
      </c>
      <c r="B449" s="77" t="s">
        <v>194</v>
      </c>
      <c r="C449" s="77" t="s">
        <v>12559</v>
      </c>
      <c r="D449" s="44" t="str">
        <f>IF(B449="MP-MT",VLOOKUP(C449,'COMPOSIÇÃO DE PREÇO UNITÁRIO'!A:B,2,FALSE),VLOOKUP(C449,'SINAPI_COMPOSIÇÕES 062020'!A:B,2,FALSE))</f>
        <v>TUBO EM COBRE FLEXÍVEL, DN 3/4", COM ISOLAMENTO, INSTALADO EM RAMAL DE ALIMENTAÇÃO DE AR CONDICIONADO COM CONDENSADORA INDIVIDUAL  FORNECIMENTO E INSTALAÇÃO</v>
      </c>
      <c r="E449" s="45" t="str">
        <f>IF(B449="MP-MT",VLOOKUP(C449,'COMPOSIÇÃO DE PREÇO UNITÁRIO'!A:H,8,FALSE),VLOOKUP(C449,'SINAPI_COMPOSIÇÕES 062020'!A:C,3,FALSE))</f>
        <v>M</v>
      </c>
      <c r="F449" s="78">
        <f>4.53+26.9852</f>
        <v>31.5152</v>
      </c>
      <c r="G449" s="79">
        <f>IF(B449="MP-MT",VLOOKUP(CONCATENATE("TOTAL DO ÍTEM - ",C449),'COMPOSIÇÃO DE PREÇO UNITÁRIO'!A:H,8,FALSE),VLOOKUP(C449,'SINAPI_COMPOSIÇÕES 062020'!A:D,4,FALSE))</f>
        <v>43.94</v>
      </c>
      <c r="H449" s="79">
        <f t="shared" si="99"/>
        <v>56.85</v>
      </c>
      <c r="I449" s="79">
        <f t="shared" si="100"/>
        <v>1791.63</v>
      </c>
    </row>
    <row r="450" spans="1:9" ht="38.25" outlineLevel="2" x14ac:dyDescent="0.2">
      <c r="A450" s="45" t="s">
        <v>13644</v>
      </c>
      <c r="B450" s="77" t="s">
        <v>9</v>
      </c>
      <c r="C450" s="77">
        <v>97328</v>
      </c>
      <c r="D450" s="44" t="str">
        <f>IF(B450="MP-MT",VLOOKUP(C450,'COMPOSIÇÃO DE PREÇO UNITÁRIO'!A:B,2,FALSE),VLOOKUP(C450,'SINAPI_COMPOSIÇÕES 062020'!A:B,2,FALSE))</f>
        <v>TUBO EM COBRE FLEXÍVEL, DN 3/8", COM ISOLAMENTO, INSTALADO EM RAMAL DE ALIMENTAÇÃO DE AR CONDICIONADO COM CONDENSADORA INDIVIDUAL  FORNECIMENTO E INSTALAÇÃO. AF_12/2015</v>
      </c>
      <c r="E450" s="45" t="str">
        <f>IF(B450="MP-MT",VLOOKUP(C450,'COMPOSIÇÃO DE PREÇO UNITÁRIO'!A:H,8,FALSE),VLOOKUP(C450,'SINAPI_COMPOSIÇÕES 062020'!A:C,3,FALSE))</f>
        <v>M</v>
      </c>
      <c r="F450" s="78">
        <v>61.04</v>
      </c>
      <c r="G450" s="79">
        <f>IF(B450="MP-MT",VLOOKUP(CONCATENATE("TOTAL DO ÍTEM - ",C450),'COMPOSIÇÃO DE PREÇO UNITÁRIO'!A:H,8,FALSE),VLOOKUP(C450,'SINAPI_COMPOSIÇÕES 062020'!A:D,4,FALSE))</f>
        <v>34.78</v>
      </c>
      <c r="H450" s="79">
        <f t="shared" si="99"/>
        <v>45</v>
      </c>
      <c r="I450" s="79">
        <f t="shared" si="100"/>
        <v>2746.8</v>
      </c>
    </row>
    <row r="451" spans="1:9" ht="38.25" outlineLevel="2" x14ac:dyDescent="0.2">
      <c r="A451" s="45" t="s">
        <v>13249</v>
      </c>
      <c r="B451" s="77" t="s">
        <v>9</v>
      </c>
      <c r="C451" s="77">
        <v>97330</v>
      </c>
      <c r="D451" s="44" t="str">
        <f>IF(B451="MP-MT",VLOOKUP(C451,'COMPOSIÇÃO DE PREÇO UNITÁRIO'!A:B,2,FALSE),VLOOKUP(C451,'SINAPI_COMPOSIÇÕES 062020'!A:B,2,FALSE))</f>
        <v>TUBO EM COBRE FLEXÍVEL, DN 5/8", COM ISOLAMENTO, INSTALADO EM RAMAL DE ALIMENTAÇÃO DE AR CONDICIONADO COM CONDENSADORA INDIVIDUAL  FORNECIMENTO E INSTALAÇÃO. AF_12/2015</v>
      </c>
      <c r="E451" s="45" t="str">
        <f>IF(B451="MP-MT",VLOOKUP(C451,'COMPOSIÇÃO DE PREÇO UNITÁRIO'!A:H,8,FALSE),VLOOKUP(C451,'SINAPI_COMPOSIÇÕES 062020'!A:C,3,FALSE))</f>
        <v>M</v>
      </c>
      <c r="F451" s="78">
        <v>2.97</v>
      </c>
      <c r="G451" s="79">
        <f>IF(B451="MP-MT",VLOOKUP(CONCATENATE("TOTAL DO ÍTEM - ",C451),'COMPOSIÇÃO DE PREÇO UNITÁRIO'!A:H,8,FALSE),VLOOKUP(C451,'SINAPI_COMPOSIÇÕES 062020'!A:D,4,FALSE))</f>
        <v>52.76</v>
      </c>
      <c r="H451" s="79">
        <f t="shared" si="99"/>
        <v>68.260000000000005</v>
      </c>
      <c r="I451" s="79">
        <f t="shared" si="100"/>
        <v>202.73</v>
      </c>
    </row>
    <row r="452" spans="1:9" ht="25.5" outlineLevel="2" x14ac:dyDescent="0.2">
      <c r="A452" s="45" t="s">
        <v>13649</v>
      </c>
      <c r="B452" s="77" t="s">
        <v>9</v>
      </c>
      <c r="C452" s="77">
        <v>90466</v>
      </c>
      <c r="D452" s="44" t="str">
        <f>IF(B452="MP-MT",VLOOKUP(C452,'COMPOSIÇÃO DE PREÇO UNITÁRIO'!A:B,2,FALSE),VLOOKUP(C452,'SINAPI_COMPOSIÇÕES 062020'!A:B,2,FALSE))</f>
        <v>CHUMBAMENTO LINEAR EM ALVENARIA PARA RAMAIS/DISTRIBUIÇÃO COM DIÂMETROS MENORES OU IGUAIS A 40 MM. AF_05/2015</v>
      </c>
      <c r="E452" s="45" t="str">
        <f>IF(B452="MP-MT",VLOOKUP(C452,'COMPOSIÇÃO DE PREÇO UNITÁRIO'!A:H,8,FALSE),VLOOKUP(C452,'SINAPI_COMPOSIÇÕES 062020'!A:C,3,FALSE))</f>
        <v>M</v>
      </c>
      <c r="F452" s="78">
        <v>16.41</v>
      </c>
      <c r="G452" s="79">
        <f>IF(B452="MP-MT",VLOOKUP(CONCATENATE("TOTAL DO ÍTEM - ",C452),'COMPOSIÇÃO DE PREÇO UNITÁRIO'!A:H,8,FALSE),VLOOKUP(C452,'SINAPI_COMPOSIÇÕES 062020'!A:D,4,FALSE))</f>
        <v>8.99</v>
      </c>
      <c r="H452" s="79">
        <f t="shared" si="99"/>
        <v>11.63</v>
      </c>
      <c r="I452" s="79">
        <f t="shared" si="100"/>
        <v>190.84</v>
      </c>
    </row>
    <row r="453" spans="1:9" ht="38.25" outlineLevel="2" x14ac:dyDescent="0.2">
      <c r="A453" s="45" t="s">
        <v>13645</v>
      </c>
      <c r="B453" s="77" t="s">
        <v>9</v>
      </c>
      <c r="C453" s="77">
        <v>91834</v>
      </c>
      <c r="D453" s="44" t="str">
        <f>IF(B453="MP-MT",VLOOKUP(C453,'COMPOSIÇÃO DE PREÇO UNITÁRIO'!A:B,2,FALSE),VLOOKUP(C453,'SINAPI_COMPOSIÇÕES 062020'!A:B,2,FALSE))</f>
        <v>ELETRODUTO FLEXÍVEL CORRUGADO, PVC, DN 25 MM (3/4"), PARA CIRCUITOS TERMINAIS, INSTALADO EM FORRO - FORNECIMENTO E INSTALAÇÃO. AF_12/2015</v>
      </c>
      <c r="E453" s="45" t="str">
        <f>IF(B453="MP-MT",VLOOKUP(C453,'COMPOSIÇÃO DE PREÇO UNITÁRIO'!A:H,8,FALSE),VLOOKUP(C453,'SINAPI_COMPOSIÇÕES 062020'!A:C,3,FALSE))</f>
        <v>M</v>
      </c>
      <c r="F453" s="78">
        <v>116.39</v>
      </c>
      <c r="G453" s="79">
        <f>IF(B453="MP-MT",VLOOKUP(CONCATENATE("TOTAL DO ÍTEM - ",C453),'COMPOSIÇÃO DE PREÇO UNITÁRIO'!A:H,8,FALSE),VLOOKUP(C453,'SINAPI_COMPOSIÇÕES 062020'!A:D,4,FALSE))</f>
        <v>6.03</v>
      </c>
      <c r="H453" s="79">
        <f t="shared" si="99"/>
        <v>7.8</v>
      </c>
      <c r="I453" s="79">
        <f t="shared" si="100"/>
        <v>907.84</v>
      </c>
    </row>
    <row r="454" spans="1:9" ht="25.5" outlineLevel="2" x14ac:dyDescent="0.2">
      <c r="A454" s="45" t="s">
        <v>13650</v>
      </c>
      <c r="B454" s="77" t="s">
        <v>194</v>
      </c>
      <c r="C454" s="77" t="s">
        <v>12563</v>
      </c>
      <c r="D454" s="44" t="str">
        <f>IF(B454="MP-MT",VLOOKUP(C454,'COMPOSIÇÃO DE PREÇO UNITÁRIO'!A:B,2,FALSE),VLOOKUP(C454,'SINAPI_COMPOSIÇÕES 062020'!A:B,2,FALSE))</f>
        <v>CABO FLEXIVEL PVC 750 V, 4 CONDUTORES DE 1,5 MM2, INSTALADA EM COMANDO DE EVAPORADORA - FORNECIMENTO E INSTALAÇÃO</v>
      </c>
      <c r="E454" s="45" t="str">
        <f>IF(B454="MP-MT",VLOOKUP(C454,'COMPOSIÇÃO DE PREÇO UNITÁRIO'!A:H,8,FALSE),VLOOKUP(C454,'SINAPI_COMPOSIÇÕES 062020'!A:C,3,FALSE))</f>
        <v>M</v>
      </c>
      <c r="F454" s="78">
        <v>116.39</v>
      </c>
      <c r="G454" s="79">
        <f>IF(B454="MP-MT",VLOOKUP(CONCATENATE("TOTAL DO ÍTEM - ",C454),'COMPOSIÇÃO DE PREÇO UNITÁRIO'!A:H,8,FALSE),VLOOKUP(C454,'SINAPI_COMPOSIÇÕES 062020'!A:D,4,FALSE))</f>
        <v>3.46</v>
      </c>
      <c r="H454" s="79">
        <f t="shared" si="99"/>
        <v>4.47</v>
      </c>
      <c r="I454" s="79">
        <f t="shared" si="100"/>
        <v>520.26</v>
      </c>
    </row>
    <row r="455" spans="1:9" ht="25.5" outlineLevel="2" x14ac:dyDescent="0.2">
      <c r="A455" s="45" t="s">
        <v>13651</v>
      </c>
      <c r="B455" s="77" t="s">
        <v>194</v>
      </c>
      <c r="C455" s="77" t="s">
        <v>12567</v>
      </c>
      <c r="D455" s="44" t="str">
        <f>IF(B455="MP-MT",VLOOKUP(C455,'COMPOSIÇÃO DE PREÇO UNITÁRIO'!A:B,2,FALSE),VLOOKUP(C455,'SINAPI_COMPOSIÇÕES 062020'!A:B,2,FALSE))</f>
        <v>AR CONDICIONADO SPLIT HI-WALL, INVERTER, 9.000 BTU's, INCLUSIVE ACESSÓRIOS DE FIXAÇÃO - INSTALAÇÃO</v>
      </c>
      <c r="E455" s="45" t="str">
        <f>IF(B455="MP-MT",VLOOKUP(C455,'COMPOSIÇÃO DE PREÇO UNITÁRIO'!A:H,8,FALSE),VLOOKUP(C455,'SINAPI_COMPOSIÇÕES 062020'!A:C,3,FALSE))</f>
        <v>UND</v>
      </c>
      <c r="F455" s="78">
        <v>4</v>
      </c>
      <c r="G455" s="79">
        <f>IF(B455="MP-MT",VLOOKUP(CONCATENATE("TOTAL DO ÍTEM - ",C455),'COMPOSIÇÃO DE PREÇO UNITÁRIO'!A:H,8,FALSE),VLOOKUP(C455,'SINAPI_COMPOSIÇÕES 062020'!A:D,4,FALSE))</f>
        <v>164.64</v>
      </c>
      <c r="H455" s="79">
        <f t="shared" si="99"/>
        <v>213.01</v>
      </c>
      <c r="I455" s="79">
        <f t="shared" si="100"/>
        <v>852.04</v>
      </c>
    </row>
    <row r="456" spans="1:9" ht="25.5" outlineLevel="2" x14ac:dyDescent="0.2">
      <c r="A456" s="45" t="s">
        <v>13652</v>
      </c>
      <c r="B456" s="77" t="s">
        <v>194</v>
      </c>
      <c r="C456" s="77" t="s">
        <v>12579</v>
      </c>
      <c r="D456" s="44" t="str">
        <f>IF(B456="MP-MT",VLOOKUP(C456,'COMPOSIÇÃO DE PREÇO UNITÁRIO'!A:B,2,FALSE),VLOOKUP(C456,'SINAPI_COMPOSIÇÕES 062020'!A:B,2,FALSE))</f>
        <v>AR CONDICIONADO SPLIT HI-WALL, INVERTER, 12.000 BTU's, INCLUSIVE ACESSÓRIOS DE FIXAÇÃO - INSTALAÇÃO</v>
      </c>
      <c r="E456" s="45" t="str">
        <f>IF(B456="MP-MT",VLOOKUP(C456,'COMPOSIÇÃO DE PREÇO UNITÁRIO'!A:H,8,FALSE),VLOOKUP(C456,'SINAPI_COMPOSIÇÕES 062020'!A:C,3,FALSE))</f>
        <v>UND</v>
      </c>
      <c r="F456" s="78">
        <f>1+4</f>
        <v>5</v>
      </c>
      <c r="G456" s="79">
        <f>IF(B456="MP-MT",VLOOKUP(CONCATENATE("TOTAL DO ÍTEM - ",C456),'COMPOSIÇÃO DE PREÇO UNITÁRIO'!A:H,8,FALSE),VLOOKUP(C456,'SINAPI_COMPOSIÇÕES 062020'!A:D,4,FALSE))</f>
        <v>164.64</v>
      </c>
      <c r="H456" s="79">
        <f t="shared" si="99"/>
        <v>213.01</v>
      </c>
      <c r="I456" s="79">
        <f t="shared" si="100"/>
        <v>1065.05</v>
      </c>
    </row>
    <row r="457" spans="1:9" ht="25.5" outlineLevel="2" x14ac:dyDescent="0.2">
      <c r="A457" s="45" t="s">
        <v>13653</v>
      </c>
      <c r="B457" s="77" t="s">
        <v>194</v>
      </c>
      <c r="C457" s="77" t="s">
        <v>12581</v>
      </c>
      <c r="D457" s="44" t="str">
        <f>IF(B457="MP-MT",VLOOKUP(C457,'COMPOSIÇÃO DE PREÇO UNITÁRIO'!A:B,2,FALSE),VLOOKUP(C457,'SINAPI_COMPOSIÇÕES 062020'!A:B,2,FALSE))</f>
        <v>AR CONDICIONADO SPLIT HI-WALL, INVERTER, 18.000 BTU's, INCLUSIVE ACESSÓRIOS DE FIXAÇÃO - INSTALAÇÃO</v>
      </c>
      <c r="E457" s="45" t="str">
        <f>IF(B457="MP-MT",VLOOKUP(C457,'COMPOSIÇÃO DE PREÇO UNITÁRIO'!A:H,8,FALSE),VLOOKUP(C457,'SINAPI_COMPOSIÇÕES 062020'!A:C,3,FALSE))</f>
        <v>UND</v>
      </c>
      <c r="F457" s="78">
        <v>4</v>
      </c>
      <c r="G457" s="79">
        <f>IF(B457="MP-MT",VLOOKUP(CONCATENATE("TOTAL DO ÍTEM - ",C457),'COMPOSIÇÃO DE PREÇO UNITÁRIO'!A:H,8,FALSE),VLOOKUP(C457,'SINAPI_COMPOSIÇÕES 062020'!A:D,4,FALSE))</f>
        <v>164.64</v>
      </c>
      <c r="H457" s="79">
        <f t="shared" si="99"/>
        <v>213.01</v>
      </c>
      <c r="I457" s="79">
        <f t="shared" si="100"/>
        <v>852.04</v>
      </c>
    </row>
    <row r="458" spans="1:9" ht="25.5" outlineLevel="2" x14ac:dyDescent="0.2">
      <c r="A458" s="45" t="s">
        <v>13654</v>
      </c>
      <c r="B458" s="77" t="s">
        <v>194</v>
      </c>
      <c r="C458" s="77" t="s">
        <v>12585</v>
      </c>
      <c r="D458" s="44" t="str">
        <f>IF(B458="MP-MT",VLOOKUP(C458,'COMPOSIÇÃO DE PREÇO UNITÁRIO'!A:B,2,FALSE),VLOOKUP(C458,'SINAPI_COMPOSIÇÕES 062020'!A:B,2,FALSE))</f>
        <v>AR CONDICIONADO SPLIT HI-WALL, INVERTER, 23.000 BTU's, INCLUSIVE ACESSÓRIOS DE FIXAÇÃO - INSTALAÇÃO</v>
      </c>
      <c r="E458" s="45" t="str">
        <f>IF(B458="MP-MT",VLOOKUP(C458,'COMPOSIÇÃO DE PREÇO UNITÁRIO'!A:H,8,FALSE),VLOOKUP(C458,'SINAPI_COMPOSIÇÕES 062020'!A:C,3,FALSE))</f>
        <v>UND</v>
      </c>
      <c r="F458" s="78">
        <v>1</v>
      </c>
      <c r="G458" s="79">
        <f>IF(B458="MP-MT",VLOOKUP(CONCATENATE("TOTAL DO ÍTEM - ",C458),'COMPOSIÇÃO DE PREÇO UNITÁRIO'!A:H,8,FALSE),VLOOKUP(C458,'SINAPI_COMPOSIÇÕES 062020'!A:D,4,FALSE))</f>
        <v>167.67000000000002</v>
      </c>
      <c r="H458" s="79">
        <f t="shared" si="99"/>
        <v>216.93</v>
      </c>
      <c r="I458" s="79">
        <f t="shared" si="100"/>
        <v>216.93</v>
      </c>
    </row>
    <row r="459" spans="1:9" ht="25.5" outlineLevel="2" x14ac:dyDescent="0.2">
      <c r="A459" s="45" t="s">
        <v>13655</v>
      </c>
      <c r="B459" s="77" t="s">
        <v>194</v>
      </c>
      <c r="C459" s="77" t="s">
        <v>12589</v>
      </c>
      <c r="D459" s="44" t="str">
        <f>IF(B459="MP-MT",VLOOKUP(C459,'COMPOSIÇÃO DE PREÇO UNITÁRIO'!A:B,2,FALSE),VLOOKUP(C459,'SINAPI_COMPOSIÇÕES 062020'!A:B,2,FALSE))</f>
        <v>AR CONDICIONADO SPLIT PISO-TETO, INVERTER, 36.000 BTU's, INCLUSIVE ACESSÓRIOS DE FIXAÇÃO - INSTALAÇÃO</v>
      </c>
      <c r="E459" s="45" t="str">
        <f>IF(B459="MP-MT",VLOOKUP(C459,'COMPOSIÇÃO DE PREÇO UNITÁRIO'!A:H,8,FALSE),VLOOKUP(C459,'SINAPI_COMPOSIÇÕES 062020'!A:C,3,FALSE))</f>
        <v>UND</v>
      </c>
      <c r="F459" s="78">
        <v>2</v>
      </c>
      <c r="G459" s="79">
        <f>IF(B459="MP-MT",VLOOKUP(CONCATENATE("TOTAL DO ÍTEM - ",C459),'COMPOSIÇÃO DE PREÇO UNITÁRIO'!A:H,8,FALSE),VLOOKUP(C459,'SINAPI_COMPOSIÇÕES 062020'!A:D,4,FALSE))</f>
        <v>136.92000000000002</v>
      </c>
      <c r="H459" s="79">
        <f t="shared" si="99"/>
        <v>177.15</v>
      </c>
      <c r="I459" s="79">
        <f t="shared" si="100"/>
        <v>354.3</v>
      </c>
    </row>
    <row r="460" spans="1:9" ht="25.5" outlineLevel="2" x14ac:dyDescent="0.2">
      <c r="A460" s="45" t="s">
        <v>13656</v>
      </c>
      <c r="B460" s="77" t="s">
        <v>194</v>
      </c>
      <c r="C460" s="77" t="s">
        <v>12597</v>
      </c>
      <c r="D460" s="44" t="str">
        <f>IF(B460="MP-MT",VLOOKUP(C460,'COMPOSIÇÃO DE PREÇO UNITÁRIO'!A:B,2,FALSE),VLOOKUP(C460,'SINAPI_COMPOSIÇÕES 062020'!A:B,2,FALSE))</f>
        <v>AR CONDICIONADO SPLIT PISO-TETO, INVERTER, 54.000 BTU's, INCLUSIVE ACESSÓRIOS DE FIXAÇÃO - INSTALAÇÃO</v>
      </c>
      <c r="E460" s="45" t="str">
        <f>IF(B460="MP-MT",VLOOKUP(C460,'COMPOSIÇÃO DE PREÇO UNITÁRIO'!A:H,8,FALSE),VLOOKUP(C460,'SINAPI_COMPOSIÇÕES 062020'!A:C,3,FALSE))</f>
        <v>UND</v>
      </c>
      <c r="F460" s="78">
        <v>1</v>
      </c>
      <c r="G460" s="79">
        <f>IF(B460="MP-MT",VLOOKUP(CONCATENATE("TOTAL DO ÍTEM - ",C460),'COMPOSIÇÃO DE PREÇO UNITÁRIO'!A:H,8,FALSE),VLOOKUP(C460,'SINAPI_COMPOSIÇÕES 062020'!A:D,4,FALSE))</f>
        <v>257.96000000000004</v>
      </c>
      <c r="H460" s="79">
        <f t="shared" si="99"/>
        <v>333.76</v>
      </c>
      <c r="I460" s="79">
        <f t="shared" si="100"/>
        <v>333.76</v>
      </c>
    </row>
    <row r="461" spans="1:9" ht="25.5" outlineLevel="2" x14ac:dyDescent="0.2">
      <c r="A461" s="45" t="s">
        <v>13657</v>
      </c>
      <c r="B461" s="77" t="s">
        <v>194</v>
      </c>
      <c r="C461" s="77" t="s">
        <v>12601</v>
      </c>
      <c r="D461" s="44" t="str">
        <f>IF(B461="MP-MT",VLOOKUP(C461,'COMPOSIÇÃO DE PREÇO UNITÁRIO'!A:B,2,FALSE),VLOOKUP(C461,'SINAPI_COMPOSIÇÕES 062020'!A:B,2,FALSE))</f>
        <v>AR CONDICIONADO SPLIT HI-WALL, INVERTER, 9.000 BTU's, INCLUSIVE ACESSÓRIOS DE FIXAÇÃO - FORNECIMENTO</v>
      </c>
      <c r="E461" s="45" t="str">
        <f>IF(B461="MP-MT",VLOOKUP(C461,'COMPOSIÇÃO DE PREÇO UNITÁRIO'!A:H,8,FALSE),VLOOKUP(C461,'SINAPI_COMPOSIÇÕES 062020'!A:C,3,FALSE))</f>
        <v>UND</v>
      </c>
      <c r="F461" s="78">
        <v>4</v>
      </c>
      <c r="G461" s="79">
        <f>IF(B461="MP-MT",VLOOKUP(CONCATENATE("TOTAL DO ÍTEM - ",C461),'COMPOSIÇÃO DE PREÇO UNITÁRIO'!A:H,8,FALSE),VLOOKUP(C461,'SINAPI_COMPOSIÇÕES 062020'!A:D,4,FALSE))</f>
        <v>1744.62</v>
      </c>
      <c r="H461" s="79">
        <f>TRUNC(G461*(1+$F$2),2)</f>
        <v>2029.4</v>
      </c>
      <c r="I461" s="79">
        <f t="shared" si="100"/>
        <v>8117.6</v>
      </c>
    </row>
    <row r="462" spans="1:9" ht="25.5" outlineLevel="2" x14ac:dyDescent="0.2">
      <c r="A462" s="45" t="s">
        <v>13658</v>
      </c>
      <c r="B462" s="77" t="s">
        <v>194</v>
      </c>
      <c r="C462" s="77" t="s">
        <v>12603</v>
      </c>
      <c r="D462" s="44" t="str">
        <f>IF(B462="MP-MT",VLOOKUP(C462,'COMPOSIÇÃO DE PREÇO UNITÁRIO'!A:B,2,FALSE),VLOOKUP(C462,'SINAPI_COMPOSIÇÕES 062020'!A:B,2,FALSE))</f>
        <v>AR CONDICIONADO SPLIT HI-WALL, INVERTER, 12.000 BTU's, INCLUSIVE ACESSÓRIOS DE FIXAÇÃO - FORNECIMENTO</v>
      </c>
      <c r="E462" s="45" t="str">
        <f>IF(B462="MP-MT",VLOOKUP(C462,'COMPOSIÇÃO DE PREÇO UNITÁRIO'!A:H,8,FALSE),VLOOKUP(C462,'SINAPI_COMPOSIÇÕES 062020'!A:C,3,FALSE))</f>
        <v>UND</v>
      </c>
      <c r="F462" s="78">
        <v>4</v>
      </c>
      <c r="G462" s="79">
        <f>IF(B462="MP-MT",VLOOKUP(CONCATENATE("TOTAL DO ÍTEM - ",C462),'COMPOSIÇÃO DE PREÇO UNITÁRIO'!A:H,8,FALSE),VLOOKUP(C462,'SINAPI_COMPOSIÇÕES 062020'!A:D,4,FALSE))</f>
        <v>1953.47</v>
      </c>
      <c r="H462" s="79">
        <f t="shared" ref="H462:H465" si="101">TRUNC(G462*(1+$F$2),2)</f>
        <v>2272.34</v>
      </c>
      <c r="I462" s="79">
        <f t="shared" si="100"/>
        <v>9089.36</v>
      </c>
    </row>
    <row r="463" spans="1:9" ht="25.5" outlineLevel="2" x14ac:dyDescent="0.2">
      <c r="A463" s="45" t="s">
        <v>13659</v>
      </c>
      <c r="B463" s="77" t="s">
        <v>194</v>
      </c>
      <c r="C463" s="45" t="s">
        <v>12605</v>
      </c>
      <c r="D463" s="44" t="str">
        <f>IF(B463="MP-MT",VLOOKUP(C463,'COMPOSIÇÃO DE PREÇO UNITÁRIO'!A:B,2,FALSE),VLOOKUP(C463,'SINAPI_COMPOSIÇÕES 062020'!A:B,2,FALSE))</f>
        <v>AR CONDICIONADO SPLIT CASSETE, INVERTER, 23.000 BTU's, INCLUSIVE ACESSÓRIOS DE FIXAÇÃO - FORNECIMENTO</v>
      </c>
      <c r="E463" s="45" t="str">
        <f>IF(B463="MP-MT",VLOOKUP(C463,'COMPOSIÇÃO DE PREÇO UNITÁRIO'!A:H,8,FALSE),VLOOKUP(C463,'SINAPI_COMPOSIÇÕES 062020'!A:C,3,FALSE))</f>
        <v>UND</v>
      </c>
      <c r="F463" s="78">
        <v>1</v>
      </c>
      <c r="G463" s="79">
        <f>IF(B463="MP-MT",VLOOKUP(CONCATENATE("TOTAL DO ÍTEM - ",C463),'COMPOSIÇÃO DE PREÇO UNITÁRIO'!A:H,8,FALSE),VLOOKUP(C463,'SINAPI_COMPOSIÇÕES 062020'!A:D,4,FALSE))</f>
        <v>2900</v>
      </c>
      <c r="H463" s="79">
        <f t="shared" si="101"/>
        <v>3373.38</v>
      </c>
      <c r="I463" s="79">
        <f t="shared" si="100"/>
        <v>3373.38</v>
      </c>
    </row>
    <row r="464" spans="1:9" ht="25.5" outlineLevel="2" x14ac:dyDescent="0.2">
      <c r="A464" s="45" t="s">
        <v>13660</v>
      </c>
      <c r="B464" s="77" t="s">
        <v>194</v>
      </c>
      <c r="C464" s="45" t="s">
        <v>12606</v>
      </c>
      <c r="D464" s="44" t="str">
        <f>IF(B464="MP-MT",VLOOKUP(C464,'COMPOSIÇÃO DE PREÇO UNITÁRIO'!A:B,2,FALSE),VLOOKUP(C464,'SINAPI_COMPOSIÇÕES 062020'!A:B,2,FALSE))</f>
        <v>AR CONDICIONADO SPLIT PISO-TETO, INVERTER, 36.000 BTU's, INCLUSIVE ACESSÓRIOS DE FIXAÇÃO - FORNECIMENTO</v>
      </c>
      <c r="E464" s="45" t="str">
        <f>IF(B464="MP-MT",VLOOKUP(C464,'COMPOSIÇÃO DE PREÇO UNITÁRIO'!A:H,8,FALSE),VLOOKUP(C464,'SINAPI_COMPOSIÇÕES 062020'!A:C,3,FALSE))</f>
        <v>UND</v>
      </c>
      <c r="F464" s="78">
        <v>2</v>
      </c>
      <c r="G464" s="79">
        <f>IF(B464="MP-MT",VLOOKUP(CONCATENATE("TOTAL DO ÍTEM - ",C464),'COMPOSIÇÃO DE PREÇO UNITÁRIO'!A:H,8,FALSE),VLOOKUP(C464,'SINAPI_COMPOSIÇÕES 062020'!A:D,4,FALSE))</f>
        <v>9525.82</v>
      </c>
      <c r="H464" s="79">
        <f t="shared" si="101"/>
        <v>11080.76</v>
      </c>
      <c r="I464" s="79">
        <f t="shared" si="100"/>
        <v>22161.52</v>
      </c>
    </row>
    <row r="465" spans="1:9" ht="25.5" outlineLevel="2" x14ac:dyDescent="0.2">
      <c r="A465" s="45" t="s">
        <v>13661</v>
      </c>
      <c r="B465" s="77" t="s">
        <v>194</v>
      </c>
      <c r="C465" s="45" t="s">
        <v>12608</v>
      </c>
      <c r="D465" s="44" t="str">
        <f>IF(B465="MP-MT",VLOOKUP(C465,'COMPOSIÇÃO DE PREÇO UNITÁRIO'!A:B,2,FALSE),VLOOKUP(C465,'SINAPI_COMPOSIÇÕES 062020'!A:B,2,FALSE))</f>
        <v>AR CONDICIONADO SPLIT PISO-TETO, INVERTER, 54.000 BTU's, INCLUSIVE ACESSÓRIOS DE FIXAÇÃO - FORNECIMENTO</v>
      </c>
      <c r="E465" s="45" t="str">
        <f>IF(B465="MP-MT",VLOOKUP(C465,'COMPOSIÇÃO DE PREÇO UNITÁRIO'!A:H,8,FALSE),VLOOKUP(C465,'SINAPI_COMPOSIÇÕES 062020'!A:C,3,FALSE))</f>
        <v>UND</v>
      </c>
      <c r="F465" s="78">
        <v>1</v>
      </c>
      <c r="G465" s="79">
        <f>IF(B465="MP-MT",VLOOKUP(CONCATENATE("TOTAL DO ÍTEM - ",C465),'COMPOSIÇÃO DE PREÇO UNITÁRIO'!A:H,8,FALSE),VLOOKUP(C465,'SINAPI_COMPOSIÇÕES 062020'!A:D,4,FALSE))</f>
        <v>15884.61</v>
      </c>
      <c r="H465" s="79">
        <f t="shared" si="101"/>
        <v>18477.53</v>
      </c>
      <c r="I465" s="79">
        <f t="shared" si="100"/>
        <v>18477.53</v>
      </c>
    </row>
    <row r="466" spans="1:9" outlineLevel="2" x14ac:dyDescent="0.2">
      <c r="A466" s="45" t="s">
        <v>13662</v>
      </c>
      <c r="B466" s="45" t="s">
        <v>194</v>
      </c>
      <c r="C466" s="45" t="s">
        <v>12611</v>
      </c>
      <c r="D466" s="44" t="str">
        <f>IF(B466="MP-MT",VLOOKUP(C466,'COMPOSIÇÃO DE PREÇO UNITÁRIO'!A:B,2,FALSE),VLOOKUP(C466,'SINAPI_COMPOSIÇÕES 062020'!A:B,2,FALSE))</f>
        <v>GÁS REFRIGERANTE R410</v>
      </c>
      <c r="E466" s="45" t="str">
        <f>IF(B466="MP-MT",VLOOKUP(C466,'COMPOSIÇÃO DE PREÇO UNITÁRIO'!A:H,8,FALSE),VLOOKUP(C466,'SINAPI_COMPOSIÇÕES 062020'!A:C,3,FALSE))</f>
        <v>KG</v>
      </c>
      <c r="F466" s="78">
        <v>3.96</v>
      </c>
      <c r="G466" s="79">
        <f>IF(B466="MP-MT",VLOOKUP(CONCATENATE("TOTAL DO ÍTEM - ",C466),'COMPOSIÇÃO DE PREÇO UNITÁRIO'!A:H,8,FALSE),VLOOKUP(C466,'SINAPI_COMPOSIÇÕES 062020'!A:D,4,FALSE))</f>
        <v>72.349999999999994</v>
      </c>
      <c r="H466" s="79">
        <f t="shared" si="97"/>
        <v>93.61</v>
      </c>
      <c r="I466" s="79">
        <f t="shared" si="98"/>
        <v>370.69</v>
      </c>
    </row>
    <row r="467" spans="1:9" outlineLevel="1" x14ac:dyDescent="0.2">
      <c r="A467" s="76"/>
      <c r="B467" s="76"/>
      <c r="C467" s="76"/>
      <c r="D467" s="91" t="str">
        <f>CONCATENATE("TOTAL DO ITEM - ",A445)</f>
        <v>TOTAL DO ITEM - 18.0</v>
      </c>
      <c r="E467" s="76"/>
      <c r="F467" s="92"/>
      <c r="G467" s="93"/>
      <c r="H467" s="93"/>
      <c r="I467" s="93">
        <f>SUM(I446:I466)</f>
        <v>76911.87</v>
      </c>
    </row>
    <row r="468" spans="1:9" outlineLevel="1" x14ac:dyDescent="0.2">
      <c r="A468" s="87" t="s">
        <v>10522</v>
      </c>
      <c r="B468" s="87"/>
      <c r="C468" s="87"/>
      <c r="D468" s="88" t="s">
        <v>11951</v>
      </c>
      <c r="E468" s="87"/>
      <c r="F468" s="89"/>
      <c r="G468" s="90"/>
      <c r="H468" s="90"/>
      <c r="I468" s="90"/>
    </row>
    <row r="469" spans="1:9" ht="38.25" outlineLevel="2" x14ac:dyDescent="0.2">
      <c r="A469" s="45" t="s">
        <v>13663</v>
      </c>
      <c r="B469" s="45" t="s">
        <v>9</v>
      </c>
      <c r="C469" s="45">
        <v>87272</v>
      </c>
      <c r="D469" s="44" t="str">
        <f>IF(B469="MP-MT",VLOOKUP(C469,'COMPOSIÇÃO DE PREÇO UNITÁRIO'!A:B,2,FALSE),VLOOKUP(C469,'SINAPI_COMPOSIÇÕES 062020'!A:B,2,FALSE))</f>
        <v>REVESTIMENTO CERÂMICO PARA PAREDES INTERNAS COM PLACAS TIPO ESMALTADA EXTRA  DE DIMENSÕES 33X45 CM APLICADAS EM AMBIENTES DE ÁREA MENOR QUE 5 M² NA ALTURA INTEIRA DAS PAREDES. AF_06/2014</v>
      </c>
      <c r="E469" s="45" t="str">
        <f>IF(B469="MP-MT",VLOOKUP(C469,'COMPOSIÇÃO DE PREÇO UNITÁRIO'!A:H,8,FALSE),VLOOKUP(C469,'SINAPI_COMPOSIÇÕES 062020'!A:C,3,FALSE))</f>
        <v>M2</v>
      </c>
      <c r="F469" s="78">
        <v>192.61</v>
      </c>
      <c r="G469" s="79">
        <f>IF(B469="MP-MT",VLOOKUP(CONCATENATE("TOTAL DO ÍTEM - ",C469),'COMPOSIÇÃO DE PREÇO UNITÁRIO'!A:H,8,FALSE),VLOOKUP(C469,'SINAPI_COMPOSIÇÕES 062020'!A:D,4,FALSE))</f>
        <v>48.46</v>
      </c>
      <c r="H469" s="79">
        <f t="shared" ref="H469:H470" si="102">TRUNC(G469*(1+$F$1),2)</f>
        <v>62.7</v>
      </c>
      <c r="I469" s="79">
        <f t="shared" ref="I469:I470" si="103">TRUNC(H469*F469,2)</f>
        <v>12076.64</v>
      </c>
    </row>
    <row r="470" spans="1:9" s="46" customFormat="1" ht="25.5" outlineLevel="2" x14ac:dyDescent="0.2">
      <c r="A470" s="45" t="s">
        <v>13664</v>
      </c>
      <c r="B470" s="77" t="s">
        <v>194</v>
      </c>
      <c r="C470" s="77" t="s">
        <v>12725</v>
      </c>
      <c r="D470" s="44" t="str">
        <f>IF(B470="MP-MT",VLOOKUP(C470,'COMPOSIÇÃO DE PREÇO UNITÁRIO'!A:B,2,FALSE),VLOOKUP(C470,'SINAPI_COMPOSIÇÕES 062020'!A:B,2,FALSE))</f>
        <v>FILETE DECORATIVO TIPO CORDÃO, COR BEGE, 2,0 X 30,0 CM, REF. GABRIELLA GF 3629 OU EQUIVALENTE - FORNECIMENTO E INSTALAÇÃO</v>
      </c>
      <c r="E470" s="45" t="str">
        <f>IF(B470="MP-MT",VLOOKUP(C470,'COMPOSIÇÃO DE PREÇO UNITÁRIO'!A:H,8,FALSE),VLOOKUP(C470,'SINAPI_COMPOSIÇÕES 062020'!A:C,3,FALSE))</f>
        <v>M</v>
      </c>
      <c r="F470" s="78">
        <v>115.64</v>
      </c>
      <c r="G470" s="79">
        <f>IF(B470="MP-MT",VLOOKUP(CONCATENATE("TOTAL DO ÍTEM - ",C470),'COMPOSIÇÃO DE PREÇO UNITÁRIO'!A:H,8,FALSE),VLOOKUP(C470,'SINAPI_COMPOSIÇÕES 062020'!A:D,4,FALSE))</f>
        <v>27.19</v>
      </c>
      <c r="H470" s="79">
        <f t="shared" si="102"/>
        <v>35.17</v>
      </c>
      <c r="I470" s="79">
        <f t="shared" si="103"/>
        <v>4067.05</v>
      </c>
    </row>
    <row r="471" spans="1:9" outlineLevel="1" x14ac:dyDescent="0.2">
      <c r="A471" s="76"/>
      <c r="B471" s="76"/>
      <c r="C471" s="76"/>
      <c r="D471" s="91" t="str">
        <f>CONCATENATE("TOTAL DO ITEM - ",A468)</f>
        <v>TOTAL DO ITEM - 19.0</v>
      </c>
      <c r="E471" s="76"/>
      <c r="F471" s="92"/>
      <c r="G471" s="93"/>
      <c r="H471" s="93"/>
      <c r="I471" s="93">
        <f>SUM(I469:I470)</f>
        <v>16143.689999999999</v>
      </c>
    </row>
    <row r="472" spans="1:9" outlineLevel="1" x14ac:dyDescent="0.2">
      <c r="A472" s="87" t="s">
        <v>65</v>
      </c>
      <c r="B472" s="87"/>
      <c r="C472" s="87"/>
      <c r="D472" s="88" t="s">
        <v>11952</v>
      </c>
      <c r="E472" s="87"/>
      <c r="F472" s="89"/>
      <c r="G472" s="90"/>
      <c r="H472" s="90"/>
      <c r="I472" s="90"/>
    </row>
    <row r="473" spans="1:9" ht="38.25" outlineLevel="2" x14ac:dyDescent="0.2">
      <c r="A473" s="45" t="s">
        <v>13665</v>
      </c>
      <c r="B473" s="45" t="s">
        <v>194</v>
      </c>
      <c r="C473" s="45" t="s">
        <v>12076</v>
      </c>
      <c r="D473" s="44" t="str">
        <f>IF(B473="MP-MT",VLOOKUP(C473,'COMPOSIÇÃO DE PREÇO UNITÁRIO'!A:B,2,FALSE),VLOOKUP(C473,'SINAPI_COMPOSIÇÕES 062020'!A:B,2,FALSE))</f>
        <v>REVESTIMENTO CERÂMICO PARA PISO COM PLACAS TIPO ESMALTADA EXTRA DE DIMENSÕES 45X45 CM APLICADA EM AMBIENTES DE ÁREA MAIOR QUE 10 M2, REF. ELIANE CARGO PLUS WHITE OU EQUIVALENTE</v>
      </c>
      <c r="E473" s="45" t="str">
        <f>IF(B473="MP-MT",VLOOKUP(C473,'COMPOSIÇÃO DE PREÇO UNITÁRIO'!A:H,8,FALSE),VLOOKUP(C473,'SINAPI_COMPOSIÇÕES 062020'!A:C,3,FALSE))</f>
        <v>M2</v>
      </c>
      <c r="F473" s="78">
        <v>553.32000000000005</v>
      </c>
      <c r="G473" s="79">
        <f>IF(B473="MP-MT",VLOOKUP(CONCATENATE("TOTAL DO ÍTEM - ",C473),'COMPOSIÇÃO DE PREÇO UNITÁRIO'!A:H,8,FALSE),VLOOKUP(C473,'SINAPI_COMPOSIÇÕES 062020'!A:D,4,FALSE))</f>
        <v>61.32</v>
      </c>
      <c r="H473" s="79">
        <f t="shared" ref="H473:H477" si="104">TRUNC(G473*(1+$F$1),2)</f>
        <v>79.33</v>
      </c>
      <c r="I473" s="79">
        <f t="shared" ref="I473:I477" si="105">TRUNC(H473*F473,2)</f>
        <v>43894.87</v>
      </c>
    </row>
    <row r="474" spans="1:9" ht="38.25" outlineLevel="2" x14ac:dyDescent="0.2">
      <c r="A474" s="45" t="s">
        <v>13666</v>
      </c>
      <c r="B474" s="45" t="s">
        <v>194</v>
      </c>
      <c r="C474" s="77" t="s">
        <v>12087</v>
      </c>
      <c r="D474" s="44" t="str">
        <f>IF(B474="MP-MT",VLOOKUP(C474,'COMPOSIÇÃO DE PREÇO UNITÁRIO'!A:B,2,FALSE),VLOOKUP(C474,'SINAPI_COMPOSIÇÕES 062020'!A:B,2,FALSE))</f>
        <v>RODAPÉ CERÂMICO DE 7CM DE ALTURA COM PLACAS TIPO ESMALTADA EXTRA DE DIMENSÕES 45X45CM, REF. ELIANE CARGO PLUS WHITE OU EQUIVALENTE</v>
      </c>
      <c r="E474" s="45" t="str">
        <f>IF(B474="MP-MT",VLOOKUP(C474,'COMPOSIÇÃO DE PREÇO UNITÁRIO'!A:H,8,FALSE),VLOOKUP(C474,'SINAPI_COMPOSIÇÕES 062020'!A:C,3,FALSE))</f>
        <v>M</v>
      </c>
      <c r="F474" s="78">
        <v>374.18</v>
      </c>
      <c r="G474" s="79">
        <f>IF(B474="MP-MT",VLOOKUP(CONCATENATE("TOTAL DO ÍTEM - ",C474),'COMPOSIÇÃO DE PREÇO UNITÁRIO'!A:H,8,FALSE),VLOOKUP(C474,'SINAPI_COMPOSIÇÕES 062020'!A:D,4,FALSE))</f>
        <v>7.6</v>
      </c>
      <c r="H474" s="79">
        <f t="shared" si="104"/>
        <v>9.83</v>
      </c>
      <c r="I474" s="79">
        <f t="shared" si="105"/>
        <v>3678.18</v>
      </c>
    </row>
    <row r="475" spans="1:9" ht="38.25" outlineLevel="2" x14ac:dyDescent="0.2">
      <c r="A475" s="45" t="s">
        <v>13667</v>
      </c>
      <c r="B475" s="45" t="s">
        <v>194</v>
      </c>
      <c r="C475" s="77" t="s">
        <v>12729</v>
      </c>
      <c r="D475" s="44" t="str">
        <f>IF(B475="MP-MT",VLOOKUP(C475,'COMPOSIÇÃO DE PREÇO UNITÁRIO'!A:B,2,FALSE),VLOOKUP(C475,'SINAPI_COMPOSIÇÕES 062020'!A:B,2,FALSE))</f>
        <v>PISO TÁTIL DIRECIONAL E/OU ALERTA, LADRILHO HIDRÁULICO, PARA DEFICIENTES VISUAIS, DIMENSÕES 25X25CM, APLICADO COM ARGAMASSA INDUSTRIALIZADA, REJUNTADO</v>
      </c>
      <c r="E475" s="45" t="str">
        <f>IF(B475="MP-MT",VLOOKUP(C475,'COMPOSIÇÃO DE PREÇO UNITÁRIO'!A:H,8,FALSE),VLOOKUP(C475,'SINAPI_COMPOSIÇÕES 062020'!A:C,3,FALSE))</f>
        <v>M2</v>
      </c>
      <c r="F475" s="78">
        <f>(0.25*0.25)*(50+121)</f>
        <v>10.6875</v>
      </c>
      <c r="G475" s="79">
        <f>IF(B475="MP-MT",VLOOKUP(CONCATENATE("TOTAL DO ÍTEM - ",C475),'COMPOSIÇÃO DE PREÇO UNITÁRIO'!A:H,8,FALSE),VLOOKUP(C475,'SINAPI_COMPOSIÇÕES 062020'!A:D,4,FALSE))</f>
        <v>90.56</v>
      </c>
      <c r="H475" s="79">
        <f t="shared" ref="H475" si="106">TRUNC(G475*(1+$F$1),2)</f>
        <v>117.17</v>
      </c>
      <c r="I475" s="79">
        <f t="shared" ref="I475" si="107">TRUNC(H475*F475,2)</f>
        <v>1252.25</v>
      </c>
    </row>
    <row r="476" spans="1:9" ht="25.5" outlineLevel="2" x14ac:dyDescent="0.2">
      <c r="A476" s="45" t="s">
        <v>13668</v>
      </c>
      <c r="B476" s="45" t="s">
        <v>194</v>
      </c>
      <c r="C476" s="45" t="s">
        <v>12091</v>
      </c>
      <c r="D476" s="44" t="str">
        <f>IF(B476="MP-MT",VLOOKUP(C476,'COMPOSIÇÃO DE PREÇO UNITÁRIO'!A:B,2,FALSE),VLOOKUP(C476,'SINAPI_COMPOSIÇÕES 062020'!A:B,2,FALSE))</f>
        <v>SOLEIRA DE GRANITO PRETO SÃO GABRIEL, LARGURA 15CM, ESPESSURA 2CM, ASSENTADA SOBRE ARGAMASSA TRACO 1:4 (CIMENTO E AREIA)</v>
      </c>
      <c r="E476" s="45" t="str">
        <f>IF(B476="MP-MT",VLOOKUP(C476,'COMPOSIÇÃO DE PREÇO UNITÁRIO'!A:H,8,FALSE),VLOOKUP(C476,'SINAPI_COMPOSIÇÕES 062020'!A:C,3,FALSE))</f>
        <v>M</v>
      </c>
      <c r="F476" s="78">
        <f>1.6+4.5+3+1.6</f>
        <v>10.7</v>
      </c>
      <c r="G476" s="79">
        <f>IF(B476="MP-MT",VLOOKUP(CONCATENATE("TOTAL DO ÍTEM - ",C476),'COMPOSIÇÃO DE PREÇO UNITÁRIO'!A:H,8,FALSE),VLOOKUP(C476,'SINAPI_COMPOSIÇÕES 062020'!A:D,4,FALSE))</f>
        <v>92.61</v>
      </c>
      <c r="H476" s="79">
        <f t="shared" si="104"/>
        <v>119.82</v>
      </c>
      <c r="I476" s="79">
        <f t="shared" si="105"/>
        <v>1282.07</v>
      </c>
    </row>
    <row r="477" spans="1:9" ht="38.25" outlineLevel="2" x14ac:dyDescent="0.2">
      <c r="A477" s="45" t="s">
        <v>13669</v>
      </c>
      <c r="B477" s="45" t="s">
        <v>194</v>
      </c>
      <c r="C477" s="45" t="s">
        <v>12680</v>
      </c>
      <c r="D477" s="44" t="str">
        <f>IF(B477="MP-MT",VLOOKUP(C477,'COMPOSIÇÃO DE PREÇO UNITÁRIO'!A:B,2,FALSE),VLOOKUP(C477,'SINAPI_COMPOSIÇÕES 062020'!A:B,2,FALSE))</f>
        <v>SOLEIRA DE GRANITO PRETO SÃO GABRIEL, LARGURA 15CM, ESPESSURA 2CM, ASSENTADA SOBRE ARGAMASSA TRACO 1:4 (CIMENTO E AREIA) - INSTALAÇÃO CONSIDERANDO REAPROVEIRAMENTO DO GRANITO</v>
      </c>
      <c r="E477" s="45" t="str">
        <f>IF(B477="MP-MT",VLOOKUP(C477,'COMPOSIÇÃO DE PREÇO UNITÁRIO'!A:H,8,FALSE),VLOOKUP(C477,'SINAPI_COMPOSIÇÕES 062020'!A:C,3,FALSE))</f>
        <v>M</v>
      </c>
      <c r="F477" s="78">
        <f>2.4+0.7+15.2+0.9</f>
        <v>19.199999999999996</v>
      </c>
      <c r="G477" s="79">
        <f>IF(B477="MP-MT",VLOOKUP(CONCATENATE("TOTAL DO ÍTEM - ",C477),'COMPOSIÇÃO DE PREÇO UNITÁRIO'!A:H,8,FALSE),VLOOKUP(C477,'SINAPI_COMPOSIÇÕES 062020'!A:D,4,FALSE))</f>
        <v>11.11</v>
      </c>
      <c r="H477" s="79">
        <f t="shared" si="104"/>
        <v>14.37</v>
      </c>
      <c r="I477" s="79">
        <f t="shared" si="105"/>
        <v>275.89999999999998</v>
      </c>
    </row>
    <row r="478" spans="1:9" outlineLevel="1" x14ac:dyDescent="0.2">
      <c r="A478" s="76"/>
      <c r="B478" s="76"/>
      <c r="C478" s="76"/>
      <c r="D478" s="91" t="str">
        <f>CONCATENATE("TOTAL DO ITEM - ",A472)</f>
        <v>TOTAL DO ITEM - 20.0</v>
      </c>
      <c r="E478" s="76"/>
      <c r="F478" s="92"/>
      <c r="G478" s="93"/>
      <c r="H478" s="93"/>
      <c r="I478" s="93">
        <f>SUM(I473:I477)</f>
        <v>50383.270000000004</v>
      </c>
    </row>
    <row r="479" spans="1:9" outlineLevel="1" x14ac:dyDescent="0.2">
      <c r="A479" s="192" t="s">
        <v>66</v>
      </c>
      <c r="B479" s="192"/>
      <c r="C479" s="192"/>
      <c r="D479" s="88" t="s">
        <v>12052</v>
      </c>
      <c r="E479" s="192"/>
      <c r="F479" s="89"/>
      <c r="G479" s="90"/>
      <c r="H479" s="90"/>
      <c r="I479" s="90"/>
    </row>
    <row r="480" spans="1:9" ht="25.5" outlineLevel="2" x14ac:dyDescent="0.2">
      <c r="A480" s="45" t="s">
        <v>13670</v>
      </c>
      <c r="B480" s="45" t="s">
        <v>9</v>
      </c>
      <c r="C480" s="45">
        <v>96114</v>
      </c>
      <c r="D480" s="44" t="str">
        <f>IF(B480="MP-MT",VLOOKUP(C480,'COMPOSIÇÃO DE PREÇO UNITÁRIO'!A:B,2,FALSE),VLOOKUP(C480,'SINAPI_COMPOSIÇÕES 062020'!A:B,2,FALSE))</f>
        <v>FORRO EM DRYWALL, PARA AMBIENTES COMERCIAIS, INCLUSIVE ESTRUTURA DE FIXAÇÃO. AF_05/2017_P</v>
      </c>
      <c r="E480" s="45" t="str">
        <f>IF(B480="MP-MT",VLOOKUP(C480,'COMPOSIÇÃO DE PREÇO UNITÁRIO'!A:H,8,FALSE),VLOOKUP(C480,'SINAPI_COMPOSIÇÕES 062020'!A:C,3,FALSE))</f>
        <v>M2</v>
      </c>
      <c r="F480" s="78">
        <v>16.07</v>
      </c>
      <c r="G480" s="79">
        <f>IF(B480="MP-MT",VLOOKUP(CONCATENATE("TOTAL DO ÍTEM - ",C480),'COMPOSIÇÃO DE PREÇO UNITÁRIO'!A:H,8,FALSE),VLOOKUP(C480,'SINAPI_COMPOSIÇÕES 062020'!A:D,4,FALSE))</f>
        <v>56.95</v>
      </c>
      <c r="H480" s="79">
        <f t="shared" ref="H480:H482" si="108">TRUNC(G480*(1+$F$1),2)</f>
        <v>73.680000000000007</v>
      </c>
      <c r="I480" s="79">
        <f t="shared" ref="I480:I482" si="109">TRUNC(H480*F480,2)</f>
        <v>1184.03</v>
      </c>
    </row>
    <row r="481" spans="1:9" ht="38.25" outlineLevel="2" x14ac:dyDescent="0.2">
      <c r="A481" s="45" t="s">
        <v>13672</v>
      </c>
      <c r="B481" s="45" t="s">
        <v>194</v>
      </c>
      <c r="C481" s="45" t="s">
        <v>12053</v>
      </c>
      <c r="D481" s="44" t="str">
        <f>IF(B481="MP-MT",VLOOKUP(C481,'COMPOSIÇÃO DE PREÇO UNITÁRIO'!A:B,2,FALSE),VLOOKUP(C481,'SINAPI_COMPOSIÇÕES 062020'!A:B,2,FALSE))</f>
        <v>FORNECIMENTO E INSTALAÇÃO DE FORRO MODULAR EM LÃ DE PET, 1250X625MM, ESP. 25MM, ESTRUTURADO EM PERFIS DE AÇO GALVANIZADO, REF. REF. TRISOFT AE IR25 OU EQUIVALENTE</v>
      </c>
      <c r="E481" s="45" t="str">
        <f>IF(B481="MP-MT",VLOOKUP(C481,'COMPOSIÇÃO DE PREÇO UNITÁRIO'!A:H,8,FALSE),VLOOKUP(C481,'SINAPI_COMPOSIÇÕES 062020'!A:C,3,FALSE))</f>
        <v>M2</v>
      </c>
      <c r="F481" s="78">
        <v>520.96</v>
      </c>
      <c r="G481" s="79">
        <f>IF(B481="MP-MT",VLOOKUP(CONCATENATE("TOTAL DO ÍTEM - ",C481),'COMPOSIÇÃO DE PREÇO UNITÁRIO'!A:H,8,FALSE),VLOOKUP(C481,'SINAPI_COMPOSIÇÕES 062020'!A:D,4,FALSE))</f>
        <v>116.95</v>
      </c>
      <c r="H481" s="79">
        <f t="shared" si="108"/>
        <v>151.31</v>
      </c>
      <c r="I481" s="79">
        <f t="shared" si="109"/>
        <v>78826.45</v>
      </c>
    </row>
    <row r="482" spans="1:9" ht="25.5" outlineLevel="2" x14ac:dyDescent="0.2">
      <c r="A482" s="45" t="s">
        <v>13673</v>
      </c>
      <c r="B482" s="45" t="s">
        <v>9</v>
      </c>
      <c r="C482" s="45">
        <v>96121</v>
      </c>
      <c r="D482" s="44" t="str">
        <f>IF(B482="MP-MT",VLOOKUP(C482,'COMPOSIÇÃO DE PREÇO UNITÁRIO'!A:B,2,FALSE),VLOOKUP(C482,'SINAPI_COMPOSIÇÕES 062020'!A:B,2,FALSE))</f>
        <v>ACABAMENTOS PARA FORRO (RODA-FORRO EM PERFIL METÁLICO E PLÁSTICO). AF_05/2017</v>
      </c>
      <c r="E482" s="45" t="str">
        <f>IF(B482="MP-MT",VLOOKUP(C482,'COMPOSIÇÃO DE PREÇO UNITÁRIO'!A:H,8,FALSE),VLOOKUP(C482,'SINAPI_COMPOSIÇÕES 062020'!A:C,3,FALSE))</f>
        <v>M</v>
      </c>
      <c r="F482" s="78">
        <v>19.59</v>
      </c>
      <c r="G482" s="79">
        <f>IF(B482="MP-MT",VLOOKUP(CONCATENATE("TOTAL DO ÍTEM - ",C482),'COMPOSIÇÃO DE PREÇO UNITÁRIO'!A:H,8,FALSE),VLOOKUP(C482,'SINAPI_COMPOSIÇÕES 062020'!A:D,4,FALSE))</f>
        <v>7.02</v>
      </c>
      <c r="H482" s="79">
        <f t="shared" si="108"/>
        <v>9.08</v>
      </c>
      <c r="I482" s="79">
        <f t="shared" si="109"/>
        <v>177.87</v>
      </c>
    </row>
    <row r="483" spans="1:9" outlineLevel="1" x14ac:dyDescent="0.2">
      <c r="A483" s="76"/>
      <c r="B483" s="76"/>
      <c r="C483" s="76"/>
      <c r="D483" s="91" t="str">
        <f>CONCATENATE("TOTAL DO ITEM - ",A479)</f>
        <v>TOTAL DO ITEM - 21.0</v>
      </c>
      <c r="E483" s="76"/>
      <c r="F483" s="92"/>
      <c r="G483" s="93"/>
      <c r="H483" s="93"/>
      <c r="I483" s="93">
        <f>SUM(I480:I482)</f>
        <v>80188.349999999991</v>
      </c>
    </row>
    <row r="484" spans="1:9" outlineLevel="1" x14ac:dyDescent="0.2">
      <c r="A484" s="192" t="s">
        <v>67</v>
      </c>
      <c r="B484" s="192"/>
      <c r="C484" s="192"/>
      <c r="D484" s="88" t="s">
        <v>12061</v>
      </c>
      <c r="E484" s="192"/>
      <c r="F484" s="89"/>
      <c r="G484" s="90"/>
      <c r="H484" s="90"/>
      <c r="I484" s="90"/>
    </row>
    <row r="485" spans="1:9" ht="25.5" outlineLevel="2" x14ac:dyDescent="0.2">
      <c r="A485" s="45" t="s">
        <v>13674</v>
      </c>
      <c r="B485" s="45" t="s">
        <v>9</v>
      </c>
      <c r="C485" s="45">
        <v>88485</v>
      </c>
      <c r="D485" s="44" t="str">
        <f>IF(B485="MP-MT",VLOOKUP(C485,'COMPOSIÇÃO DE PREÇO UNITÁRIO'!A:B,2,FALSE),VLOOKUP(C485,'SINAPI_COMPOSIÇÕES 062020'!A:B,2,FALSE))</f>
        <v>APLICAÇÃO DE FUNDO SELADOR ACRÍLICO EM PAREDES, UMA DEMÃO. AF_06/2014</v>
      </c>
      <c r="E485" s="45" t="str">
        <f>IF(B485="MP-MT",VLOOKUP(C485,'COMPOSIÇÃO DE PREÇO UNITÁRIO'!A:H,8,FALSE),VLOOKUP(C485,'SINAPI_COMPOSIÇÕES 062020'!A:C,3,FALSE))</f>
        <v>M2</v>
      </c>
      <c r="F485" s="78">
        <f>130.75+1174.67+2.8+579.62</f>
        <v>1887.8400000000001</v>
      </c>
      <c r="G485" s="79">
        <f>IF(B485="MP-MT",VLOOKUP(CONCATENATE("TOTAL DO ÍTEM - ",C485),'COMPOSIÇÃO DE PREÇO UNITÁRIO'!A:H,8,FALSE),VLOOKUP(C485,'SINAPI_COMPOSIÇÕES 062020'!A:D,4,FALSE))</f>
        <v>1.55</v>
      </c>
      <c r="H485" s="79">
        <f t="shared" ref="H485" si="110">TRUNC(G485*(1+$F$1),2)</f>
        <v>2</v>
      </c>
      <c r="I485" s="79">
        <f t="shared" ref="I485" si="111">TRUNC(H485*F485,2)</f>
        <v>3775.68</v>
      </c>
    </row>
    <row r="486" spans="1:9" ht="25.5" outlineLevel="2" x14ac:dyDescent="0.2">
      <c r="A486" s="45" t="s">
        <v>13675</v>
      </c>
      <c r="B486" s="45" t="s">
        <v>9</v>
      </c>
      <c r="C486" s="45">
        <v>88497</v>
      </c>
      <c r="D486" s="44" t="str">
        <f>IF(B486="MP-MT",VLOOKUP(C486,'COMPOSIÇÃO DE PREÇO UNITÁRIO'!A:B,2,FALSE),VLOOKUP(C486,'SINAPI_COMPOSIÇÕES 062020'!A:B,2,FALSE))</f>
        <v>APLICAÇÃO E LIXAMENTO DE MASSA LÁTEX EM PAREDES, DUAS DEMÃOS. AF_06/2014</v>
      </c>
      <c r="E486" s="45" t="str">
        <f>IF(B486="MP-MT",VLOOKUP(C486,'COMPOSIÇÃO DE PREÇO UNITÁRIO'!A:H,8,FALSE),VLOOKUP(C486,'SINAPI_COMPOSIÇÕES 062020'!A:C,3,FALSE))</f>
        <v>M2</v>
      </c>
      <c r="F486" s="78">
        <v>1174.67</v>
      </c>
      <c r="G486" s="79">
        <f>IF(B486="MP-MT",VLOOKUP(CONCATENATE("TOTAL DO ÍTEM - ",C486),'COMPOSIÇÃO DE PREÇO UNITÁRIO'!A:H,8,FALSE),VLOOKUP(C486,'SINAPI_COMPOSIÇÕES 062020'!A:D,4,FALSE))</f>
        <v>11.14</v>
      </c>
      <c r="H486" s="79">
        <f t="shared" ref="H486:H493" si="112">TRUNC(G486*(1+$F$1),2)</f>
        <v>14.41</v>
      </c>
      <c r="I486" s="79">
        <f t="shared" ref="I486:I493" si="113">TRUNC(H486*F486,2)</f>
        <v>16926.990000000002</v>
      </c>
    </row>
    <row r="487" spans="1:9" ht="25.5" outlineLevel="2" x14ac:dyDescent="0.2">
      <c r="A487" s="45" t="s">
        <v>13676</v>
      </c>
      <c r="B487" s="45" t="s">
        <v>9</v>
      </c>
      <c r="C487" s="45">
        <v>88484</v>
      </c>
      <c r="D487" s="44" t="str">
        <f>IF(B487="MP-MT",VLOOKUP(C487,'COMPOSIÇÃO DE PREÇO UNITÁRIO'!A:B,2,FALSE),VLOOKUP(C487,'SINAPI_COMPOSIÇÕES 062020'!A:B,2,FALSE))</f>
        <v>APLICAÇÃO DE FUNDO SELADOR ACRÍLICO EM TETO, UMA DEMÃO. AF_06/2014</v>
      </c>
      <c r="E487" s="45" t="str">
        <f>IF(B487="MP-MT",VLOOKUP(C487,'COMPOSIÇÃO DE PREÇO UNITÁRIO'!A:H,8,FALSE),VLOOKUP(C487,'SINAPI_COMPOSIÇÕES 062020'!A:C,3,FALSE))</f>
        <v>M2</v>
      </c>
      <c r="F487" s="78">
        <v>16.07</v>
      </c>
      <c r="G487" s="79">
        <f>IF(B487="MP-MT",VLOOKUP(CONCATENATE("TOTAL DO ÍTEM - ",C487),'COMPOSIÇÃO DE PREÇO UNITÁRIO'!A:H,8,FALSE),VLOOKUP(C487,'SINAPI_COMPOSIÇÕES 062020'!A:D,4,FALSE))</f>
        <v>1.85</v>
      </c>
      <c r="H487" s="79">
        <f t="shared" si="112"/>
        <v>2.39</v>
      </c>
      <c r="I487" s="79">
        <f t="shared" si="113"/>
        <v>38.4</v>
      </c>
    </row>
    <row r="488" spans="1:9" ht="25.5" outlineLevel="2" x14ac:dyDescent="0.2">
      <c r="A488" s="45" t="s">
        <v>13677</v>
      </c>
      <c r="B488" s="45" t="s">
        <v>9</v>
      </c>
      <c r="C488" s="45">
        <v>88496</v>
      </c>
      <c r="D488" s="44" t="str">
        <f>IF(B488="MP-MT",VLOOKUP(C488,'COMPOSIÇÃO DE PREÇO UNITÁRIO'!A:B,2,FALSE),VLOOKUP(C488,'SINAPI_COMPOSIÇÕES 062020'!A:B,2,FALSE))</f>
        <v>APLICAÇÃO E LIXAMENTO DE MASSA LÁTEX EM TETO, DUAS DEMÃOS. AF_06/2014</v>
      </c>
      <c r="E488" s="45" t="str">
        <f>IF(B488="MP-MT",VLOOKUP(C488,'COMPOSIÇÃO DE PREÇO UNITÁRIO'!A:H,8,FALSE),VLOOKUP(C488,'SINAPI_COMPOSIÇÕES 062020'!A:C,3,FALSE))</f>
        <v>M2</v>
      </c>
      <c r="F488" s="78">
        <v>16.07</v>
      </c>
      <c r="G488" s="79">
        <f>IF(B488="MP-MT",VLOOKUP(CONCATENATE("TOTAL DO ÍTEM - ",C488),'COMPOSIÇÃO DE PREÇO UNITÁRIO'!A:H,8,FALSE),VLOOKUP(C488,'SINAPI_COMPOSIÇÕES 062020'!A:D,4,FALSE))</f>
        <v>19.84</v>
      </c>
      <c r="H488" s="79">
        <f t="shared" si="112"/>
        <v>25.67</v>
      </c>
      <c r="I488" s="79">
        <f t="shared" si="113"/>
        <v>412.51</v>
      </c>
    </row>
    <row r="489" spans="1:9" ht="25.5" outlineLevel="2" x14ac:dyDescent="0.2">
      <c r="A489" s="45" t="s">
        <v>13678</v>
      </c>
      <c r="B489" s="45" t="s">
        <v>9</v>
      </c>
      <c r="C489" s="45">
        <v>88489</v>
      </c>
      <c r="D489" s="44" t="str">
        <f>CONCATENATE(IF(B489="MP-MT",VLOOKUP(C489,'COMPOSIÇÃO DE PREÇO UNITÁRIO'!A:B,2,FALSE),VLOOKUP(C489,'SINAPI_COMPOSIÇÕES 062020'!A:B,2,FALSE))," - BRANCO GELO")</f>
        <v>APLICAÇÃO MANUAL DE PINTURA COM TINTA LÁTEX ACRÍLICA EM PAREDES, DUAS DEMÃOS. AF_06/2014 - BRANCO GELO</v>
      </c>
      <c r="E489" s="45" t="str">
        <f>IF(B489="MP-MT",VLOOKUP(C489,'COMPOSIÇÃO DE PREÇO UNITÁRIO'!A:H,8,FALSE),VLOOKUP(C489,'SINAPI_COMPOSIÇÕES 062020'!A:C,3,FALSE))</f>
        <v>M2</v>
      </c>
      <c r="F489" s="78">
        <f>1174.67+2.8</f>
        <v>1177.47</v>
      </c>
      <c r="G489" s="79">
        <f>IF(B489="MP-MT",VLOOKUP(CONCATENATE("TOTAL DO ÍTEM - ",C489),'COMPOSIÇÃO DE PREÇO UNITÁRIO'!A:H,8,FALSE),VLOOKUP(C489,'SINAPI_COMPOSIÇÕES 062020'!A:D,4,FALSE))</f>
        <v>11.3</v>
      </c>
      <c r="H489" s="79">
        <f t="shared" si="112"/>
        <v>14.62</v>
      </c>
      <c r="I489" s="79">
        <f t="shared" si="113"/>
        <v>17214.61</v>
      </c>
    </row>
    <row r="490" spans="1:9" ht="25.5" outlineLevel="2" x14ac:dyDescent="0.2">
      <c r="A490" s="45" t="s">
        <v>13679</v>
      </c>
      <c r="B490" s="45" t="s">
        <v>9</v>
      </c>
      <c r="C490" s="45">
        <v>88489</v>
      </c>
      <c r="D490" s="44" t="str">
        <f>CONCATENATE(IF(B490="MP-MT",VLOOKUP(C490,'COMPOSIÇÃO DE PREÇO UNITÁRIO'!A:B,2,FALSE),VLOOKUP(C490,'SINAPI_COMPOSIÇÕES 062020'!A:B,2,FALSE))," - BRANCO NEVE")</f>
        <v>APLICAÇÃO MANUAL DE PINTURA COM TINTA LÁTEX ACRÍLICA EM PAREDES, DUAS DEMÃOS. AF_06/2014 - BRANCO NEVE</v>
      </c>
      <c r="E490" s="45" t="str">
        <f>IF(B490="MP-MT",VLOOKUP(C490,'COMPOSIÇÃO DE PREÇO UNITÁRIO'!A:H,8,FALSE),VLOOKUP(C490,'SINAPI_COMPOSIÇÕES 062020'!A:C,3,FALSE))</f>
        <v>M2</v>
      </c>
      <c r="F490" s="78">
        <v>579.62</v>
      </c>
      <c r="G490" s="79">
        <f>IF(B490="MP-MT",VLOOKUP(CONCATENATE("TOTAL DO ÍTEM - ",C490),'COMPOSIÇÃO DE PREÇO UNITÁRIO'!A:H,8,FALSE),VLOOKUP(C490,'SINAPI_COMPOSIÇÕES 062020'!A:D,4,FALSE))</f>
        <v>11.3</v>
      </c>
      <c r="H490" s="79">
        <f t="shared" si="112"/>
        <v>14.62</v>
      </c>
      <c r="I490" s="79">
        <f t="shared" si="113"/>
        <v>8474.0400000000009</v>
      </c>
    </row>
    <row r="491" spans="1:9" ht="25.5" outlineLevel="2" x14ac:dyDescent="0.2">
      <c r="A491" s="45" t="s">
        <v>13680</v>
      </c>
      <c r="B491" s="45" t="s">
        <v>9</v>
      </c>
      <c r="C491" s="45">
        <v>95305</v>
      </c>
      <c r="D491" s="44" t="str">
        <f>IF(B491="MP-MT",VLOOKUP(C491,'COMPOSIÇÃO DE PREÇO UNITÁRIO'!A:B,2,FALSE),VLOOKUP(C491,'SINAPI_COMPOSIÇÕES 062020'!A:B,2,FALSE))</f>
        <v>TEXTURA ACRÍLICA, APLICAÇÃO MANUAL EM PAREDE, UMA DEMÃO. AF_09/2016</v>
      </c>
      <c r="E491" s="45" t="str">
        <f>IF(B491="MP-MT",VLOOKUP(C491,'COMPOSIÇÃO DE PREÇO UNITÁRIO'!A:H,8,FALSE),VLOOKUP(C491,'SINAPI_COMPOSIÇÕES 062020'!A:C,3,FALSE))</f>
        <v>M2</v>
      </c>
      <c r="F491" s="78">
        <v>579.62</v>
      </c>
      <c r="G491" s="79">
        <f>IF(B491="MP-MT",VLOOKUP(CONCATENATE("TOTAL DO ÍTEM - ",C491),'COMPOSIÇÃO DE PREÇO UNITÁRIO'!A:H,8,FALSE),VLOOKUP(C491,'SINAPI_COMPOSIÇÕES 062020'!A:D,4,FALSE))</f>
        <v>11.74</v>
      </c>
      <c r="H491" s="79">
        <f t="shared" si="112"/>
        <v>15.18</v>
      </c>
      <c r="I491" s="79">
        <f t="shared" si="113"/>
        <v>8798.6299999999992</v>
      </c>
    </row>
    <row r="492" spans="1:9" outlineLevel="2" x14ac:dyDescent="0.2">
      <c r="A492" s="45" t="s">
        <v>13681</v>
      </c>
      <c r="B492" s="45" t="s">
        <v>194</v>
      </c>
      <c r="C492" s="45" t="s">
        <v>12236</v>
      </c>
      <c r="D492" s="44" t="str">
        <f>IF(B492="MP-MT",VLOOKUP(C492,'COMPOSIÇÃO DE PREÇO UNITÁRIO'!A:B,2,FALSE),VLOOKUP(C492,'SINAPI_COMPOSIÇÕES 062020'!A:B,2,FALSE))</f>
        <v>GRAFIATO ACRÍLICO, APLICAÇÃO MANUAL EM PAREDE, UMA DEMÃO</v>
      </c>
      <c r="E492" s="45" t="str">
        <f>IF(B492="MP-MT",VLOOKUP(C492,'COMPOSIÇÃO DE PREÇO UNITÁRIO'!A:H,8,FALSE),VLOOKUP(C492,'SINAPI_COMPOSIÇÕES 062020'!A:C,3,FALSE))</f>
        <v>M2</v>
      </c>
      <c r="F492" s="78">
        <v>130.75</v>
      </c>
      <c r="G492" s="79">
        <f>IF(B492="MP-MT",VLOOKUP(CONCATENATE("TOTAL DO ÍTEM - ",C492),'COMPOSIÇÃO DE PREÇO UNITÁRIO'!A:H,8,FALSE),VLOOKUP(C492,'SINAPI_COMPOSIÇÕES 062020'!A:D,4,FALSE))</f>
        <v>11.8</v>
      </c>
      <c r="H492" s="79">
        <f t="shared" si="112"/>
        <v>15.26</v>
      </c>
      <c r="I492" s="79">
        <f t="shared" si="113"/>
        <v>1995.24</v>
      </c>
    </row>
    <row r="493" spans="1:9" ht="25.5" outlineLevel="2" x14ac:dyDescent="0.2">
      <c r="A493" s="45" t="s">
        <v>13682</v>
      </c>
      <c r="B493" s="45" t="s">
        <v>9</v>
      </c>
      <c r="C493" s="45">
        <v>88489</v>
      </c>
      <c r="D493" s="44" t="str">
        <f>CONCATENATE(IF(B493="MP-MT",VLOOKUP(C493,'COMPOSIÇÃO DE PREÇO UNITÁRIO'!A:B,2,FALSE),VLOOKUP(C493,'SINAPI_COMPOSIÇÕES 062020'!A:B,2,FALSE))," - BLUE BEARD OU EQUIVALENTE")</f>
        <v>APLICAÇÃO MANUAL DE PINTURA COM TINTA LÁTEX ACRÍLICA EM PAREDES, DUAS DEMÃOS. AF_06/2014 - BLUE BEARD OU EQUIVALENTE</v>
      </c>
      <c r="E493" s="45" t="str">
        <f>IF(B493="MP-MT",VLOOKUP(C493,'COMPOSIÇÃO DE PREÇO UNITÁRIO'!A:H,8,FALSE),VLOOKUP(C493,'SINAPI_COMPOSIÇÕES 062020'!A:C,3,FALSE))</f>
        <v>M2</v>
      </c>
      <c r="F493" s="78">
        <v>130.75</v>
      </c>
      <c r="G493" s="79">
        <f>IF(B493="MP-MT",VLOOKUP(CONCATENATE("TOTAL DO ÍTEM - ",C493),'COMPOSIÇÃO DE PREÇO UNITÁRIO'!A:H,8,FALSE),VLOOKUP(C493,'SINAPI_COMPOSIÇÕES 062020'!A:D,4,FALSE))</f>
        <v>11.3</v>
      </c>
      <c r="H493" s="79">
        <f t="shared" si="112"/>
        <v>14.62</v>
      </c>
      <c r="I493" s="79">
        <f t="shared" si="113"/>
        <v>1911.56</v>
      </c>
    </row>
    <row r="494" spans="1:9" outlineLevel="1" x14ac:dyDescent="0.2">
      <c r="A494" s="76"/>
      <c r="B494" s="76"/>
      <c r="C494" s="76"/>
      <c r="D494" s="91" t="str">
        <f>CONCATENATE("TOTAL DO ITEM - ",A484)</f>
        <v>TOTAL DO ITEM - 22.0</v>
      </c>
      <c r="E494" s="76"/>
      <c r="F494" s="92"/>
      <c r="G494" s="93"/>
      <c r="H494" s="93"/>
      <c r="I494" s="93">
        <f>SUM(I485:I493)</f>
        <v>59547.659999999996</v>
      </c>
    </row>
    <row r="495" spans="1:9" outlineLevel="1" x14ac:dyDescent="0.2">
      <c r="A495" s="119" t="s">
        <v>693</v>
      </c>
      <c r="B495" s="119"/>
      <c r="C495" s="119"/>
      <c r="D495" s="88" t="s">
        <v>11953</v>
      </c>
      <c r="E495" s="119"/>
      <c r="F495" s="89"/>
      <c r="G495" s="90"/>
      <c r="H495" s="90"/>
      <c r="I495" s="90"/>
    </row>
    <row r="496" spans="1:9" ht="38.25" outlineLevel="2" x14ac:dyDescent="0.2">
      <c r="A496" s="45" t="s">
        <v>13683</v>
      </c>
      <c r="B496" s="45" t="s">
        <v>194</v>
      </c>
      <c r="C496" s="45" t="s">
        <v>11954</v>
      </c>
      <c r="D496" s="44" t="str">
        <f>IF(B496="MP-MT",VLOOKUP(C496,'COMPOSIÇÃO DE PREÇO UNITÁRIO'!A:B,2,FALSE),VLOOKUP(C496,'SINAPI_COMPOSIÇÕES 062020'!A:B,2,FALSE))</f>
        <v>VASO SANITARIO COM CAIXA ACOPLADA EM LOUÇA BRANCA, COM ASSENTO, INCLUSO CONJUNTO DE LIGAÇÃO PARA BACIA SANITÁRIA AJUSTÁVEL, REF. DECA LINHA VOGUE PLUS P.505.17 OU EQUIVALENTE</v>
      </c>
      <c r="E496" s="45" t="str">
        <f>IF(B496="MP-MT",VLOOKUP(C496,'COMPOSIÇÃO DE PREÇO UNITÁRIO'!A:H,8,FALSE),VLOOKUP(C496,'SINAPI_COMPOSIÇÕES 062020'!A:C,3,FALSE))</f>
        <v>UND</v>
      </c>
      <c r="F496" s="78">
        <v>14</v>
      </c>
      <c r="G496" s="79">
        <f>IF(B496="MP-MT",VLOOKUP(CONCATENATE("TOTAL DO ÍTEM - ",C496),'COMPOSIÇÃO DE PREÇO UNITÁRIO'!A:H,8,FALSE),VLOOKUP(C496,'SINAPI_COMPOSIÇÕES 062020'!A:D,4,FALSE))</f>
        <v>1424.84</v>
      </c>
      <c r="H496" s="79">
        <f t="shared" ref="H496:H498" si="114">TRUNC(G496*(1+$F$1),2)</f>
        <v>1843.53</v>
      </c>
      <c r="I496" s="79">
        <f t="shared" ref="I496:I498" si="115">TRUNC(H496*F496,2)</f>
        <v>25809.42</v>
      </c>
    </row>
    <row r="497" spans="1:9" ht="38.25" outlineLevel="2" x14ac:dyDescent="0.2">
      <c r="A497" s="45" t="s">
        <v>13684</v>
      </c>
      <c r="B497" s="45" t="s">
        <v>194</v>
      </c>
      <c r="C497" s="45" t="s">
        <v>11990</v>
      </c>
      <c r="D497" s="44" t="str">
        <f>IF(B497="MP-MT",VLOOKUP(C497,'COMPOSIÇÃO DE PREÇO UNITÁRIO'!A:B,2,FALSE),VLOOKUP(C497,'SINAPI_COMPOSIÇÕES 062020'!A:B,2,FALSE))</f>
        <v>VASO SANITARIO COM CAIXA ACOPLADA EM LOUÇA BRANCA, COM ASSENTO, INCLUSO CONJUNTO DE LIGAÇÃO PARA BACIA SANITÁRIA AJUSTÁVEL, REF. DECA LINHA VOGUE PLUS P.515 OU EQUIVALENTE</v>
      </c>
      <c r="E497" s="45" t="str">
        <f>IF(B497="MP-MT",VLOOKUP(C497,'COMPOSIÇÃO DE PREÇO UNITÁRIO'!A:H,8,FALSE),VLOOKUP(C497,'SINAPI_COMPOSIÇÕES 062020'!A:C,3,FALSE))</f>
        <v>UND</v>
      </c>
      <c r="F497" s="78">
        <v>4</v>
      </c>
      <c r="G497" s="79">
        <f>IF(B497="MP-MT",VLOOKUP(CONCATENATE("TOTAL DO ÍTEM - ",C497),'COMPOSIÇÃO DE PREÇO UNITÁRIO'!A:H,8,FALSE),VLOOKUP(C497,'SINAPI_COMPOSIÇÕES 062020'!A:D,4,FALSE))</f>
        <v>1623.4</v>
      </c>
      <c r="H497" s="79">
        <f t="shared" si="114"/>
        <v>2100.4299999999998</v>
      </c>
      <c r="I497" s="79">
        <f t="shared" si="115"/>
        <v>8401.7199999999993</v>
      </c>
    </row>
    <row r="498" spans="1:9" ht="25.5" outlineLevel="2" x14ac:dyDescent="0.2">
      <c r="A498" s="45" t="s">
        <v>13685</v>
      </c>
      <c r="B498" s="45" t="s">
        <v>194</v>
      </c>
      <c r="C498" s="45" t="s">
        <v>12001</v>
      </c>
      <c r="D498" s="44" t="str">
        <f>IF(B498="MP-MT",VLOOKUP(C498,'COMPOSIÇÃO DE PREÇO UNITÁRIO'!A:B,2,FALSE),VLOOKUP(C498,'SINAPI_COMPOSIÇÕES 062020'!A:B,2,FALSE))</f>
        <v>FORNECIMENTO E INSTALAÇÃO DE LAVATÓRIO EM COLUNA SUSPENSA EM LOUÇA BRANCA, REF. DECA LINHA VOGUE PLUS L51 OU EQUIVALENTE</v>
      </c>
      <c r="E498" s="45" t="str">
        <f>IF(B498="MP-MT",VLOOKUP(C498,'COMPOSIÇÃO DE PREÇO UNITÁRIO'!A:H,8,FALSE),VLOOKUP(C498,'SINAPI_COMPOSIÇÕES 062020'!A:C,3,FALSE))</f>
        <v>UND</v>
      </c>
      <c r="F498" s="78">
        <v>3</v>
      </c>
      <c r="G498" s="79">
        <f>IF(B498="MP-MT",VLOOKUP(CONCATENATE("TOTAL DO ÍTEM - ",C498),'COMPOSIÇÃO DE PREÇO UNITÁRIO'!A:H,8,FALSE),VLOOKUP(C498,'SINAPI_COMPOSIÇÕES 062020'!A:D,4,FALSE))</f>
        <v>549.66999999999996</v>
      </c>
      <c r="H498" s="79">
        <f t="shared" si="114"/>
        <v>711.19</v>
      </c>
      <c r="I498" s="79">
        <f t="shared" si="115"/>
        <v>2133.5700000000002</v>
      </c>
    </row>
    <row r="499" spans="1:9" ht="38.25" outlineLevel="2" x14ac:dyDescent="0.2">
      <c r="A499" s="45" t="s">
        <v>13686</v>
      </c>
      <c r="B499" s="45" t="s">
        <v>194</v>
      </c>
      <c r="C499" s="45" t="s">
        <v>12007</v>
      </c>
      <c r="D499" s="44" t="str">
        <f>IF(B499="MP-MT",VLOOKUP(C499,'COMPOSIÇÃO DE PREÇO UNITÁRIO'!A:B,2,FALSE),VLOOKUP(C499,'SINAPI_COMPOSIÇÕES 062020'!A:B,2,FALSE))</f>
        <v>INSTALAÇÃO DE LAVATÓRIO EM COLUNA SUSPENSA EM LOUÇA BRANCA, REF. DECA LINHA VOGUE PLUS L51 - CONSIDERANDO REAPROVEITAMENTO DO MATERIAL</v>
      </c>
      <c r="E499" s="45" t="str">
        <f>IF(B499="MP-MT",VLOOKUP(C499,'COMPOSIÇÃO DE PREÇO UNITÁRIO'!A:H,8,FALSE),VLOOKUP(C499,'SINAPI_COMPOSIÇÕES 062020'!A:C,3,FALSE))</f>
        <v>UND</v>
      </c>
      <c r="F499" s="78">
        <v>1</v>
      </c>
      <c r="G499" s="79">
        <f>IF(B499="MP-MT",VLOOKUP(CONCATENATE("TOTAL DO ÍTEM - ",C499),'COMPOSIÇÃO DE PREÇO UNITÁRIO'!A:H,8,FALSE),VLOOKUP(C499,'SINAPI_COMPOSIÇÕES 062020'!A:D,4,FALSE))</f>
        <v>125.57</v>
      </c>
      <c r="H499" s="79">
        <f t="shared" ref="H499:H518" si="116">TRUNC(G499*(1+$F$1),2)</f>
        <v>162.46</v>
      </c>
      <c r="I499" s="79">
        <f t="shared" ref="I499:I518" si="117">TRUNC(H499*F499,2)</f>
        <v>162.46</v>
      </c>
    </row>
    <row r="500" spans="1:9" ht="25.5" outlineLevel="2" x14ac:dyDescent="0.2">
      <c r="A500" s="45" t="s">
        <v>13687</v>
      </c>
      <c r="B500" s="45" t="s">
        <v>194</v>
      </c>
      <c r="C500" s="45" t="s">
        <v>12011</v>
      </c>
      <c r="D500" s="44" t="str">
        <f>IF(B500="MP-MT",VLOOKUP(C500,'COMPOSIÇÃO DE PREÇO UNITÁRIO'!A:B,2,FALSE),VLOOKUP(C500,'SINAPI_COMPOSIÇÕES 062020'!A:B,2,FALSE))</f>
        <v>INSTALAÇÃO DE TANQUE DE LOUÇA BRANCA COM COLUNA, 30L, REF. DECA TQ 02 - CONSIDERANDO O REAPROVEITAMENTO DO MATERIAL</v>
      </c>
      <c r="E500" s="45" t="str">
        <f>IF(B500="MP-MT",VLOOKUP(C500,'COMPOSIÇÃO DE PREÇO UNITÁRIO'!A:H,8,FALSE),VLOOKUP(C500,'SINAPI_COMPOSIÇÕES 062020'!A:C,3,FALSE))</f>
        <v>UND</v>
      </c>
      <c r="F500" s="78">
        <v>2</v>
      </c>
      <c r="G500" s="79">
        <f>IF(B500="MP-MT",VLOOKUP(CONCATENATE("TOTAL DO ÍTEM - ",C500),'COMPOSIÇÃO DE PREÇO UNITÁRIO'!A:H,8,FALSE),VLOOKUP(C500,'SINAPI_COMPOSIÇÕES 062020'!A:D,4,FALSE))</f>
        <v>115.01</v>
      </c>
      <c r="H500" s="79">
        <f t="shared" si="116"/>
        <v>148.80000000000001</v>
      </c>
      <c r="I500" s="79">
        <f t="shared" si="117"/>
        <v>297.60000000000002</v>
      </c>
    </row>
    <row r="501" spans="1:9" ht="25.5" outlineLevel="2" x14ac:dyDescent="0.2">
      <c r="A501" s="45" t="s">
        <v>13688</v>
      </c>
      <c r="B501" s="45" t="s">
        <v>194</v>
      </c>
      <c r="C501" s="45" t="s">
        <v>12015</v>
      </c>
      <c r="D501" s="44" t="str">
        <f>IF(B501="MP-MT",VLOOKUP(C501,'COMPOSIÇÃO DE PREÇO UNITÁRIO'!A:B,2,FALSE),VLOOKUP(C501,'SINAPI_COMPOSIÇÕES 062020'!A:B,2,FALSE))</f>
        <v>TORNEIRA CROMADA 1/2" OU 3/4" PARA TANQUE, REF. DOCOL PERTUTTI 1130 OU EQUIVALENTE - FORNECIMENTO E INSTALAÇÃO</v>
      </c>
      <c r="E501" s="45" t="str">
        <f>IF(B501="MP-MT",VLOOKUP(C501,'COMPOSIÇÃO DE PREÇO UNITÁRIO'!A:H,8,FALSE),VLOOKUP(C501,'SINAPI_COMPOSIÇÕES 062020'!A:C,3,FALSE))</f>
        <v>UND</v>
      </c>
      <c r="F501" s="78">
        <v>17</v>
      </c>
      <c r="G501" s="79">
        <f>IF(B501="MP-MT",VLOOKUP(CONCATENATE("TOTAL DO ÍTEM - ",C501),'COMPOSIÇÃO DE PREÇO UNITÁRIO'!A:H,8,FALSE),VLOOKUP(C501,'SINAPI_COMPOSIÇÕES 062020'!A:D,4,FALSE))</f>
        <v>59.91</v>
      </c>
      <c r="H501" s="79">
        <f t="shared" si="116"/>
        <v>77.510000000000005</v>
      </c>
      <c r="I501" s="79">
        <f t="shared" si="117"/>
        <v>1317.67</v>
      </c>
    </row>
    <row r="502" spans="1:9" ht="25.5" outlineLevel="2" x14ac:dyDescent="0.2">
      <c r="A502" s="45" t="s">
        <v>13671</v>
      </c>
      <c r="B502" s="45" t="s">
        <v>194</v>
      </c>
      <c r="C502" s="45" t="s">
        <v>12019</v>
      </c>
      <c r="D502" s="44" t="str">
        <f>IF(B502="MP-MT",VLOOKUP(C502,'COMPOSIÇÃO DE PREÇO UNITÁRIO'!A:B,2,FALSE),VLOOKUP(C502,'SINAPI_COMPOSIÇÕES 062020'!A:B,2,FALSE))</f>
        <v>TORNEIRA METÁLICA CROMADA, MESA, BICA BAIXA, REFERENCIA DECA LINK 1197.C OU EQUIVALENTE - FORNECIMENTO E INSTALAÇÃO</v>
      </c>
      <c r="E502" s="45" t="str">
        <f>IF(B502="MP-MT",VLOOKUP(C502,'COMPOSIÇÃO DE PREÇO UNITÁRIO'!A:H,8,FALSE),VLOOKUP(C502,'SINAPI_COMPOSIÇÕES 062020'!A:C,3,FALSE))</f>
        <v>UND</v>
      </c>
      <c r="F502" s="78">
        <v>20</v>
      </c>
      <c r="G502" s="79">
        <f>IF(B502="MP-MT",VLOOKUP(CONCATENATE("TOTAL DO ÍTEM - ",C502),'COMPOSIÇÃO DE PREÇO UNITÁRIO'!A:H,8,FALSE),VLOOKUP(C502,'SINAPI_COMPOSIÇÕES 062020'!A:D,4,FALSE))</f>
        <v>152.31</v>
      </c>
      <c r="H502" s="79">
        <f t="shared" si="116"/>
        <v>197.06</v>
      </c>
      <c r="I502" s="79">
        <f t="shared" si="117"/>
        <v>3941.2</v>
      </c>
    </row>
    <row r="503" spans="1:9" ht="38.25" outlineLevel="2" x14ac:dyDescent="0.2">
      <c r="A503" s="45" t="s">
        <v>13689</v>
      </c>
      <c r="B503" s="45" t="s">
        <v>194</v>
      </c>
      <c r="C503" s="45" t="s">
        <v>12027</v>
      </c>
      <c r="D503" s="44" t="str">
        <f>IF(B503="MP-MT",VLOOKUP(C503,'COMPOSIÇÃO DE PREÇO UNITÁRIO'!A:B,2,FALSE),VLOOKUP(C503,'SINAPI_COMPOSIÇÕES 062020'!A:B,2,FALSE))</f>
        <v>TORNEIRA EM METAL CROMADO, BICA ALTA, DE PAREDE, 1/2" OU 3/4", PARA PIA DE COZINHA, REF. DOCOL GALI OU EQUIVALENTE - FORNECIMENTO E INSTALAÇÃO</v>
      </c>
      <c r="E503" s="45" t="str">
        <f>IF(B503="MP-MT",VLOOKUP(C503,'COMPOSIÇÃO DE PREÇO UNITÁRIO'!A:H,8,FALSE),VLOOKUP(C503,'SINAPI_COMPOSIÇÕES 062020'!A:C,3,FALSE))</f>
        <v>UND</v>
      </c>
      <c r="F503" s="78">
        <v>2</v>
      </c>
      <c r="G503" s="79">
        <f>IF(B503="MP-MT",VLOOKUP(CONCATENATE("TOTAL DO ÍTEM - ",C503),'COMPOSIÇÃO DE PREÇO UNITÁRIO'!A:H,8,FALSE),VLOOKUP(C503,'SINAPI_COMPOSIÇÕES 062020'!A:D,4,FALSE))</f>
        <v>166.17</v>
      </c>
      <c r="H503" s="79">
        <f t="shared" ref="H503:H516" si="118">TRUNC(G503*(1+$F$1),2)</f>
        <v>214.99</v>
      </c>
      <c r="I503" s="79">
        <f t="shared" ref="I503:I516" si="119">TRUNC(H503*F503,2)</f>
        <v>429.98</v>
      </c>
    </row>
    <row r="504" spans="1:9" ht="25.5" outlineLevel="2" x14ac:dyDescent="0.2">
      <c r="A504" s="45" t="s">
        <v>13690</v>
      </c>
      <c r="B504" s="45" t="s">
        <v>194</v>
      </c>
      <c r="C504" s="45" t="s">
        <v>12036</v>
      </c>
      <c r="D504" s="44" t="str">
        <f>IF(B504="MP-MT",VLOOKUP(C504,'COMPOSIÇÃO DE PREÇO UNITÁRIO'!A:B,2,FALSE),VLOOKUP(C504,'SINAPI_COMPOSIÇÕES 062020'!A:B,2,FALSE))</f>
        <v>CHUVEIRO TIPO DUCHA, REF. LORENZETTI JET CONTROL ELETRÔNICA OU EQUIVALENTE - FORNECIMENTO E INSTALAÇÃO</v>
      </c>
      <c r="E504" s="45" t="str">
        <f>IF(B504="MP-MT",VLOOKUP(C504,'COMPOSIÇÃO DE PREÇO UNITÁRIO'!A:H,8,FALSE),VLOOKUP(C504,'SINAPI_COMPOSIÇÕES 062020'!A:C,3,FALSE))</f>
        <v>UND</v>
      </c>
      <c r="F504" s="78">
        <v>4</v>
      </c>
      <c r="G504" s="79">
        <f>IF(B504="MP-MT",VLOOKUP(CONCATENATE("TOTAL DO ÍTEM - ",C504),'COMPOSIÇÃO DE PREÇO UNITÁRIO'!A:H,8,FALSE),VLOOKUP(C504,'SINAPI_COMPOSIÇÕES 062020'!A:D,4,FALSE))</f>
        <v>210.54</v>
      </c>
      <c r="H504" s="79">
        <f t="shared" si="118"/>
        <v>272.39999999999998</v>
      </c>
      <c r="I504" s="79">
        <f t="shared" si="119"/>
        <v>1089.5999999999999</v>
      </c>
    </row>
    <row r="505" spans="1:9" ht="25.5" outlineLevel="2" x14ac:dyDescent="0.2">
      <c r="A505" s="45" t="s">
        <v>13691</v>
      </c>
      <c r="B505" s="45" t="s">
        <v>194</v>
      </c>
      <c r="C505" s="45" t="s">
        <v>12045</v>
      </c>
      <c r="D505" s="44" t="str">
        <f>IF(B505="MP-MT",VLOOKUP(C505,'COMPOSIÇÃO DE PREÇO UNITÁRIO'!A:B,2,FALSE),VLOOKUP(C505,'SINAPI_COMPOSIÇÕES 062020'!A:B,2,FALSE))</f>
        <v>DUCHA HIGIÊNICA COM REGISTRO E GATILHO, 1/2", EM METAL CROMADO, REF. DOCOL PERTUTTI OU EQUIVALENTE - FORNECIMENTO E INSTALAÇÃO</v>
      </c>
      <c r="E505" s="45" t="str">
        <f>IF(B505="MP-MT",VLOOKUP(C505,'COMPOSIÇÃO DE PREÇO UNITÁRIO'!A:H,8,FALSE),VLOOKUP(C505,'SINAPI_COMPOSIÇÕES 062020'!A:C,3,FALSE))</f>
        <v>UND</v>
      </c>
      <c r="F505" s="78">
        <v>1</v>
      </c>
      <c r="G505" s="79">
        <f>IF(B505="MP-MT",VLOOKUP(CONCATENATE("TOTAL DO ÍTEM - ",C505),'COMPOSIÇÃO DE PREÇO UNITÁRIO'!A:H,8,FALSE),VLOOKUP(C505,'SINAPI_COMPOSIÇÕES 062020'!A:D,4,FALSE))</f>
        <v>209.1</v>
      </c>
      <c r="H505" s="79">
        <f t="shared" si="118"/>
        <v>270.54000000000002</v>
      </c>
      <c r="I505" s="79">
        <f t="shared" si="119"/>
        <v>270.54000000000002</v>
      </c>
    </row>
    <row r="506" spans="1:9" ht="38.25" outlineLevel="2" x14ac:dyDescent="0.2">
      <c r="A506" s="45" t="s">
        <v>13692</v>
      </c>
      <c r="B506" s="45" t="s">
        <v>194</v>
      </c>
      <c r="C506" s="45" t="s">
        <v>12050</v>
      </c>
      <c r="D506" s="44" t="str">
        <f>IF(B506="MP-MT",VLOOKUP(C506,'COMPOSIÇÃO DE PREÇO UNITÁRIO'!A:B,2,FALSE),VLOOKUP(C506,'SINAPI_COMPOSIÇÕES 062020'!A:B,2,FALSE))</f>
        <v>INSTALAÇÃO DEDUCHA HIGIÊNICA COM REGISTRO E GATILHO, 1/2", EM METAL CROMADO, REF. DOCOL PERTUTTI - CONSIDERANDO REAPROVEITAMENTO DO MATERIAL</v>
      </c>
      <c r="E506" s="45" t="str">
        <f>IF(B506="MP-MT",VLOOKUP(C506,'COMPOSIÇÃO DE PREÇO UNITÁRIO'!A:H,8,FALSE),VLOOKUP(C506,'SINAPI_COMPOSIÇÕES 062020'!A:C,3,FALSE))</f>
        <v>UND</v>
      </c>
      <c r="F506" s="78">
        <v>1</v>
      </c>
      <c r="G506" s="79">
        <f>IF(B506="MP-MT",VLOOKUP(CONCATENATE("TOTAL DO ÍTEM - ",C506),'COMPOSIÇÃO DE PREÇO UNITÁRIO'!A:H,8,FALSE),VLOOKUP(C506,'SINAPI_COMPOSIÇÕES 062020'!A:D,4,FALSE))</f>
        <v>15.45</v>
      </c>
      <c r="H506" s="79">
        <f t="shared" ref="H506" si="120">TRUNC(G506*(1+$F$1),2)</f>
        <v>19.98</v>
      </c>
      <c r="I506" s="79">
        <f t="shared" ref="I506" si="121">TRUNC(H506*F506,2)</f>
        <v>19.98</v>
      </c>
    </row>
    <row r="507" spans="1:9" ht="25.5" outlineLevel="2" x14ac:dyDescent="0.2">
      <c r="A507" s="45" t="s">
        <v>13693</v>
      </c>
      <c r="B507" s="45" t="s">
        <v>9</v>
      </c>
      <c r="C507" s="45">
        <v>86879</v>
      </c>
      <c r="D507" s="44" t="str">
        <f>IF(B507="MP-MT",VLOOKUP(C507,'COMPOSIÇÃO DE PREÇO UNITÁRIO'!A:B,2,FALSE),VLOOKUP(C507,'SINAPI_COMPOSIÇÕES 062020'!A:B,2,FALSE))</f>
        <v>VÁLVULA EM PLÁSTICO 1 PARA PIA, TANQUE OU LAVATÓRIO, COM OU SEM LADRÃO - FORNECIMENTO E INSTALAÇÃO. AF_01/2020</v>
      </c>
      <c r="E507" s="45" t="str">
        <f>IF(B507="MP-MT",VLOOKUP(C507,'COMPOSIÇÃO DE PREÇO UNITÁRIO'!A:H,8,FALSE),VLOOKUP(C507,'SINAPI_COMPOSIÇÕES 062020'!A:C,3,FALSE))</f>
        <v>UN</v>
      </c>
      <c r="F507" s="78">
        <v>2</v>
      </c>
      <c r="G507" s="79">
        <f>IF(B507="MP-MT",VLOOKUP(CONCATENATE("TOTAL DO ÍTEM - ",C507),'COMPOSIÇÃO DE PREÇO UNITÁRIO'!A:H,8,FALSE),VLOOKUP(C507,'SINAPI_COMPOSIÇÕES 062020'!A:D,4,FALSE))</f>
        <v>5.76</v>
      </c>
      <c r="H507" s="79">
        <f t="shared" si="118"/>
        <v>7.45</v>
      </c>
      <c r="I507" s="79">
        <f t="shared" si="119"/>
        <v>14.9</v>
      </c>
    </row>
    <row r="508" spans="1:9" ht="25.5" outlineLevel="2" x14ac:dyDescent="0.2">
      <c r="A508" s="45" t="s">
        <v>13694</v>
      </c>
      <c r="B508" s="45" t="s">
        <v>9</v>
      </c>
      <c r="C508" s="45">
        <v>86878</v>
      </c>
      <c r="D508" s="44" t="str">
        <f>IF(B508="MP-MT",VLOOKUP(C508,'COMPOSIÇÃO DE PREÇO UNITÁRIO'!A:B,2,FALSE),VLOOKUP(C508,'SINAPI_COMPOSIÇÕES 062020'!A:B,2,FALSE))</f>
        <v>VÁLVULA EM METAL CROMADO TIPO AMERICANA 3.1/2 X 1.1/2 PARA PIA - FORNECIMENTO E INSTALAÇÃO. AF_01/2020</v>
      </c>
      <c r="E508" s="45" t="str">
        <f>IF(B508="MP-MT",VLOOKUP(C508,'COMPOSIÇÃO DE PREÇO UNITÁRIO'!A:H,8,FALSE),VLOOKUP(C508,'SINAPI_COMPOSIÇÕES 062020'!A:C,3,FALSE))</f>
        <v>UN</v>
      </c>
      <c r="F508" s="78">
        <v>2</v>
      </c>
      <c r="G508" s="79">
        <f>IF(B508="MP-MT",VLOOKUP(CONCATENATE("TOTAL DO ÍTEM - ",C508),'COMPOSIÇÃO DE PREÇO UNITÁRIO'!A:H,8,FALSE),VLOOKUP(C508,'SINAPI_COMPOSIÇÕES 062020'!A:D,4,FALSE))</f>
        <v>55.17</v>
      </c>
      <c r="H508" s="79">
        <f t="shared" si="118"/>
        <v>71.38</v>
      </c>
      <c r="I508" s="79">
        <f t="shared" si="119"/>
        <v>142.76</v>
      </c>
    </row>
    <row r="509" spans="1:9" ht="25.5" outlineLevel="2" x14ac:dyDescent="0.2">
      <c r="A509" s="45" t="s">
        <v>13695</v>
      </c>
      <c r="B509" s="45" t="s">
        <v>9</v>
      </c>
      <c r="C509" s="45">
        <v>86877</v>
      </c>
      <c r="D509" s="44" t="str">
        <f>IF(B509="MP-MT",VLOOKUP(C509,'COMPOSIÇÃO DE PREÇO UNITÁRIO'!A:B,2,FALSE),VLOOKUP(C509,'SINAPI_COMPOSIÇÕES 062020'!A:B,2,FALSE))</f>
        <v>VÁLVULA EM METAL CROMADO 1.1/2 X 1.1/2 PARA TANQUE OU LAVATÓRIO, COM OU SEM LADRÃO - FORNECIMENTO E INSTALAÇÃO. AF_01/2020</v>
      </c>
      <c r="E509" s="45" t="str">
        <f>IF(B509="MP-MT",VLOOKUP(C509,'COMPOSIÇÃO DE PREÇO UNITÁRIO'!A:H,8,FALSE),VLOOKUP(C509,'SINAPI_COMPOSIÇÕES 062020'!A:C,3,FALSE))</f>
        <v>UN</v>
      </c>
      <c r="F509" s="78">
        <v>20</v>
      </c>
      <c r="G509" s="79">
        <f>IF(B509="MP-MT",VLOOKUP(CONCATENATE("TOTAL DO ÍTEM - ",C509),'COMPOSIÇÃO DE PREÇO UNITÁRIO'!A:H,8,FALSE),VLOOKUP(C509,'SINAPI_COMPOSIÇÕES 062020'!A:D,4,FALSE))</f>
        <v>25.53</v>
      </c>
      <c r="H509" s="79">
        <f t="shared" si="118"/>
        <v>33.03</v>
      </c>
      <c r="I509" s="79">
        <f t="shared" si="119"/>
        <v>660.6</v>
      </c>
    </row>
    <row r="510" spans="1:9" ht="38.25" outlineLevel="2" x14ac:dyDescent="0.2">
      <c r="A510" s="45" t="s">
        <v>13696</v>
      </c>
      <c r="B510" s="45" t="s">
        <v>194</v>
      </c>
      <c r="C510" s="45" t="s">
        <v>12062</v>
      </c>
      <c r="D510" s="44" t="str">
        <f>IF(B510="MP-MT",VLOOKUP(C510,'COMPOSIÇÃO DE PREÇO UNITÁRIO'!A:B,2,FALSE),VLOOKUP(C510,'SINAPI_COMPOSIÇÕES 062020'!A:B,2,FALSE))</f>
        <v>BANCADA EM GRANITO PRETO SÃO GRABRIEL POLIDO, ESP. 20MM, DIMENSÕES 0,60 X 2,20 M, PARA 3 CUBAS DE EMBUTIR, CONFORME DETALHAMENTO EM PROJETO - FORNECIMENTO E INSTALAÇÃO</v>
      </c>
      <c r="E510" s="45" t="str">
        <f>IF(B510="MP-MT",VLOOKUP(C510,'COMPOSIÇÃO DE PREÇO UNITÁRIO'!A:H,8,FALSE),VLOOKUP(C510,'SINAPI_COMPOSIÇÕES 062020'!A:C,3,FALSE))</f>
        <v>UND</v>
      </c>
      <c r="F510" s="78">
        <v>2</v>
      </c>
      <c r="G510" s="79">
        <f>IF(B510="MP-MT",VLOOKUP(CONCATENATE("TOTAL DO ÍTEM - ",C510),'COMPOSIÇÃO DE PREÇO UNITÁRIO'!A:H,8,FALSE),VLOOKUP(C510,'SINAPI_COMPOSIÇÕES 062020'!A:D,4,FALSE))</f>
        <v>1777.6</v>
      </c>
      <c r="H510" s="79">
        <f t="shared" si="118"/>
        <v>2299.94</v>
      </c>
      <c r="I510" s="79">
        <f t="shared" si="119"/>
        <v>4599.88</v>
      </c>
    </row>
    <row r="511" spans="1:9" ht="38.25" outlineLevel="2" x14ac:dyDescent="0.2">
      <c r="A511" s="45" t="s">
        <v>13697</v>
      </c>
      <c r="B511" s="45" t="s">
        <v>194</v>
      </c>
      <c r="C511" s="45" t="s">
        <v>12067</v>
      </c>
      <c r="D511" s="44" t="str">
        <f>IF(B511="MP-MT",VLOOKUP(C511,'COMPOSIÇÃO DE PREÇO UNITÁRIO'!A:B,2,FALSE),VLOOKUP(C511,'SINAPI_COMPOSIÇÕES 062020'!A:B,2,FALSE))</f>
        <v>BANCADA EM GRANITO PRETO SÃO GRABRIEL POLIDO, ESP. 20MM, DIMENSÕES 0,60 X 2,45 M, PARA 4 CUBAS DE EMBUTIR, CONFORME DETALHAMENTO EM PROJETO - FORNECIMENTO E INSTALAÇÃO</v>
      </c>
      <c r="E511" s="45" t="str">
        <f>IF(B511="MP-MT",VLOOKUP(C511,'COMPOSIÇÃO DE PREÇO UNITÁRIO'!A:H,8,FALSE),VLOOKUP(C511,'SINAPI_COMPOSIÇÕES 062020'!A:C,3,FALSE))</f>
        <v>UND</v>
      </c>
      <c r="F511" s="78">
        <v>2</v>
      </c>
      <c r="G511" s="79">
        <f>IF(B511="MP-MT",VLOOKUP(CONCATENATE("TOTAL DO ÍTEM - ",C511),'COMPOSIÇÃO DE PREÇO UNITÁRIO'!A:H,8,FALSE),VLOOKUP(C511,'SINAPI_COMPOSIÇÕES 062020'!A:D,4,FALSE))</f>
        <v>1994.36</v>
      </c>
      <c r="H511" s="79">
        <f t="shared" si="118"/>
        <v>2580.4</v>
      </c>
      <c r="I511" s="79">
        <f t="shared" si="119"/>
        <v>5160.8</v>
      </c>
    </row>
    <row r="512" spans="1:9" ht="38.25" outlineLevel="2" x14ac:dyDescent="0.2">
      <c r="A512" s="45" t="s">
        <v>13698</v>
      </c>
      <c r="B512" s="45" t="s">
        <v>194</v>
      </c>
      <c r="C512" s="45" t="s">
        <v>12068</v>
      </c>
      <c r="D512" s="44" t="str">
        <f>IF(B512="MP-MT",VLOOKUP(C512,'COMPOSIÇÃO DE PREÇO UNITÁRIO'!A:B,2,FALSE),VLOOKUP(C512,'SINAPI_COMPOSIÇÕES 062020'!A:B,2,FALSE))</f>
        <v>BANCADA PARA PIA EM GRANITO PRETO SÃO GRABRIEL POLIDO, ESP. 20MM, DIMENSÕES 0,60 X 1,30 M, PARA 1 CUBA EMBUTIR, CONFORME DETALHAMENTO EM PROJETO - FORNECIMENTO E INSTALAÇÃO</v>
      </c>
      <c r="E512" s="45" t="str">
        <f>IF(B512="MP-MT",VLOOKUP(C512,'COMPOSIÇÃO DE PREÇO UNITÁRIO'!A:H,8,FALSE),VLOOKUP(C512,'SINAPI_COMPOSIÇÕES 062020'!A:C,3,FALSE))</f>
        <v>UND</v>
      </c>
      <c r="F512" s="78">
        <v>1</v>
      </c>
      <c r="G512" s="79">
        <f>IF(B512="MP-MT",VLOOKUP(CONCATENATE("TOTAL DO ÍTEM - ",C512),'COMPOSIÇÃO DE PREÇO UNITÁRIO'!A:H,8,FALSE),VLOOKUP(C512,'SINAPI_COMPOSIÇÕES 062020'!A:D,4,FALSE))</f>
        <v>790.93</v>
      </c>
      <c r="H512" s="79">
        <f t="shared" si="118"/>
        <v>1023.34</v>
      </c>
      <c r="I512" s="79">
        <f t="shared" si="119"/>
        <v>1023.34</v>
      </c>
    </row>
    <row r="513" spans="1:9" ht="38.25" outlineLevel="2" x14ac:dyDescent="0.2">
      <c r="A513" s="45" t="s">
        <v>13699</v>
      </c>
      <c r="B513" s="45" t="s">
        <v>194</v>
      </c>
      <c r="C513" s="45" t="s">
        <v>12070</v>
      </c>
      <c r="D513" s="44" t="str">
        <f>IF(B513="MP-MT",VLOOKUP(C513,'COMPOSIÇÃO DE PREÇO UNITÁRIO'!A:B,2,FALSE),VLOOKUP(C513,'SINAPI_COMPOSIÇÕES 062020'!A:B,2,FALSE))</f>
        <v>BANCADA PARA PIA EM GRANITO PRETO SÃO GRABRIEL POLIDO, ESP. 20MM, DIMENSÕES 0,60 X 2,05 M, PARA 1 CUBA EMBUTIR, CONFORME DETALHAMENTO EM PROJETO - FORNECIMENTO E INSTALAÇÃO</v>
      </c>
      <c r="E513" s="45" t="str">
        <f>IF(B513="MP-MT",VLOOKUP(C513,'COMPOSIÇÃO DE PREÇO UNITÁRIO'!A:H,8,FALSE),VLOOKUP(C513,'SINAPI_COMPOSIÇÕES 062020'!A:C,3,FALSE))</f>
        <v>UND</v>
      </c>
      <c r="F513" s="78">
        <v>1</v>
      </c>
      <c r="G513" s="79">
        <f>IF(B513="MP-MT",VLOOKUP(CONCATENATE("TOTAL DO ÍTEM - ",C513),'COMPOSIÇÃO DE PREÇO UNITÁRIO'!A:H,8,FALSE),VLOOKUP(C513,'SINAPI_COMPOSIÇÕES 062020'!A:D,4,FALSE))</f>
        <v>1165.5899999999999</v>
      </c>
      <c r="H513" s="79">
        <f t="shared" si="118"/>
        <v>1508.09</v>
      </c>
      <c r="I513" s="79">
        <f t="shared" si="119"/>
        <v>1508.09</v>
      </c>
    </row>
    <row r="514" spans="1:9" ht="38.25" outlineLevel="2" x14ac:dyDescent="0.2">
      <c r="A514" s="45" t="s">
        <v>13700</v>
      </c>
      <c r="B514" s="45" t="s">
        <v>194</v>
      </c>
      <c r="C514" s="45" t="s">
        <v>12072</v>
      </c>
      <c r="D514" s="44" t="str">
        <f>IF(B514="MP-MT",VLOOKUP(C514,'COMPOSIÇÃO DE PREÇO UNITÁRIO'!A:B,2,FALSE),VLOOKUP(C514,'SINAPI_COMPOSIÇÕES 062020'!A:B,2,FALSE))</f>
        <v>TAMPO EM GRANITO PRETO SÃO GRABRIEL POLIDO, ESP. 20MM, DIMENSÕES 0,50 X 1,50 M, CONFORME DETALHAMENTO EM PROJETO - FORNECIMENTO E INSTALAÇÃO</v>
      </c>
      <c r="E514" s="45" t="str">
        <f>IF(B514="MP-MT",VLOOKUP(C514,'COMPOSIÇÃO DE PREÇO UNITÁRIO'!A:H,8,FALSE),VLOOKUP(C514,'SINAPI_COMPOSIÇÕES 062020'!A:C,3,FALSE))</f>
        <v>UND</v>
      </c>
      <c r="F514" s="78">
        <v>2</v>
      </c>
      <c r="G514" s="79">
        <f>IF(B514="MP-MT",VLOOKUP(CONCATENATE("TOTAL DO ÍTEM - ",C514),'COMPOSIÇÃO DE PREÇO UNITÁRIO'!A:H,8,FALSE),VLOOKUP(C514,'SINAPI_COMPOSIÇÕES 062020'!A:D,4,FALSE))</f>
        <v>556</v>
      </c>
      <c r="H514" s="79">
        <f t="shared" si="118"/>
        <v>719.38</v>
      </c>
      <c r="I514" s="79">
        <f t="shared" si="119"/>
        <v>1438.76</v>
      </c>
    </row>
    <row r="515" spans="1:9" ht="38.25" outlineLevel="2" x14ac:dyDescent="0.2">
      <c r="A515" s="45" t="s">
        <v>13701</v>
      </c>
      <c r="B515" s="45" t="s">
        <v>194</v>
      </c>
      <c r="C515" s="45" t="s">
        <v>12074</v>
      </c>
      <c r="D515" s="44" t="str">
        <f>IF(B515="MP-MT",VLOOKUP(C515,'COMPOSIÇÃO DE PREÇO UNITÁRIO'!A:B,2,FALSE),VLOOKUP(C515,'SINAPI_COMPOSIÇÕES 062020'!A:B,2,FALSE))</f>
        <v>TAMPO EM GRANITO PRETO SÃO GRABRIEL POLIDO, ESP. 20MM, DIMENSÕES 0,50 X 2,55 M, CONFORME DETALHAMENTO EM PROJETO - FORNECIMENTO E INSTALAÇÃO</v>
      </c>
      <c r="E515" s="45" t="str">
        <f>IF(B515="MP-MT",VLOOKUP(C515,'COMPOSIÇÃO DE PREÇO UNITÁRIO'!A:H,8,FALSE),VLOOKUP(C515,'SINAPI_COMPOSIÇÕES 062020'!A:C,3,FALSE))</f>
        <v>UND</v>
      </c>
      <c r="F515" s="78">
        <v>2</v>
      </c>
      <c r="G515" s="79">
        <f>IF(B515="MP-MT",VLOOKUP(CONCATENATE("TOTAL DO ÍTEM - ",C515),'COMPOSIÇÃO DE PREÇO UNITÁRIO'!A:H,8,FALSE),VLOOKUP(C515,'SINAPI_COMPOSIÇÕES 062020'!A:D,4,FALSE))</f>
        <v>943.06</v>
      </c>
      <c r="H515" s="79">
        <f t="shared" si="118"/>
        <v>1220.17</v>
      </c>
      <c r="I515" s="79">
        <f t="shared" si="119"/>
        <v>2440.34</v>
      </c>
    </row>
    <row r="516" spans="1:9" ht="25.5" outlineLevel="2" x14ac:dyDescent="0.2">
      <c r="A516" s="45" t="s">
        <v>13702</v>
      </c>
      <c r="B516" s="45" t="s">
        <v>9</v>
      </c>
      <c r="C516" s="45">
        <v>86901</v>
      </c>
      <c r="D516" s="44" t="str">
        <f>IF(B516="MP-MT",VLOOKUP(C516,'COMPOSIÇÃO DE PREÇO UNITÁRIO'!A:B,2,FALSE),VLOOKUP(C516,'SINAPI_COMPOSIÇÕES 062020'!A:B,2,FALSE))</f>
        <v>CUBA DE EMBUTIR OVAL EM LOUÇA BRANCA, 35 X 50CM OU EQUIVALENTE - FORNECIMENTO E INSTALAÇÃO. AF_01/2020</v>
      </c>
      <c r="E516" s="45" t="str">
        <f>IF(B516="MP-MT",VLOOKUP(C516,'COMPOSIÇÃO DE PREÇO UNITÁRIO'!A:H,8,FALSE),VLOOKUP(C516,'SINAPI_COMPOSIÇÕES 062020'!A:C,3,FALSE))</f>
        <v>UN</v>
      </c>
      <c r="F516" s="78">
        <v>14</v>
      </c>
      <c r="G516" s="79">
        <f>IF(B516="MP-MT",VLOOKUP(CONCATENATE("TOTAL DO ÍTEM - ",C516),'COMPOSIÇÃO DE PREÇO UNITÁRIO'!A:H,8,FALSE),VLOOKUP(C516,'SINAPI_COMPOSIÇÕES 062020'!A:D,4,FALSE))</f>
        <v>107.42</v>
      </c>
      <c r="H516" s="79">
        <f t="shared" si="118"/>
        <v>138.97999999999999</v>
      </c>
      <c r="I516" s="79">
        <f t="shared" si="119"/>
        <v>1945.72</v>
      </c>
    </row>
    <row r="517" spans="1:9" ht="25.5" outlineLevel="2" x14ac:dyDescent="0.2">
      <c r="A517" s="45" t="s">
        <v>13703</v>
      </c>
      <c r="B517" s="45" t="s">
        <v>9</v>
      </c>
      <c r="C517" s="45">
        <v>86900</v>
      </c>
      <c r="D517" s="44" t="str">
        <f>IF(B517="MP-MT",VLOOKUP(C517,'COMPOSIÇÃO DE PREÇO UNITÁRIO'!A:B,2,FALSE),VLOOKUP(C517,'SINAPI_COMPOSIÇÕES 062020'!A:B,2,FALSE))</f>
        <v>CUBA DE EMBUTIR RETANGULAR DE AÇO INOXIDÁVEL, 46 X 30 X 12 CM - FORNECIMENTO E INSTALAÇÃO. AF_01/2020</v>
      </c>
      <c r="E517" s="45" t="str">
        <f>IF(B517="MP-MT",VLOOKUP(C517,'COMPOSIÇÃO DE PREÇO UNITÁRIO'!A:H,8,FALSE),VLOOKUP(C517,'SINAPI_COMPOSIÇÕES 062020'!A:C,3,FALSE))</f>
        <v>UN</v>
      </c>
      <c r="F517" s="78">
        <v>2</v>
      </c>
      <c r="G517" s="79">
        <f>IF(B517="MP-MT",VLOOKUP(CONCATENATE("TOTAL DO ÍTEM - ",C517),'COMPOSIÇÃO DE PREÇO UNITÁRIO'!A:H,8,FALSE),VLOOKUP(C517,'SINAPI_COMPOSIÇÕES 062020'!A:D,4,FALSE))</f>
        <v>154.68</v>
      </c>
      <c r="H517" s="79">
        <f t="shared" si="116"/>
        <v>200.13</v>
      </c>
      <c r="I517" s="79">
        <f t="shared" si="117"/>
        <v>400.26</v>
      </c>
    </row>
    <row r="518" spans="1:9" ht="25.5" outlineLevel="2" x14ac:dyDescent="0.2">
      <c r="A518" s="45" t="s">
        <v>13704</v>
      </c>
      <c r="B518" s="45" t="s">
        <v>194</v>
      </c>
      <c r="C518" s="45" t="s">
        <v>12693</v>
      </c>
      <c r="D518" s="44" t="str">
        <f>IF(B518="MP-MT",VLOOKUP(C518,'COMPOSIÇÃO DE PREÇO UNITÁRIO'!A:B,2,FALSE),VLOOKUP(C518,'SINAPI_COMPOSIÇÕES 062020'!A:B,2,FALSE))</f>
        <v>FORNECIMENTO E INSTALAÇÃO DE CUBA QUADRADA DE SEMI-ENCAIXE, LOUÇA BRANCA, REF. DECA COD. L.873.17 OU EQUIVALENTE</v>
      </c>
      <c r="E518" s="45" t="str">
        <f>IF(B518="MP-MT",VLOOKUP(C518,'COMPOSIÇÃO DE PREÇO UNITÁRIO'!A:H,8,FALSE),VLOOKUP(C518,'SINAPI_COMPOSIÇÕES 062020'!A:C,3,FALSE))</f>
        <v>UND</v>
      </c>
      <c r="F518" s="78">
        <v>2</v>
      </c>
      <c r="G518" s="79">
        <f>IF(B518="MP-MT",VLOOKUP(CONCATENATE("TOTAL DO ÍTEM - ",C518),'COMPOSIÇÃO DE PREÇO UNITÁRIO'!A:H,8,FALSE),VLOOKUP(C518,'SINAPI_COMPOSIÇÕES 062020'!A:D,4,FALSE))</f>
        <v>1707.44</v>
      </c>
      <c r="H518" s="79">
        <f t="shared" si="116"/>
        <v>2209.17</v>
      </c>
      <c r="I518" s="79">
        <f t="shared" si="117"/>
        <v>4418.34</v>
      </c>
    </row>
    <row r="519" spans="1:9" outlineLevel="1" x14ac:dyDescent="0.2">
      <c r="A519" s="76"/>
      <c r="B519" s="76"/>
      <c r="C519" s="76"/>
      <c r="D519" s="91" t="str">
        <f>CONCATENATE("TOTAL DO ITEM - ",A495)</f>
        <v>TOTAL DO ITEM - 23.0</v>
      </c>
      <c r="E519" s="76"/>
      <c r="F519" s="92"/>
      <c r="G519" s="93"/>
      <c r="H519" s="93"/>
      <c r="I519" s="93">
        <f>SUM(I496:I518)</f>
        <v>67627.53</v>
      </c>
    </row>
    <row r="520" spans="1:9" outlineLevel="1" x14ac:dyDescent="0.2">
      <c r="A520" s="87" t="s">
        <v>694</v>
      </c>
      <c r="B520" s="87"/>
      <c r="C520" s="87"/>
      <c r="D520" s="88" t="s">
        <v>12095</v>
      </c>
      <c r="E520" s="87"/>
      <c r="F520" s="89"/>
      <c r="G520" s="90"/>
      <c r="H520" s="90"/>
      <c r="I520" s="90"/>
    </row>
    <row r="521" spans="1:9" ht="25.5" outlineLevel="2" x14ac:dyDescent="0.2">
      <c r="A521" s="45" t="s">
        <v>13705</v>
      </c>
      <c r="B521" s="45" t="s">
        <v>194</v>
      </c>
      <c r="C521" s="45" t="s">
        <v>12096</v>
      </c>
      <c r="D521" s="44" t="str">
        <f>IF(B521="MP-MT",VLOOKUP(C521,'COMPOSIÇÃO DE PREÇO UNITÁRIO'!A:B,2,FALSE),VLOOKUP(C521,'SINAPI_COMPOSIÇÕES 062020'!A:B,2,FALSE))</f>
        <v>FORNECIMENTO E INSTALAÇÃO DE BARRA DE APOIO RETA, EM INOX, PARA PORTADORES DE NECESSIDADES ESPECIAIS, LASGURA 70CM</v>
      </c>
      <c r="E521" s="45" t="str">
        <f>IF(B521="MP-MT",VLOOKUP(C521,'COMPOSIÇÃO DE PREÇO UNITÁRIO'!A:H,8,FALSE),VLOOKUP(C521,'SINAPI_COMPOSIÇÕES 062020'!A:C,3,FALSE))</f>
        <v>UND</v>
      </c>
      <c r="F521" s="78">
        <v>4</v>
      </c>
      <c r="G521" s="79">
        <f>IF(B521="MP-MT",VLOOKUP(CONCATENATE("TOTAL DO ÍTEM - ",C521),'COMPOSIÇÃO DE PREÇO UNITÁRIO'!A:H,8,FALSE),VLOOKUP(C521,'SINAPI_COMPOSIÇÕES 062020'!A:D,4,FALSE))</f>
        <v>261.76</v>
      </c>
      <c r="H521" s="79">
        <f t="shared" ref="H521:H522" si="122">TRUNC(G521*(1+$F$1),2)</f>
        <v>338.67</v>
      </c>
      <c r="I521" s="79">
        <f t="shared" ref="I521:I522" si="123">TRUNC(H521*F521,2)</f>
        <v>1354.68</v>
      </c>
    </row>
    <row r="522" spans="1:9" ht="25.5" outlineLevel="2" x14ac:dyDescent="0.2">
      <c r="A522" s="45" t="s">
        <v>13708</v>
      </c>
      <c r="B522" s="45" t="s">
        <v>194</v>
      </c>
      <c r="C522" s="45" t="s">
        <v>12100</v>
      </c>
      <c r="D522" s="44" t="str">
        <f>IF(B522="MP-MT",VLOOKUP(C522,'COMPOSIÇÃO DE PREÇO UNITÁRIO'!A:B,2,FALSE),VLOOKUP(C522,'SINAPI_COMPOSIÇÕES 062020'!A:B,2,FALSE))</f>
        <v>FORNECIMENTO E INSTALAÇÃO DE BARRA DE APOIO RETA, EM INOX, PARA PORTADORES DE NECESSIDADES ESPECIAIS, LASGURA 80CM</v>
      </c>
      <c r="E522" s="45" t="str">
        <f>IF(B522="MP-MT",VLOOKUP(C522,'COMPOSIÇÃO DE PREÇO UNITÁRIO'!A:H,8,FALSE),VLOOKUP(C522,'SINAPI_COMPOSIÇÕES 062020'!A:C,3,FALSE))</f>
        <v>UND</v>
      </c>
      <c r="F522" s="78">
        <v>6</v>
      </c>
      <c r="G522" s="79">
        <f>IF(B522="MP-MT",VLOOKUP(CONCATENATE("TOTAL DO ÍTEM - ",C522),'COMPOSIÇÃO DE PREÇO UNITÁRIO'!A:H,8,FALSE),VLOOKUP(C522,'SINAPI_COMPOSIÇÕES 062020'!A:D,4,FALSE))</f>
        <v>276.86</v>
      </c>
      <c r="H522" s="79">
        <f t="shared" si="122"/>
        <v>358.21</v>
      </c>
      <c r="I522" s="79">
        <f t="shared" si="123"/>
        <v>2149.2600000000002</v>
      </c>
    </row>
    <row r="523" spans="1:9" ht="25.5" outlineLevel="2" x14ac:dyDescent="0.2">
      <c r="A523" s="45" t="s">
        <v>13709</v>
      </c>
      <c r="B523" s="45" t="s">
        <v>194</v>
      </c>
      <c r="C523" s="45" t="s">
        <v>12102</v>
      </c>
      <c r="D523" s="44" t="str">
        <f>IF(B523="MP-MT",VLOOKUP(C523,'COMPOSIÇÃO DE PREÇO UNITÁRIO'!A:B,2,FALSE),VLOOKUP(C523,'SINAPI_COMPOSIÇÕES 062020'!A:B,2,FALSE))</f>
        <v>FORNECIMENTO E INSTALAÇÃO DE BARRA DE APOIO RETA, EM INOX, PARA PORTADORES DE NECESSIDADES ESPECIAIS, LARGURA 40CM</v>
      </c>
      <c r="E523" s="45" t="str">
        <f>IF(B523="MP-MT",VLOOKUP(C523,'COMPOSIÇÃO DE PREÇO UNITÁRIO'!A:H,8,FALSE),VLOOKUP(C523,'SINAPI_COMPOSIÇÕES 062020'!A:C,3,FALSE))</f>
        <v>UND</v>
      </c>
      <c r="F523" s="78">
        <v>8</v>
      </c>
      <c r="G523" s="79">
        <f>IF(B523="MP-MT",VLOOKUP(CONCATENATE("TOTAL DO ÍTEM - ",C523),'COMPOSIÇÃO DE PREÇO UNITÁRIO'!A:H,8,FALSE),VLOOKUP(C523,'SINAPI_COMPOSIÇÕES 062020'!A:D,4,FALSE))</f>
        <v>179.68</v>
      </c>
      <c r="H523" s="79">
        <f t="shared" ref="H523:H532" si="124">TRUNC(G523*(1+$F$1),2)</f>
        <v>232.47</v>
      </c>
      <c r="I523" s="79">
        <f t="shared" ref="I523:I532" si="125">TRUNC(H523*F523,2)</f>
        <v>1859.76</v>
      </c>
    </row>
    <row r="524" spans="1:9" ht="25.5" outlineLevel="2" x14ac:dyDescent="0.2">
      <c r="A524" s="45" t="s">
        <v>13710</v>
      </c>
      <c r="B524" s="45" t="s">
        <v>9</v>
      </c>
      <c r="C524" s="45">
        <v>95547</v>
      </c>
      <c r="D524" s="44" t="str">
        <f>IF(B524="MP-MT",VLOOKUP(C524,'COMPOSIÇÃO DE PREÇO UNITÁRIO'!A:B,2,FALSE),VLOOKUP(C524,'SINAPI_COMPOSIÇÕES 062020'!A:B,2,FALSE))</f>
        <v>SABONETEIRA PLASTICA TIPO DISPENSER PARA SABONETE LIQUIDO COM RESERVATORIO 800 A 1500 ML, INCLUSO FIXAÇÃO. AF_01/2020</v>
      </c>
      <c r="E524" s="45" t="str">
        <f>IF(B524="MP-MT",VLOOKUP(C524,'COMPOSIÇÃO DE PREÇO UNITÁRIO'!A:H,8,FALSE),VLOOKUP(C524,'SINAPI_COMPOSIÇÕES 062020'!A:C,3,FALSE))</f>
        <v>UN</v>
      </c>
      <c r="F524" s="78">
        <v>16</v>
      </c>
      <c r="G524" s="79">
        <f>IF(B524="MP-MT",VLOOKUP(CONCATENATE("TOTAL DO ÍTEM - ",C524),'COMPOSIÇÃO DE PREÇO UNITÁRIO'!A:H,8,FALSE),VLOOKUP(C524,'SINAPI_COMPOSIÇÕES 062020'!A:D,4,FALSE))</f>
        <v>53.3</v>
      </c>
      <c r="H524" s="79">
        <f t="shared" si="124"/>
        <v>68.959999999999994</v>
      </c>
      <c r="I524" s="79">
        <f t="shared" si="125"/>
        <v>1103.3599999999999</v>
      </c>
    </row>
    <row r="525" spans="1:9" ht="25.5" outlineLevel="2" x14ac:dyDescent="0.2">
      <c r="A525" s="45" t="s">
        <v>13711</v>
      </c>
      <c r="B525" s="45" t="s">
        <v>194</v>
      </c>
      <c r="C525" s="45" t="s">
        <v>12112</v>
      </c>
      <c r="D525" s="44" t="str">
        <f>IF(B525="MP-MT",VLOOKUP(C525,'COMPOSIÇÃO DE PREÇO UNITÁRIO'!A:B,2,FALSE),VLOOKUP(C525,'SINAPI_COMPOSIÇÕES 062020'!A:B,2,FALSE))</f>
        <v>FORNECIMENTO E INSTALAÇÃO DE PAPELEIRA PLASTICA TIPO DISPENSER PARA PAPEL HIGIENICO ROLAO</v>
      </c>
      <c r="E525" s="45" t="str">
        <f>IF(B525="MP-MT",VLOOKUP(C525,'COMPOSIÇÃO DE PREÇO UNITÁRIO'!A:H,8,FALSE),VLOOKUP(C525,'SINAPI_COMPOSIÇÕES 062020'!A:C,3,FALSE))</f>
        <v>UND</v>
      </c>
      <c r="F525" s="78">
        <v>18</v>
      </c>
      <c r="G525" s="79">
        <f>IF(B525="MP-MT",VLOOKUP(CONCATENATE("TOTAL DO ÍTEM - ",C525),'COMPOSIÇÃO DE PREÇO UNITÁRIO'!A:H,8,FALSE),VLOOKUP(C525,'SINAPI_COMPOSIÇÕES 062020'!A:D,4,FALSE))</f>
        <v>50.3</v>
      </c>
      <c r="H525" s="79">
        <f t="shared" si="124"/>
        <v>65.08</v>
      </c>
      <c r="I525" s="79">
        <f t="shared" si="125"/>
        <v>1171.44</v>
      </c>
    </row>
    <row r="526" spans="1:9" outlineLevel="2" x14ac:dyDescent="0.2">
      <c r="A526" s="45" t="s">
        <v>13712</v>
      </c>
      <c r="B526" s="45" t="s">
        <v>194</v>
      </c>
      <c r="C526" s="45" t="s">
        <v>12116</v>
      </c>
      <c r="D526" s="44" t="str">
        <f>IF(B526="MP-MT",VLOOKUP(C526,'COMPOSIÇÃO DE PREÇO UNITÁRIO'!A:B,2,FALSE),VLOOKUP(C526,'SINAPI_COMPOSIÇÕES 062020'!A:B,2,FALSE))</f>
        <v>FORNECIMENTO E INSTALAÇÃO DE DISPENSER PARA PAPEL INTERFOLHADO</v>
      </c>
      <c r="E526" s="45" t="str">
        <f>IF(B526="MP-MT",VLOOKUP(C526,'COMPOSIÇÃO DE PREÇO UNITÁRIO'!A:H,8,FALSE),VLOOKUP(C526,'SINAPI_COMPOSIÇÕES 062020'!A:C,3,FALSE))</f>
        <v>UND</v>
      </c>
      <c r="F526" s="78">
        <v>8</v>
      </c>
      <c r="G526" s="79">
        <f>IF(B526="MP-MT",VLOOKUP(CONCATENATE("TOTAL DO ÍTEM - ",C526),'COMPOSIÇÃO DE PREÇO UNITÁRIO'!A:H,8,FALSE),VLOOKUP(C526,'SINAPI_COMPOSIÇÕES 062020'!A:D,4,FALSE))</f>
        <v>50.3</v>
      </c>
      <c r="H526" s="79">
        <f t="shared" si="124"/>
        <v>65.08</v>
      </c>
      <c r="I526" s="79">
        <f t="shared" si="125"/>
        <v>520.64</v>
      </c>
    </row>
    <row r="527" spans="1:9" ht="25.5" outlineLevel="2" x14ac:dyDescent="0.2">
      <c r="A527" s="45" t="s">
        <v>13713</v>
      </c>
      <c r="B527" s="45" t="s">
        <v>194</v>
      </c>
      <c r="C527" s="45" t="s">
        <v>12119</v>
      </c>
      <c r="D527" s="44" t="str">
        <f>IF(B527="MP-MT",VLOOKUP(C527,'COMPOSIÇÃO DE PREÇO UNITÁRIO'!A:B,2,FALSE),VLOOKUP(C527,'SINAPI_COMPOSIÇÕES 062020'!A:B,2,FALSE))</f>
        <v>FORNECIMENTO E INSTALAÇÃO DE PORTA TOALHA TIPO CABIDE DE METAL CROMADO REF. DECA 2060 OU EQUIVALENTE</v>
      </c>
      <c r="E527" s="45" t="str">
        <f>IF(B527="MP-MT",VLOOKUP(C527,'COMPOSIÇÃO DE PREÇO UNITÁRIO'!A:H,8,FALSE),VLOOKUP(C527,'SINAPI_COMPOSIÇÕES 062020'!A:C,3,FALSE))</f>
        <v>UND</v>
      </c>
      <c r="F527" s="78">
        <v>1</v>
      </c>
      <c r="G527" s="79">
        <f>IF(B527="MP-MT",VLOOKUP(CONCATENATE("TOTAL DO ÍTEM - ",C527),'COMPOSIÇÃO DE PREÇO UNITÁRIO'!A:H,8,FALSE),VLOOKUP(C527,'SINAPI_COMPOSIÇÕES 062020'!A:D,4,FALSE))</f>
        <v>74.62</v>
      </c>
      <c r="H527" s="79">
        <f t="shared" si="124"/>
        <v>96.54</v>
      </c>
      <c r="I527" s="79">
        <f t="shared" si="125"/>
        <v>96.54</v>
      </c>
    </row>
    <row r="528" spans="1:9" ht="25.5" outlineLevel="2" x14ac:dyDescent="0.2">
      <c r="A528" s="45" t="s">
        <v>13714</v>
      </c>
      <c r="B528" s="45" t="s">
        <v>9</v>
      </c>
      <c r="C528" s="45">
        <v>95542</v>
      </c>
      <c r="D528" s="44" t="str">
        <f>IF(B528="MP-MT",VLOOKUP(C528,'COMPOSIÇÃO DE PREÇO UNITÁRIO'!A:B,2,FALSE),VLOOKUP(C528,'SINAPI_COMPOSIÇÕES 062020'!A:B,2,FALSE))</f>
        <v>PORTA TOALHA ROSTO EM METAL CROMADO, TIPO ARGOLA, INCLUSO FIXAÇÃO. AF_01/2020</v>
      </c>
      <c r="E528" s="45" t="str">
        <f>IF(B528="MP-MT",VLOOKUP(C528,'COMPOSIÇÃO DE PREÇO UNITÁRIO'!A:H,8,FALSE),VLOOKUP(C528,'SINAPI_COMPOSIÇÕES 062020'!A:C,3,FALSE))</f>
        <v>UN</v>
      </c>
      <c r="F528" s="78">
        <v>2</v>
      </c>
      <c r="G528" s="79">
        <f>IF(B528="MP-MT",VLOOKUP(CONCATENATE("TOTAL DO ÍTEM - ",C528),'COMPOSIÇÃO DE PREÇO UNITÁRIO'!A:H,8,FALSE),VLOOKUP(C528,'SINAPI_COMPOSIÇÕES 062020'!A:D,4,FALSE))</f>
        <v>25.46</v>
      </c>
      <c r="H528" s="79">
        <f t="shared" si="124"/>
        <v>32.94</v>
      </c>
      <c r="I528" s="79">
        <f t="shared" si="125"/>
        <v>65.88</v>
      </c>
    </row>
    <row r="529" spans="1:9" ht="38.25" outlineLevel="2" x14ac:dyDescent="0.2">
      <c r="A529" s="45" t="s">
        <v>13715</v>
      </c>
      <c r="B529" s="45" t="s">
        <v>194</v>
      </c>
      <c r="C529" s="45" t="s">
        <v>12133</v>
      </c>
      <c r="D529" s="44" t="str">
        <f>IF(B529="MP-MT",VLOOKUP(C529,'COMPOSIÇÃO DE PREÇO UNITÁRIO'!A:B,2,FALSE),VLOOKUP(C529,'SINAPI_COMPOSIÇÕES 062020'!A:B,2,FALSE))</f>
        <v>INSTALAÇÃO DE BARRA DE APOIO/PUXADOR RETA, EM INOX, PARA PORTADORES DE NECESSIDADES ESPECIAIS, LARGURA - CONSIDERANDO REAPROVEITAMENTO DO MATERIAL</v>
      </c>
      <c r="E529" s="45" t="str">
        <f>IF(B529="MP-MT",VLOOKUP(C529,'COMPOSIÇÃO DE PREÇO UNITÁRIO'!A:H,8,FALSE),VLOOKUP(C529,'SINAPI_COMPOSIÇÕES 062020'!A:C,3,FALSE))</f>
        <v>UND</v>
      </c>
      <c r="F529" s="78">
        <f>2+2</f>
        <v>4</v>
      </c>
      <c r="G529" s="79">
        <f>IF(B529="MP-MT",VLOOKUP(CONCATENATE("TOTAL DO ÍTEM - ",C529),'COMPOSIÇÃO DE PREÇO UNITÁRIO'!A:H,8,FALSE),VLOOKUP(C529,'SINAPI_COMPOSIÇÕES 062020'!A:D,4,FALSE))</f>
        <v>33.869999999999997</v>
      </c>
      <c r="H529" s="79">
        <f t="shared" si="124"/>
        <v>43.82</v>
      </c>
      <c r="I529" s="79">
        <f t="shared" si="125"/>
        <v>175.28</v>
      </c>
    </row>
    <row r="530" spans="1:9" ht="38.25" outlineLevel="2" x14ac:dyDescent="0.2">
      <c r="A530" s="45" t="s">
        <v>13716</v>
      </c>
      <c r="B530" s="45" t="s">
        <v>194</v>
      </c>
      <c r="C530" s="45" t="s">
        <v>12136</v>
      </c>
      <c r="D530" s="44" t="str">
        <f>IF(B530="MP-MT",VLOOKUP(C530,'COMPOSIÇÃO DE PREÇO UNITÁRIO'!A:B,2,FALSE),VLOOKUP(C530,'SINAPI_COMPOSIÇÕES 062020'!A:B,2,FALSE))</f>
        <v>INSTALAÇÃO DE PORTA TOALHA TIPO CABIDE DE METAL CROMADO REF. DECA 2060 OU EQUIVALENTE - CONSIDERANDO REAPROVEITAMENTO DO MATERIAL</v>
      </c>
      <c r="E530" s="45" t="str">
        <f>IF(B530="MP-MT",VLOOKUP(C530,'COMPOSIÇÃO DE PREÇO UNITÁRIO'!A:H,8,FALSE),VLOOKUP(C530,'SINAPI_COMPOSIÇÕES 062020'!A:C,3,FALSE))</f>
        <v>UND</v>
      </c>
      <c r="F530" s="78">
        <v>1</v>
      </c>
      <c r="G530" s="79">
        <f>IF(B530="MP-MT",VLOOKUP(CONCATENATE("TOTAL DO ÍTEM - ",C530),'COMPOSIÇÃO DE PREÇO UNITÁRIO'!A:H,8,FALSE),VLOOKUP(C530,'SINAPI_COMPOSIÇÕES 062020'!A:D,4,FALSE))</f>
        <v>3.19</v>
      </c>
      <c r="H530" s="79">
        <f t="shared" si="124"/>
        <v>4.12</v>
      </c>
      <c r="I530" s="79">
        <f t="shared" si="125"/>
        <v>4.12</v>
      </c>
    </row>
    <row r="531" spans="1:9" ht="25.5" outlineLevel="2" x14ac:dyDescent="0.2">
      <c r="A531" s="45" t="s">
        <v>13717</v>
      </c>
      <c r="B531" s="45" t="s">
        <v>9</v>
      </c>
      <c r="C531" s="45" t="s">
        <v>2237</v>
      </c>
      <c r="D531" s="44" t="str">
        <f>IF(B531="MP-MT",VLOOKUP(C531,'COMPOSIÇÃO DE PREÇO UNITÁRIO'!A:B,2,FALSE),VLOOKUP(C531,'SINAPI_COMPOSIÇÕES 062020'!A:B,2,FALSE))</f>
        <v>ESPELHO CRISTAL ESPESSURA 4MM, COM MOLDURA EM ALUMINIO E COMPENSADO 6MM PLASTIFICADO COLADO</v>
      </c>
      <c r="E531" s="45" t="str">
        <f>IF(B531="MP-MT",VLOOKUP(C531,'COMPOSIÇÃO DE PREÇO UNITÁRIO'!A:H,8,FALSE),VLOOKUP(C531,'SINAPI_COMPOSIÇÕES 062020'!A:C,3,FALSE))</f>
        <v>M2</v>
      </c>
      <c r="F531" s="78">
        <f>0.9*0.5*14</f>
        <v>6.3</v>
      </c>
      <c r="G531" s="79">
        <f>IF(B531="MP-MT",VLOOKUP(CONCATENATE("TOTAL DO ÍTEM - ",C531),'COMPOSIÇÃO DE PREÇO UNITÁRIO'!A:H,8,FALSE),VLOOKUP(C531,'SINAPI_COMPOSIÇÕES 062020'!A:D,4,FALSE))</f>
        <v>435.76</v>
      </c>
      <c r="H531" s="79">
        <f t="shared" si="124"/>
        <v>563.79999999999995</v>
      </c>
      <c r="I531" s="79">
        <f t="shared" si="125"/>
        <v>3551.94</v>
      </c>
    </row>
    <row r="532" spans="1:9" ht="25.5" outlineLevel="2" x14ac:dyDescent="0.2">
      <c r="A532" s="45" t="s">
        <v>13718</v>
      </c>
      <c r="B532" s="45" t="s">
        <v>9</v>
      </c>
      <c r="C532" s="45">
        <v>85005</v>
      </c>
      <c r="D532" s="44" t="str">
        <f>IF(B532="MP-MT",VLOOKUP(C532,'COMPOSIÇÃO DE PREÇO UNITÁRIO'!A:B,2,FALSE),VLOOKUP(C532,'SINAPI_COMPOSIÇÕES 062020'!A:B,2,FALSE))</f>
        <v>ESPELHO CRISTAL, ESPESSURA 4MM, COM PARAFUSOS DE FIXACAO, SEM MOLDURA</v>
      </c>
      <c r="E532" s="45" t="str">
        <f>IF(B532="MP-MT",VLOOKUP(C532,'COMPOSIÇÃO DE PREÇO UNITÁRIO'!A:H,8,FALSE),VLOOKUP(C532,'SINAPI_COMPOSIÇÕES 062020'!A:C,3,FALSE))</f>
        <v>M2</v>
      </c>
      <c r="F532" s="78">
        <f>(0.9*0.5*4)+(0.9*0.6*2)</f>
        <v>2.88</v>
      </c>
      <c r="G532" s="79">
        <f>IF(B532="MP-MT",VLOOKUP(CONCATENATE("TOTAL DO ÍTEM - ",C532),'COMPOSIÇÃO DE PREÇO UNITÁRIO'!A:H,8,FALSE),VLOOKUP(C532,'SINAPI_COMPOSIÇÕES 062020'!A:D,4,FALSE))</f>
        <v>370</v>
      </c>
      <c r="H532" s="79">
        <f t="shared" si="124"/>
        <v>478.72</v>
      </c>
      <c r="I532" s="79">
        <f t="shared" si="125"/>
        <v>1378.71</v>
      </c>
    </row>
    <row r="533" spans="1:9" outlineLevel="2" x14ac:dyDescent="0.2">
      <c r="A533" s="45" t="s">
        <v>13719</v>
      </c>
      <c r="B533" s="45" t="s">
        <v>194</v>
      </c>
      <c r="C533" s="45" t="s">
        <v>12933</v>
      </c>
      <c r="D533" s="44" t="str">
        <f>IF(B533="MP-MT",VLOOKUP(C533,'COMPOSIÇÃO DE PREÇO UNITÁRIO'!A:B,2,FALSE),VLOOKUP(C533,'SINAPI_COMPOSIÇÕES 062020'!A:B,2,FALSE))</f>
        <v>FORNECIMENTO E INSTALAÇÃO DE PLACA DE INAUGURAÇÃO, 60 X 80 CM</v>
      </c>
      <c r="E533" s="45" t="str">
        <f>IF(B533="MP-MT",VLOOKUP(C533,'COMPOSIÇÃO DE PREÇO UNITÁRIO'!A:H,8,FALSE),VLOOKUP(C533,'SINAPI_COMPOSIÇÕES 062020'!A:C,3,FALSE))</f>
        <v>UND</v>
      </c>
      <c r="F533" s="78">
        <v>1</v>
      </c>
      <c r="G533" s="79">
        <f>IF(B533="MP-MT",VLOOKUP(CONCATENATE("TOTAL DO ÍTEM - ",C533),'COMPOSIÇÃO DE PREÇO UNITÁRIO'!A:H,8,FALSE),VLOOKUP(C533,'SINAPI_COMPOSIÇÕES 062020'!A:D,4,FALSE))</f>
        <v>984.68</v>
      </c>
      <c r="H533" s="79">
        <f t="shared" ref="H533" si="126">TRUNC(G533*(1+$F$1),2)</f>
        <v>1274.02</v>
      </c>
      <c r="I533" s="79">
        <f t="shared" ref="I533" si="127">TRUNC(H533*F533,2)</f>
        <v>1274.02</v>
      </c>
    </row>
    <row r="534" spans="1:9" outlineLevel="1" x14ac:dyDescent="0.2">
      <c r="A534" s="76"/>
      <c r="B534" s="76"/>
      <c r="C534" s="76"/>
      <c r="D534" s="91" t="str">
        <f>CONCATENATE("TOTAL DO ITEM - ",A520)</f>
        <v>TOTAL DO ITEM - 24.0</v>
      </c>
      <c r="E534" s="76"/>
      <c r="F534" s="92"/>
      <c r="G534" s="93"/>
      <c r="H534" s="93"/>
      <c r="I534" s="93">
        <f>SUM(I521:I533)</f>
        <v>14705.630000000001</v>
      </c>
    </row>
    <row r="535" spans="1:9" outlineLevel="1" x14ac:dyDescent="0.2">
      <c r="A535" s="87" t="s">
        <v>695</v>
      </c>
      <c r="B535" s="87"/>
      <c r="C535" s="87"/>
      <c r="D535" s="88" t="s">
        <v>12686</v>
      </c>
      <c r="E535" s="87"/>
      <c r="F535" s="89"/>
      <c r="G535" s="90"/>
      <c r="H535" s="90"/>
      <c r="I535" s="90"/>
    </row>
    <row r="536" spans="1:9" ht="38.25" outlineLevel="2" x14ac:dyDescent="0.2">
      <c r="A536" s="45" t="s">
        <v>13720</v>
      </c>
      <c r="B536" s="45" t="s">
        <v>194</v>
      </c>
      <c r="C536" s="45" t="s">
        <v>12687</v>
      </c>
      <c r="D536" s="44" t="str">
        <f>IF(B536="MP-MT",VLOOKUP(C536,'COMPOSIÇÃO DE PREÇO UNITÁRIO'!A:B,2,FALSE),VLOOKUP(C536,'SINAPI_COMPOSIÇÕES 062020'!A:B,2,FALSE))</f>
        <v>FORNECIMENTO E INSTALAÇÃO DE REVESTIMENTO DE FACHADA EM ALUMINIO COMPOSTO (ACM), CONFORME ESPECIFICAÇÕES DE PROJETO EXECUTIVO</v>
      </c>
      <c r="E536" s="45" t="str">
        <f>IF(B536="MP-MT",VLOOKUP(C536,'COMPOSIÇÃO DE PREÇO UNITÁRIO'!A:H,8,FALSE),VLOOKUP(C536,'SINAPI_COMPOSIÇÕES 062020'!A:C,3,FALSE))</f>
        <v>M2</v>
      </c>
      <c r="F536" s="78">
        <f>2.08+9.93+1.46</f>
        <v>13.469999999999999</v>
      </c>
      <c r="G536" s="79">
        <f>IF(B536="MP-MT",VLOOKUP(CONCATENATE("TOTAL DO ÍTEM - ",C536),'COMPOSIÇÃO DE PREÇO UNITÁRIO'!A:H,8,FALSE),VLOOKUP(C536,'SINAPI_COMPOSIÇÕES 062020'!A:D,4,FALSE))</f>
        <v>500</v>
      </c>
      <c r="H536" s="79">
        <f t="shared" ref="H536" si="128">TRUNC(G536*(1+$F$1),2)</f>
        <v>646.91999999999996</v>
      </c>
      <c r="I536" s="79">
        <f t="shared" ref="I536" si="129">TRUNC(H536*F536,2)</f>
        <v>8714.01</v>
      </c>
    </row>
    <row r="537" spans="1:9" outlineLevel="1" x14ac:dyDescent="0.2">
      <c r="A537" s="76"/>
      <c r="B537" s="76"/>
      <c r="C537" s="76"/>
      <c r="D537" s="91" t="str">
        <f>CONCATENATE("TOTAL DO ITEM - ",A535)</f>
        <v>TOTAL DO ITEM - 25.0</v>
      </c>
      <c r="E537" s="76"/>
      <c r="F537" s="92"/>
      <c r="G537" s="93"/>
      <c r="H537" s="93"/>
      <c r="I537" s="93">
        <f>SUM(I536:I536)</f>
        <v>8714.01</v>
      </c>
    </row>
    <row r="538" spans="1:9" outlineLevel="1" x14ac:dyDescent="0.2">
      <c r="A538" s="87" t="s">
        <v>696</v>
      </c>
      <c r="B538" s="87"/>
      <c r="C538" s="87"/>
      <c r="D538" s="88" t="s">
        <v>12950</v>
      </c>
      <c r="E538" s="87"/>
      <c r="F538" s="89"/>
      <c r="G538" s="90"/>
      <c r="H538" s="90"/>
      <c r="I538" s="90"/>
    </row>
    <row r="539" spans="1:9" ht="25.5" outlineLevel="2" x14ac:dyDescent="0.2">
      <c r="A539" s="77" t="s">
        <v>13721</v>
      </c>
      <c r="B539" s="77" t="s">
        <v>194</v>
      </c>
      <c r="C539" s="77" t="s">
        <v>12951</v>
      </c>
      <c r="D539" s="44" t="str">
        <f>IF(B539="MP-MT",VLOOKUP(C539,'COMPOSIÇÃO DE PREÇO UNITÁRIO'!A:B,2,FALSE),VLOOKUP(C539,'SINAPI_COMPOSIÇÕES 062020'!A:B,2,FALSE))</f>
        <v>EXECUÇÃO DE PÁTIO/ESTACIONAMENTO EM PISO INTERTRAVADO DRENANTE, COM BLOCO RETANGULAR DE 20 X 10 CM, ESPESSURA 8 CM</v>
      </c>
      <c r="E539" s="45" t="str">
        <f>IF(B539="MP-MT",VLOOKUP(C539,'COMPOSIÇÃO DE PREÇO UNITÁRIO'!A:H,8,FALSE),VLOOKUP(C539,'SINAPI_COMPOSIÇÕES 062020'!A:C,3,FALSE))</f>
        <v>M2</v>
      </c>
      <c r="F539" s="78">
        <v>153.66</v>
      </c>
      <c r="G539" s="79">
        <f>IF(B539="MP-MT",VLOOKUP(CONCATENATE("TOTAL DO ÍTEM - ",C539),'COMPOSIÇÃO DE PREÇO UNITÁRIO'!A:H,8,FALSE),VLOOKUP(C539,'SINAPI_COMPOSIÇÕES 062020'!A:D,4,FALSE))</f>
        <v>64.89</v>
      </c>
      <c r="H539" s="79">
        <f t="shared" ref="H539:H548" si="130">TRUNC(G539*(1+$F$1),2)</f>
        <v>83.95</v>
      </c>
      <c r="I539" s="79">
        <f t="shared" ref="I539:I548" si="131">TRUNC(H539*F539,2)</f>
        <v>12899.75</v>
      </c>
    </row>
    <row r="540" spans="1:9" ht="38.25" outlineLevel="2" x14ac:dyDescent="0.2">
      <c r="A540" s="77" t="s">
        <v>13722</v>
      </c>
      <c r="B540" s="77" t="s">
        <v>9</v>
      </c>
      <c r="C540" s="77">
        <v>94994</v>
      </c>
      <c r="D540" s="44" t="str">
        <f>IF(B540="MP-MT",VLOOKUP(C540,'COMPOSIÇÃO DE PREÇO UNITÁRIO'!A:B,2,FALSE),VLOOKUP(C540,'SINAPI_COMPOSIÇÕES 062020'!A:B,2,FALSE))</f>
        <v>EXECUÇÃO DE PASSEIO (CALÇADA) OU PISO DE CONCRETO COM CONCRETO MOLDADO IN LOCO, FEITO EM OBRA, ACABAMENTO CONVENCIONAL, ESPESSURA 8 CM, ARMADO. AF_07/2016</v>
      </c>
      <c r="E540" s="45" t="str">
        <f>IF(B540="MP-MT",VLOOKUP(C540,'COMPOSIÇÃO DE PREÇO UNITÁRIO'!A:H,8,FALSE),VLOOKUP(C540,'SINAPI_COMPOSIÇÕES 062020'!A:C,3,FALSE))</f>
        <v>M2</v>
      </c>
      <c r="F540" s="78">
        <v>79.400000000000006</v>
      </c>
      <c r="G540" s="79">
        <f>IF(B540="MP-MT",VLOOKUP(CONCATENATE("TOTAL DO ÍTEM - ",C540),'COMPOSIÇÃO DE PREÇO UNITÁRIO'!A:H,8,FALSE),VLOOKUP(C540,'SINAPI_COMPOSIÇÕES 062020'!A:D,4,FALSE))</f>
        <v>69.819999999999993</v>
      </c>
      <c r="H540" s="79">
        <f t="shared" si="130"/>
        <v>90.33</v>
      </c>
      <c r="I540" s="79">
        <f t="shared" si="131"/>
        <v>7172.2</v>
      </c>
    </row>
    <row r="541" spans="1:9" ht="38.25" outlineLevel="2" x14ac:dyDescent="0.2">
      <c r="A541" s="77" t="s">
        <v>13723</v>
      </c>
      <c r="B541" s="77" t="s">
        <v>9</v>
      </c>
      <c r="C541" s="77">
        <v>94990</v>
      </c>
      <c r="D541" s="44" t="str">
        <f>IF(B541="MP-MT",VLOOKUP(C541,'COMPOSIÇÃO DE PREÇO UNITÁRIO'!A:B,2,FALSE),VLOOKUP(C541,'SINAPI_COMPOSIÇÕES 062020'!A:B,2,FALSE))</f>
        <v>EXECUÇÃO DE PASSEIO (CALÇADA) OU PISO DE CONCRETO COM CONCRETO MOLDADO IN LOCO, FEITO EM OBRA, ACABAMENTO CONVENCIONAL, NÃO ARMADO. AF_07/2016</v>
      </c>
      <c r="E541" s="45" t="str">
        <f>IF(B541="MP-MT",VLOOKUP(C541,'COMPOSIÇÃO DE PREÇO UNITÁRIO'!A:H,8,FALSE),VLOOKUP(C541,'SINAPI_COMPOSIÇÕES 062020'!A:C,3,FALSE))</f>
        <v>M3</v>
      </c>
      <c r="F541" s="78">
        <v>6.49</v>
      </c>
      <c r="G541" s="79">
        <f>IF(B541="MP-MT",VLOOKUP(CONCATENATE("TOTAL DO ÍTEM - ",C541),'COMPOSIÇÃO DE PREÇO UNITÁRIO'!A:H,8,FALSE),VLOOKUP(C541,'SINAPI_COMPOSIÇÕES 062020'!A:D,4,FALSE))</f>
        <v>530.04</v>
      </c>
      <c r="H541" s="79">
        <f t="shared" si="130"/>
        <v>685.79</v>
      </c>
      <c r="I541" s="79">
        <f t="shared" si="131"/>
        <v>4450.7700000000004</v>
      </c>
    </row>
    <row r="542" spans="1:9" ht="25.5" outlineLevel="2" x14ac:dyDescent="0.2">
      <c r="A542" s="77" t="s">
        <v>13724</v>
      </c>
      <c r="B542" s="77" t="s">
        <v>194</v>
      </c>
      <c r="C542" s="77" t="s">
        <v>12968</v>
      </c>
      <c r="D542" s="44" t="str">
        <f>IF(B542="MP-MT",VLOOKUP(C542,'COMPOSIÇÃO DE PREÇO UNITÁRIO'!A:B,2,FALSE),VLOOKUP(C542,'SINAPI_COMPOSIÇÕES 062020'!A:B,2,FALSE))</f>
        <v>INSTALAÇÃO DE BATE-RODAS, PRÉ-MOLDADO EM CONCRETO, DIMENSÕES 50X15X12 CM, PARA URBANIZAÇÃO INTERNA DE EMPREENDIMENTOS</v>
      </c>
      <c r="E542" s="45" t="str">
        <f>IF(B542="MP-MT",VLOOKUP(C542,'COMPOSIÇÃO DE PREÇO UNITÁRIO'!A:H,8,FALSE),VLOOKUP(C542,'SINAPI_COMPOSIÇÕES 062020'!A:C,3,FALSE))</f>
        <v>UND</v>
      </c>
      <c r="F542" s="78">
        <v>18</v>
      </c>
      <c r="G542" s="79">
        <f>IF(B542="MP-MT",VLOOKUP(CONCATENATE("TOTAL DO ÍTEM - ",C542),'COMPOSIÇÃO DE PREÇO UNITÁRIO'!A:H,8,FALSE),VLOOKUP(C542,'SINAPI_COMPOSIÇÕES 062020'!A:D,4,FALSE))</f>
        <v>24.91</v>
      </c>
      <c r="H542" s="79">
        <f t="shared" si="130"/>
        <v>32.22</v>
      </c>
      <c r="I542" s="79">
        <f t="shared" si="131"/>
        <v>579.96</v>
      </c>
    </row>
    <row r="543" spans="1:9" ht="25.5" outlineLevel="2" x14ac:dyDescent="0.2">
      <c r="A543" s="77" t="s">
        <v>13725</v>
      </c>
      <c r="B543" s="77" t="s">
        <v>194</v>
      </c>
      <c r="C543" s="77" t="s">
        <v>12972</v>
      </c>
      <c r="D543" s="44" t="str">
        <f>IF(B543="MP-MT",VLOOKUP(C543,'COMPOSIÇÃO DE PREÇO UNITÁRIO'!A:B,2,FALSE),VLOOKUP(C543,'SINAPI_COMPOSIÇÕES 062020'!A:B,2,FALSE))</f>
        <v>INSTALAÇÃO DE PLACA DE SINALIZAÇÃO, METÁLICA, NÃO INCLUSO O FORNECIMENTO DA PLACA</v>
      </c>
      <c r="E543" s="45" t="str">
        <f>IF(B543="MP-MT",VLOOKUP(C543,'COMPOSIÇÃO DE PREÇO UNITÁRIO'!A:H,8,FALSE),VLOOKUP(C543,'SINAPI_COMPOSIÇÕES 062020'!A:C,3,FALSE))</f>
        <v>UND</v>
      </c>
      <c r="F543" s="78">
        <f>4+2+1</f>
        <v>7</v>
      </c>
      <c r="G543" s="79">
        <f>IF(B543="MP-MT",VLOOKUP(CONCATENATE("TOTAL DO ÍTEM - ",C543),'COMPOSIÇÃO DE PREÇO UNITÁRIO'!A:H,8,FALSE),VLOOKUP(C543,'SINAPI_COMPOSIÇÕES 062020'!A:D,4,FALSE))</f>
        <v>6.42</v>
      </c>
      <c r="H543" s="79">
        <f t="shared" si="130"/>
        <v>8.3000000000000007</v>
      </c>
      <c r="I543" s="79">
        <f t="shared" si="131"/>
        <v>58.1</v>
      </c>
    </row>
    <row r="544" spans="1:9" ht="38.25" outlineLevel="2" x14ac:dyDescent="0.2">
      <c r="A544" s="77" t="s">
        <v>13706</v>
      </c>
      <c r="B544" s="77" t="s">
        <v>194</v>
      </c>
      <c r="C544" s="77" t="s">
        <v>12729</v>
      </c>
      <c r="D544" s="44" t="str">
        <f>IF(B544="MP-MT",VLOOKUP(C544,'COMPOSIÇÃO DE PREÇO UNITÁRIO'!A:B,2,FALSE),VLOOKUP(C544,'SINAPI_COMPOSIÇÕES 062020'!A:B,2,FALSE))</f>
        <v>PISO TÁTIL DIRECIONAL E/OU ALERTA, LADRILHO HIDRÁULICO, PARA DEFICIENTES VISUAIS, DIMENSÕES 25X25CM, APLICADO COM ARGAMASSA INDUSTRIALIZADA, REJUNTADO</v>
      </c>
      <c r="E544" s="45" t="str">
        <f>IF(B544="MP-MT",VLOOKUP(C544,'COMPOSIÇÃO DE PREÇO UNITÁRIO'!A:H,8,FALSE),VLOOKUP(C544,'SINAPI_COMPOSIÇÕES 062020'!A:C,3,FALSE))</f>
        <v>M2</v>
      </c>
      <c r="F544" s="78">
        <f>(0.25*0.25)*(36+99)</f>
        <v>8.4375</v>
      </c>
      <c r="G544" s="79">
        <f>IF(B544="MP-MT",VLOOKUP(CONCATENATE("TOTAL DO ÍTEM - ",C544),'COMPOSIÇÃO DE PREÇO UNITÁRIO'!A:H,8,FALSE),VLOOKUP(C544,'SINAPI_COMPOSIÇÕES 062020'!A:D,4,FALSE))</f>
        <v>90.56</v>
      </c>
      <c r="H544" s="79">
        <f t="shared" si="130"/>
        <v>117.17</v>
      </c>
      <c r="I544" s="79">
        <f t="shared" si="131"/>
        <v>988.62</v>
      </c>
    </row>
    <row r="545" spans="1:9" outlineLevel="2" x14ac:dyDescent="0.2">
      <c r="A545" s="77" t="s">
        <v>13726</v>
      </c>
      <c r="B545" s="77" t="s">
        <v>9</v>
      </c>
      <c r="C545" s="77" t="s">
        <v>5042</v>
      </c>
      <c r="D545" s="44" t="str">
        <f>IF(B545="MP-MT",VLOOKUP(C545,'COMPOSIÇÃO DE PREÇO UNITÁRIO'!A:B,2,FALSE),VLOOKUP(C545,'SINAPI_COMPOSIÇÕES 062020'!A:B,2,FALSE))</f>
        <v>PINTURA ACRILICA EM PISO CIMENTADO DUAS DEMAOS</v>
      </c>
      <c r="E545" s="45" t="str">
        <f>IF(B545="MP-MT",VLOOKUP(C545,'COMPOSIÇÃO DE PREÇO UNITÁRIO'!A:H,8,FALSE),VLOOKUP(C545,'SINAPI_COMPOSIÇÕES 062020'!A:C,3,FALSE))</f>
        <v>M2</v>
      </c>
      <c r="F545" s="78">
        <v>158.31</v>
      </c>
      <c r="G545" s="79">
        <f>IF(B545="MP-MT",VLOOKUP(CONCATENATE("TOTAL DO ÍTEM - ",C545),'COMPOSIÇÃO DE PREÇO UNITÁRIO'!A:H,8,FALSE),VLOOKUP(C545,'SINAPI_COMPOSIÇÕES 062020'!A:D,4,FALSE))</f>
        <v>12.52</v>
      </c>
      <c r="H545" s="79">
        <f t="shared" si="130"/>
        <v>16.190000000000001</v>
      </c>
      <c r="I545" s="79">
        <f t="shared" si="131"/>
        <v>2563.0300000000002</v>
      </c>
    </row>
    <row r="546" spans="1:9" outlineLevel="2" x14ac:dyDescent="0.2">
      <c r="A546" s="77" t="s">
        <v>13727</v>
      </c>
      <c r="B546" s="77" t="s">
        <v>9</v>
      </c>
      <c r="C546" s="77">
        <v>84665</v>
      </c>
      <c r="D546" s="44" t="str">
        <f>IF(B546="MP-MT",VLOOKUP(C546,'COMPOSIÇÃO DE PREÇO UNITÁRIO'!A:B,2,FALSE),VLOOKUP(C546,'SINAPI_COMPOSIÇÕES 062020'!A:B,2,FALSE))</f>
        <v>PINTURA ACRILICA PARA SINALIZAÇÃO HORIZONTAL EM PISO CIMENTADO</v>
      </c>
      <c r="E546" s="45" t="str">
        <f>IF(B546="MP-MT",VLOOKUP(C546,'COMPOSIÇÃO DE PREÇO UNITÁRIO'!A:H,8,FALSE),VLOOKUP(C546,'SINAPI_COMPOSIÇÕES 062020'!A:C,3,FALSE))</f>
        <v>M2</v>
      </c>
      <c r="F546" s="78">
        <f>22.78+((1.2*1.2*3))</f>
        <v>27.1</v>
      </c>
      <c r="G546" s="79">
        <f>IF(B546="MP-MT",VLOOKUP(CONCATENATE("TOTAL DO ÍTEM - ",C546),'COMPOSIÇÃO DE PREÇO UNITÁRIO'!A:H,8,FALSE),VLOOKUP(C546,'SINAPI_COMPOSIÇÕES 062020'!A:D,4,FALSE))</f>
        <v>16.66</v>
      </c>
      <c r="H546" s="79">
        <f t="shared" si="130"/>
        <v>21.55</v>
      </c>
      <c r="I546" s="79">
        <f t="shared" si="131"/>
        <v>584</v>
      </c>
    </row>
    <row r="547" spans="1:9" ht="38.25" outlineLevel="2" x14ac:dyDescent="0.2">
      <c r="A547" s="77" t="s">
        <v>13728</v>
      </c>
      <c r="B547" s="77" t="s">
        <v>9</v>
      </c>
      <c r="C547" s="77">
        <v>100761</v>
      </c>
      <c r="D547" s="44" t="str">
        <f>IF(B547="MP-MT",VLOOKUP(C547,'COMPOSIÇÃO DE PREÇO UNITÁRIO'!A:B,2,FALSE),VLOOKUP(C547,'SINAPI_COMPOSIÇÕES 062020'!A:B,2,FALSE))</f>
        <v>PINTURA COM TINTA ALQUÍDICA DE ACABAMENTO (ESMALTE SINTÉTICO FOSCO) PULVERIZADA SOBRE SUPERFÍCIES METÁLICAS (EXCETO PERFIL) EXECUTADO EM OBRA (02 DEMÃOS). AF_01/2020</v>
      </c>
      <c r="E547" s="45" t="str">
        <f>IF(B547="MP-MT",VLOOKUP(C547,'COMPOSIÇÃO DE PREÇO UNITÁRIO'!A:H,8,FALSE),VLOOKUP(C547,'SINAPI_COMPOSIÇÕES 062020'!A:C,3,FALSE))</f>
        <v>M2</v>
      </c>
      <c r="F547" s="78">
        <f>39.42+6.93+2.36</f>
        <v>48.71</v>
      </c>
      <c r="G547" s="79">
        <f>IF(B547="MP-MT",VLOOKUP(CONCATENATE("TOTAL DO ÍTEM - ",C547),'COMPOSIÇÃO DE PREÇO UNITÁRIO'!A:H,8,FALSE),VLOOKUP(C547,'SINAPI_COMPOSIÇÕES 062020'!A:D,4,FALSE))</f>
        <v>32.71</v>
      </c>
      <c r="H547" s="79">
        <f t="shared" si="130"/>
        <v>42.32</v>
      </c>
      <c r="I547" s="79">
        <f t="shared" si="131"/>
        <v>2061.4</v>
      </c>
    </row>
    <row r="548" spans="1:9" outlineLevel="2" x14ac:dyDescent="0.2">
      <c r="A548" s="77" t="s">
        <v>13729</v>
      </c>
      <c r="B548" s="77" t="s">
        <v>9</v>
      </c>
      <c r="C548" s="77">
        <v>98504</v>
      </c>
      <c r="D548" s="44" t="str">
        <f>IF(B548="MP-MT",VLOOKUP(C548,'COMPOSIÇÃO DE PREÇO UNITÁRIO'!A:B,2,FALSE),VLOOKUP(C548,'SINAPI_COMPOSIÇÕES 062020'!A:B,2,FALSE))</f>
        <v>PLANTIO DE GRAMA EM PLACAS. AF_05/2018</v>
      </c>
      <c r="E548" s="45" t="str">
        <f>IF(B548="MP-MT",VLOOKUP(C548,'COMPOSIÇÃO DE PREÇO UNITÁRIO'!A:H,8,FALSE),VLOOKUP(C548,'SINAPI_COMPOSIÇÕES 062020'!A:C,3,FALSE))</f>
        <v>M2</v>
      </c>
      <c r="F548" s="78">
        <v>95.57</v>
      </c>
      <c r="G548" s="79">
        <f>IF(B548="MP-MT",VLOOKUP(CONCATENATE("TOTAL DO ÍTEM - ",C548),'COMPOSIÇÃO DE PREÇO UNITÁRIO'!A:H,8,FALSE),VLOOKUP(C548,'SINAPI_COMPOSIÇÕES 062020'!A:D,4,FALSE))</f>
        <v>8.6199999999999992</v>
      </c>
      <c r="H548" s="79">
        <f t="shared" si="130"/>
        <v>11.15</v>
      </c>
      <c r="I548" s="79">
        <f t="shared" si="131"/>
        <v>1065.5999999999999</v>
      </c>
    </row>
    <row r="549" spans="1:9" outlineLevel="1" x14ac:dyDescent="0.2">
      <c r="A549" s="76"/>
      <c r="B549" s="76"/>
      <c r="C549" s="76"/>
      <c r="D549" s="91" t="str">
        <f>CONCATENATE("TOTAL DO ITEM - ",A538)</f>
        <v>TOTAL DO ITEM - 26.0</v>
      </c>
      <c r="E549" s="76"/>
      <c r="F549" s="92"/>
      <c r="G549" s="93"/>
      <c r="H549" s="93"/>
      <c r="I549" s="93">
        <f>SUM(I539:I548)</f>
        <v>32423.429999999997</v>
      </c>
    </row>
    <row r="550" spans="1:9" outlineLevel="1" x14ac:dyDescent="0.2">
      <c r="A550" s="87" t="s">
        <v>697</v>
      </c>
      <c r="B550" s="87"/>
      <c r="C550" s="87"/>
      <c r="D550" s="88" t="s">
        <v>12556</v>
      </c>
      <c r="E550" s="87"/>
      <c r="F550" s="89"/>
      <c r="G550" s="90"/>
      <c r="H550" s="90"/>
      <c r="I550" s="90"/>
    </row>
    <row r="551" spans="1:9" outlineLevel="2" x14ac:dyDescent="0.2">
      <c r="A551" s="45" t="s">
        <v>13730</v>
      </c>
      <c r="B551" s="45" t="s">
        <v>194</v>
      </c>
      <c r="C551" s="45" t="s">
        <v>13010</v>
      </c>
      <c r="D551" s="44" t="str">
        <f>IF(B551="MP-MT",VLOOKUP(C551,'COMPOSIÇÃO DE PREÇO UNITÁRIO'!A:B,2,FALSE),VLOOKUP(C551,'SINAPI_COMPOSIÇÕES 062020'!A:B,2,FALSE))</f>
        <v>CAÇAMBA BOTA-FORA, CAPACIDADE 5M³</v>
      </c>
      <c r="E551" s="45" t="str">
        <f>IF(B551="MP-MT",VLOOKUP(C551,'COMPOSIÇÃO DE PREÇO UNITÁRIO'!A:H,8,FALSE),VLOOKUP(C551,'SINAPI_COMPOSIÇÕES 062020'!A:C,3,FALSE))</f>
        <v>UND</v>
      </c>
      <c r="F551" s="78">
        <v>10</v>
      </c>
      <c r="G551" s="79">
        <f>IF(B551="MP-MT",VLOOKUP(CONCATENATE("TOTAL DO ÍTEM - ",C551),'COMPOSIÇÃO DE PREÇO UNITÁRIO'!A:H,8,FALSE),VLOOKUP(C551,'SINAPI_COMPOSIÇÕES 062020'!A:D,4,FALSE))</f>
        <v>300</v>
      </c>
      <c r="H551" s="79">
        <f t="shared" ref="H551:H553" si="132">TRUNC(G551*(1+$F$1),2)</f>
        <v>388.15</v>
      </c>
      <c r="I551" s="79">
        <f t="shared" ref="I551:I553" si="133">TRUNC(H551*F551,2)</f>
        <v>3881.5</v>
      </c>
    </row>
    <row r="552" spans="1:9" ht="25.5" outlineLevel="2" x14ac:dyDescent="0.2">
      <c r="A552" s="45" t="s">
        <v>13731</v>
      </c>
      <c r="B552" s="45" t="s">
        <v>9</v>
      </c>
      <c r="C552" s="45">
        <v>99806</v>
      </c>
      <c r="D552" s="44" t="str">
        <f>IF(B552="MP-MT",VLOOKUP(C552,'COMPOSIÇÃO DE PREÇO UNITÁRIO'!A:B,2,FALSE),VLOOKUP(C552,'SINAPI_COMPOSIÇÕES 062020'!A:B,2,FALSE))</f>
        <v>LIMPEZA DE REVESTIMENTO CERÂMICO EM PAREDE COM PANO ÚMIDO AF_04/2019</v>
      </c>
      <c r="E552" s="45" t="str">
        <f>IF(B552="MP-MT",VLOOKUP(C552,'COMPOSIÇÃO DE PREÇO UNITÁRIO'!A:H,8,FALSE),VLOOKUP(C552,'SINAPI_COMPOSIÇÕES 062020'!A:C,3,FALSE))</f>
        <v>M2</v>
      </c>
      <c r="F552" s="78">
        <v>745.93000000000006</v>
      </c>
      <c r="G552" s="79">
        <f>IF(B552="MP-MT",VLOOKUP(CONCATENATE("TOTAL DO ÍTEM - ",C552),'COMPOSIÇÃO DE PREÇO UNITÁRIO'!A:H,8,FALSE),VLOOKUP(C552,'SINAPI_COMPOSIÇÕES 062020'!A:D,4,FALSE))</f>
        <v>0.56999999999999995</v>
      </c>
      <c r="H552" s="79">
        <f t="shared" si="132"/>
        <v>0.73</v>
      </c>
      <c r="I552" s="79">
        <f t="shared" si="133"/>
        <v>544.52</v>
      </c>
    </row>
    <row r="553" spans="1:9" outlineLevel="2" x14ac:dyDescent="0.2">
      <c r="A553" s="45" t="s">
        <v>13732</v>
      </c>
      <c r="B553" s="45" t="s">
        <v>9</v>
      </c>
      <c r="C553" s="45">
        <v>99814</v>
      </c>
      <c r="D553" s="44" t="str">
        <f>IF(B553="MP-MT",VLOOKUP(C553,'COMPOSIÇÃO DE PREÇO UNITÁRIO'!A:B,2,FALSE),VLOOKUP(C553,'SINAPI_COMPOSIÇÕES 062020'!A:B,2,FALSE))</f>
        <v>LIMPEZA DE SUPERFÍCIE COM JATO DE ALTA PRESSÃO. AF_04/2019</v>
      </c>
      <c r="E553" s="45" t="str">
        <f>IF(B553="MP-MT",VLOOKUP(C553,'COMPOSIÇÃO DE PREÇO UNITÁRIO'!A:H,8,FALSE),VLOOKUP(C553,'SINAPI_COMPOSIÇÕES 062020'!A:C,3,FALSE))</f>
        <v>M2</v>
      </c>
      <c r="F553" s="78">
        <v>595.52</v>
      </c>
      <c r="G553" s="79">
        <f>IF(B553="MP-MT",VLOOKUP(CONCATENATE("TOTAL DO ÍTEM - ",C553),'COMPOSIÇÃO DE PREÇO UNITÁRIO'!A:H,8,FALSE),VLOOKUP(C553,'SINAPI_COMPOSIÇÕES 062020'!A:D,4,FALSE))</f>
        <v>1.29</v>
      </c>
      <c r="H553" s="79">
        <f t="shared" si="132"/>
        <v>1.66</v>
      </c>
      <c r="I553" s="79">
        <f t="shared" si="133"/>
        <v>988.56</v>
      </c>
    </row>
    <row r="554" spans="1:9" outlineLevel="2" x14ac:dyDescent="0.2">
      <c r="A554" s="45" t="s">
        <v>13830</v>
      </c>
      <c r="B554" s="45" t="s">
        <v>194</v>
      </c>
      <c r="C554" s="45" t="s">
        <v>13829</v>
      </c>
      <c r="D554" s="44" t="str">
        <f>'COMPOSIÇÃO MOB-DESMOB'!C10</f>
        <v>DESMOBILIZAÇÃO DE OBRA</v>
      </c>
      <c r="E554" s="45" t="str">
        <f>'COMPOSIÇÃO MOB-DESMOB'!N10</f>
        <v>UND</v>
      </c>
      <c r="F554" s="78">
        <v>1</v>
      </c>
      <c r="G554" s="79">
        <f>'COMPOSIÇÃO MOB-DESMOB'!L15</f>
        <v>270</v>
      </c>
      <c r="H554" s="79">
        <f t="shared" ref="H554" si="134">TRUNC(G554*(1+$F$1),2)</f>
        <v>349.33</v>
      </c>
      <c r="I554" s="79">
        <f t="shared" ref="I554" si="135">TRUNC(H554*F554,2)</f>
        <v>349.33</v>
      </c>
    </row>
    <row r="555" spans="1:9" outlineLevel="1" x14ac:dyDescent="0.2">
      <c r="A555" s="76"/>
      <c r="B555" s="76"/>
      <c r="C555" s="76"/>
      <c r="D555" s="91" t="str">
        <f>CONCATENATE("TOTAL DO ITEM - ",A550)</f>
        <v>TOTAL DO ITEM - 27.0</v>
      </c>
      <c r="E555" s="76"/>
      <c r="F555" s="92"/>
      <c r="G555" s="93"/>
      <c r="H555" s="93"/>
      <c r="I555" s="93">
        <f>SUM(I551:I554)</f>
        <v>5763.91</v>
      </c>
    </row>
    <row r="556" spans="1:9" x14ac:dyDescent="0.2">
      <c r="A556" s="76"/>
      <c r="B556" s="76"/>
      <c r="C556" s="76"/>
      <c r="D556" s="91" t="s">
        <v>12558</v>
      </c>
      <c r="E556" s="76"/>
      <c r="F556" s="92"/>
      <c r="G556" s="93"/>
      <c r="H556" s="93"/>
      <c r="I556" s="93">
        <f>I555+I549+I537+I534+I519+I494+I483+I478+I471+I467+I444+I415+I405+I393+I368+I278+I253+I237+I126+I116+I98+I91+I80+I69+I53</f>
        <v>1434713.45</v>
      </c>
    </row>
    <row r="557" spans="1:9" x14ac:dyDescent="0.2">
      <c r="A557" s="254" t="s">
        <v>12324</v>
      </c>
      <c r="B557" s="254"/>
      <c r="C557" s="254"/>
      <c r="D557" s="254"/>
      <c r="E557" s="254"/>
      <c r="F557" s="254"/>
      <c r="G557" s="254"/>
      <c r="H557" s="254"/>
      <c r="I557" s="254"/>
    </row>
    <row r="558" spans="1:9" outlineLevel="1" x14ac:dyDescent="0.2">
      <c r="A558" s="87" t="s">
        <v>698</v>
      </c>
      <c r="B558" s="87"/>
      <c r="C558" s="87"/>
      <c r="D558" s="88" t="s">
        <v>11880</v>
      </c>
      <c r="E558" s="87"/>
      <c r="F558" s="89"/>
      <c r="G558" s="90"/>
      <c r="H558" s="90"/>
      <c r="I558" s="90"/>
    </row>
    <row r="559" spans="1:9" ht="25.5" outlineLevel="2" x14ac:dyDescent="0.2">
      <c r="A559" s="45" t="s">
        <v>13733</v>
      </c>
      <c r="B559" s="45" t="s">
        <v>9</v>
      </c>
      <c r="C559" s="45">
        <v>97640</v>
      </c>
      <c r="D559" s="44" t="str">
        <f>IF(B559="MP-MT",VLOOKUP(C559,'COMPOSIÇÃO DE PREÇO UNITÁRIO'!A:B,2,FALSE),VLOOKUP(C559,'SINAPI_COMPOSIÇÕES 062020'!A:B,2,FALSE))</f>
        <v>REMOÇÃO DE FORROS DE DRYWALL, PVC E FIBROMINERAL, DE FORMA MANUAL, SEM REAPROVEITAMENTO. AF_12/2017</v>
      </c>
      <c r="E559" s="45" t="str">
        <f>IF(B559="MP-MT",VLOOKUP(C559,'COMPOSIÇÃO DE PREÇO UNITÁRIO'!A:H,8,FALSE),VLOOKUP(C559,'SINAPI_COMPOSIÇÕES 062020'!A:C,3,FALSE))</f>
        <v>M2</v>
      </c>
      <c r="F559" s="78">
        <v>22.59</v>
      </c>
      <c r="G559" s="79">
        <f>IF(B559="MP-MT",VLOOKUP(CONCATENATE("TOTAL DO ÍTEM - ",C559),'COMPOSIÇÃO DE PREÇO UNITÁRIO'!A:H,8,FALSE),VLOOKUP(C559,'SINAPI_COMPOSIÇÕES 062020'!A:D,4,FALSE))</f>
        <v>1.05</v>
      </c>
      <c r="H559" s="79">
        <f t="shared" ref="H559:H560" si="136">TRUNC(G559*(1+$F$1),2)</f>
        <v>1.35</v>
      </c>
      <c r="I559" s="79">
        <f t="shared" ref="I559:I560" si="137">TRUNC(H559*F559,2)</f>
        <v>30.49</v>
      </c>
    </row>
    <row r="560" spans="1:9" ht="25.5" outlineLevel="2" x14ac:dyDescent="0.2">
      <c r="A560" s="45" t="s">
        <v>13734</v>
      </c>
      <c r="B560" s="45" t="s">
        <v>9</v>
      </c>
      <c r="C560" s="45">
        <v>97665</v>
      </c>
      <c r="D560" s="44" t="str">
        <f>IF(B560="MP-MT",VLOOKUP(C560,'COMPOSIÇÃO DE PREÇO UNITÁRIO'!A:B,2,FALSE),VLOOKUP(C560,'SINAPI_COMPOSIÇÕES 062020'!A:B,2,FALSE))</f>
        <v>REMOÇÃO DE LUMINÁRIAS, DE FORMA MANUAL, SEM REAPROVEITAMENTO. AF_12/2017</v>
      </c>
      <c r="E560" s="45" t="str">
        <f>IF(B560="MP-MT",VLOOKUP(C560,'COMPOSIÇÃO DE PREÇO UNITÁRIO'!A:H,8,FALSE),VLOOKUP(C560,'SINAPI_COMPOSIÇÕES 062020'!A:C,3,FALSE))</f>
        <v>UN</v>
      </c>
      <c r="F560" s="78">
        <v>4</v>
      </c>
      <c r="G560" s="79">
        <f>IF(B560="MP-MT",VLOOKUP(CONCATENATE("TOTAL DO ÍTEM - ",C560),'COMPOSIÇÃO DE PREÇO UNITÁRIO'!A:H,8,FALSE),VLOOKUP(C560,'SINAPI_COMPOSIÇÕES 062020'!A:D,4,FALSE))</f>
        <v>0.84</v>
      </c>
      <c r="H560" s="79">
        <f t="shared" si="136"/>
        <v>1.08</v>
      </c>
      <c r="I560" s="79">
        <f t="shared" si="137"/>
        <v>4.32</v>
      </c>
    </row>
    <row r="561" spans="1:9" ht="25.5" outlineLevel="2" x14ac:dyDescent="0.2">
      <c r="A561" s="45" t="s">
        <v>13735</v>
      </c>
      <c r="B561" s="45" t="s">
        <v>9</v>
      </c>
      <c r="C561" s="45">
        <v>97666</v>
      </c>
      <c r="D561" s="44" t="str">
        <f>IF(B561="MP-MT",VLOOKUP(C561,'COMPOSIÇÃO DE PREÇO UNITÁRIO'!A:B,2,FALSE),VLOOKUP(C561,'SINAPI_COMPOSIÇÕES 062020'!A:B,2,FALSE))</f>
        <v>REMOÇÃO DE METAIS SANITÁRIOS, DE FORMA MANUAL, SEM REAPROVEITAMENTO. AF_12/2017</v>
      </c>
      <c r="E561" s="45" t="str">
        <f>IF(B561="MP-MT",VLOOKUP(C561,'COMPOSIÇÃO DE PREÇO UNITÁRIO'!A:H,8,FALSE),VLOOKUP(C561,'SINAPI_COMPOSIÇÕES 062020'!A:C,3,FALSE))</f>
        <v>UN</v>
      </c>
      <c r="F561" s="78">
        <v>2</v>
      </c>
      <c r="G561" s="79">
        <f>IF(B561="MP-MT",VLOOKUP(CONCATENATE("TOTAL DO ÍTEM - ",C561),'COMPOSIÇÃO DE PREÇO UNITÁRIO'!A:H,8,FALSE),VLOOKUP(C561,'SINAPI_COMPOSIÇÕES 062020'!A:D,4,FALSE))</f>
        <v>5.88</v>
      </c>
      <c r="H561" s="79">
        <f t="shared" ref="H561:H565" si="138">TRUNC(G561*(1+$F$1),2)</f>
        <v>7.6</v>
      </c>
      <c r="I561" s="79">
        <f t="shared" ref="I561:I565" si="139">TRUNC(H561*F561,2)</f>
        <v>15.2</v>
      </c>
    </row>
    <row r="562" spans="1:9" ht="25.5" outlineLevel="2" x14ac:dyDescent="0.2">
      <c r="A562" s="45" t="s">
        <v>13736</v>
      </c>
      <c r="B562" s="45" t="s">
        <v>9</v>
      </c>
      <c r="C562" s="45">
        <v>97663</v>
      </c>
      <c r="D562" s="44" t="str">
        <f>IF(B562="MP-MT",VLOOKUP(C562,'COMPOSIÇÃO DE PREÇO UNITÁRIO'!A:B,2,FALSE),VLOOKUP(C562,'SINAPI_COMPOSIÇÕES 062020'!A:B,2,FALSE))</f>
        <v>REMOÇÃO DE LOUÇAS, DE FORMA MANUAL, SEM REAPROVEITAMENTO. AF_12/2017</v>
      </c>
      <c r="E562" s="45" t="str">
        <f>IF(B562="MP-MT",VLOOKUP(C562,'COMPOSIÇÃO DE PREÇO UNITÁRIO'!A:H,8,FALSE),VLOOKUP(C562,'SINAPI_COMPOSIÇÕES 062020'!A:C,3,FALSE))</f>
        <v>UN</v>
      </c>
      <c r="F562" s="78">
        <v>2</v>
      </c>
      <c r="G562" s="79">
        <f>IF(B562="MP-MT",VLOOKUP(CONCATENATE("TOTAL DO ÍTEM - ",C562),'COMPOSIÇÃO DE PREÇO UNITÁRIO'!A:H,8,FALSE),VLOOKUP(C562,'SINAPI_COMPOSIÇÕES 062020'!A:D,4,FALSE))</f>
        <v>8.07</v>
      </c>
      <c r="H562" s="79">
        <f t="shared" si="138"/>
        <v>10.44</v>
      </c>
      <c r="I562" s="79">
        <f t="shared" si="139"/>
        <v>20.88</v>
      </c>
    </row>
    <row r="563" spans="1:9" ht="25.5" outlineLevel="2" x14ac:dyDescent="0.2">
      <c r="A563" s="45" t="s">
        <v>13737</v>
      </c>
      <c r="B563" s="45" t="s">
        <v>9</v>
      </c>
      <c r="C563" s="45">
        <v>97633</v>
      </c>
      <c r="D563" s="44" t="str">
        <f>IF(B563="MP-MT",VLOOKUP(C563,'COMPOSIÇÃO DE PREÇO UNITÁRIO'!A:B,2,FALSE),VLOOKUP(C563,'SINAPI_COMPOSIÇÕES 062020'!A:B,2,FALSE))</f>
        <v>DEMOLIÇÃO DE REVESTIMENTO CERÂMICO, DE FORMA MANUAL, SEM REAPROVEITAMENTO. AF_12/2017</v>
      </c>
      <c r="E563" s="45" t="str">
        <f>IF(B563="MP-MT",VLOOKUP(C563,'COMPOSIÇÃO DE PREÇO UNITÁRIO'!A:H,8,FALSE),VLOOKUP(C563,'SINAPI_COMPOSIÇÕES 062020'!A:C,3,FALSE))</f>
        <v>M2</v>
      </c>
      <c r="F563" s="78">
        <f>22.59+37.86</f>
        <v>60.45</v>
      </c>
      <c r="G563" s="79">
        <f>IF(B563="MP-MT",VLOOKUP(CONCATENATE("TOTAL DO ÍTEM - ",C563),'COMPOSIÇÃO DE PREÇO UNITÁRIO'!A:H,8,FALSE),VLOOKUP(C563,'SINAPI_COMPOSIÇÕES 062020'!A:D,4,FALSE))</f>
        <v>14.85</v>
      </c>
      <c r="H563" s="79">
        <f t="shared" si="138"/>
        <v>19.21</v>
      </c>
      <c r="I563" s="79">
        <f t="shared" si="139"/>
        <v>1161.24</v>
      </c>
    </row>
    <row r="564" spans="1:9" outlineLevel="2" x14ac:dyDescent="0.2">
      <c r="A564" s="45" t="s">
        <v>13738</v>
      </c>
      <c r="B564" s="45" t="s">
        <v>194</v>
      </c>
      <c r="C564" s="45" t="s">
        <v>11899</v>
      </c>
      <c r="D564" s="44" t="str">
        <f>IF(B564="MP-MT",VLOOKUP(C564,'COMPOSIÇÃO DE PREÇO UNITÁRIO'!A:B,2,FALSE),VLOOKUP(C564,'SINAPI_COMPOSIÇÕES 062020'!A:B,2,FALSE))</f>
        <v>REMOÇÃO DE BANCADA EM GRANITO/INOX DE PIA OU LAVATÓRIO</v>
      </c>
      <c r="E564" s="45" t="str">
        <f>IF(B564="MP-MT",VLOOKUP(C564,'COMPOSIÇÃO DE PREÇO UNITÁRIO'!A:H,8,FALSE),VLOOKUP(C564,'SINAPI_COMPOSIÇÕES 062020'!A:C,3,FALSE))</f>
        <v>M2</v>
      </c>
      <c r="F564" s="78">
        <v>2.1</v>
      </c>
      <c r="G564" s="79">
        <f>IF(B564="MP-MT",VLOOKUP(CONCATENATE("TOTAL DO ÍTEM - ",C564),'COMPOSIÇÃO DE PREÇO UNITÁRIO'!A:H,8,FALSE),VLOOKUP(C564,'SINAPI_COMPOSIÇÕES 062020'!A:D,4,FALSE))</f>
        <v>17.03</v>
      </c>
      <c r="H564" s="79">
        <f t="shared" si="138"/>
        <v>22.03</v>
      </c>
      <c r="I564" s="79">
        <f t="shared" si="139"/>
        <v>46.26</v>
      </c>
    </row>
    <row r="565" spans="1:9" ht="25.5" outlineLevel="2" x14ac:dyDescent="0.2">
      <c r="A565" s="45" t="s">
        <v>13739</v>
      </c>
      <c r="B565" s="45" t="s">
        <v>9</v>
      </c>
      <c r="C565" s="45">
        <v>97644</v>
      </c>
      <c r="D565" s="44" t="str">
        <f>IF(B565="MP-MT",VLOOKUP(C565,'COMPOSIÇÃO DE PREÇO UNITÁRIO'!A:B,2,FALSE),VLOOKUP(C565,'SINAPI_COMPOSIÇÕES 062020'!A:B,2,FALSE))</f>
        <v>REMOÇÃO DE PORTAS, DE FORMA MANUAL, SEM REAPROVEITAMENTO. AF_12/2017</v>
      </c>
      <c r="E565" s="45" t="str">
        <f>IF(B565="MP-MT",VLOOKUP(C565,'COMPOSIÇÃO DE PREÇO UNITÁRIO'!A:H,8,FALSE),VLOOKUP(C565,'SINAPI_COMPOSIÇÕES 062020'!A:C,3,FALSE))</f>
        <v>M2</v>
      </c>
      <c r="F565" s="78">
        <f>0.8*2.1*2</f>
        <v>3.3600000000000003</v>
      </c>
      <c r="G565" s="79">
        <f>IF(B565="MP-MT",VLOOKUP(CONCATENATE("TOTAL DO ÍTEM - ",C565),'COMPOSIÇÃO DE PREÇO UNITÁRIO'!A:H,8,FALSE),VLOOKUP(C565,'SINAPI_COMPOSIÇÕES 062020'!A:D,4,FALSE))</f>
        <v>6.04</v>
      </c>
      <c r="H565" s="79">
        <f t="shared" si="138"/>
        <v>7.81</v>
      </c>
      <c r="I565" s="79">
        <f t="shared" si="139"/>
        <v>26.24</v>
      </c>
    </row>
    <row r="566" spans="1:9" outlineLevel="1" x14ac:dyDescent="0.2">
      <c r="A566" s="76"/>
      <c r="B566" s="76"/>
      <c r="C566" s="76"/>
      <c r="D566" s="91" t="str">
        <f>CONCATENATE("TOTAL DO ITEM - ",A558)</f>
        <v>TOTAL DO ITEM - 28.0</v>
      </c>
      <c r="E566" s="76"/>
      <c r="F566" s="92"/>
      <c r="G566" s="93"/>
      <c r="H566" s="93"/>
      <c r="I566" s="93">
        <f>SUM(I559:I565)</f>
        <v>1304.6300000000001</v>
      </c>
    </row>
    <row r="567" spans="1:9" outlineLevel="1" x14ac:dyDescent="0.2">
      <c r="A567" s="232" t="s">
        <v>699</v>
      </c>
      <c r="B567" s="232"/>
      <c r="C567" s="232"/>
      <c r="D567" s="88" t="s">
        <v>12513</v>
      </c>
      <c r="E567" s="232"/>
      <c r="F567" s="89"/>
      <c r="G567" s="90"/>
      <c r="H567" s="90"/>
      <c r="I567" s="90"/>
    </row>
    <row r="568" spans="1:9" ht="38.25" outlineLevel="2" x14ac:dyDescent="0.2">
      <c r="A568" s="45" t="s">
        <v>13740</v>
      </c>
      <c r="B568" s="45" t="s">
        <v>194</v>
      </c>
      <c r="C568" s="45" t="s">
        <v>12514</v>
      </c>
      <c r="D568" s="44" t="str">
        <f>IF(B568="MP-MT",VLOOKUP(C568,'COMPOSIÇÃO DE PREÇO UNITÁRIO'!A:B,2,FALSE),VLOOKUP(C568,'SINAPI_COMPOSIÇÕES 062020'!A:B,2,FALSE))</f>
        <v>PAREDE COM PLACAS DE GESSO ACARTONADO (DRYWALL), RESISTENTE A UMIDADE (RU), PARA USO INTERNO, COM DUAS FACES SIMPLES E ESTRUTURA METÁLICA COM GUIAS SIMPLES, COM VÃOS</v>
      </c>
      <c r="E568" s="45" t="str">
        <f>IF(B568="MP-MT",VLOOKUP(C568,'COMPOSIÇÃO DE PREÇO UNITÁRIO'!A:H,8,FALSE),VLOOKUP(C568,'SINAPI_COMPOSIÇÕES 062020'!A:C,3,FALSE))</f>
        <v>M2</v>
      </c>
      <c r="F568" s="78">
        <v>18.91</v>
      </c>
      <c r="G568" s="79">
        <f>IF(B568="MP-MT",VLOOKUP(CONCATENATE("TOTAL DO ÍTEM - ",C568),'COMPOSIÇÃO DE PREÇO UNITÁRIO'!A:H,8,FALSE),VLOOKUP(C568,'SINAPI_COMPOSIÇÕES 062020'!A:D,4,FALSE))</f>
        <v>105.41</v>
      </c>
      <c r="H568" s="79">
        <f t="shared" ref="H568:H572" si="140">TRUNC(G568*(1+$F$1),2)</f>
        <v>136.38</v>
      </c>
      <c r="I568" s="79">
        <f t="shared" ref="I568:I572" si="141">TRUNC(H568*F568,2)</f>
        <v>2578.94</v>
      </c>
    </row>
    <row r="569" spans="1:9" ht="38.25" outlineLevel="2" x14ac:dyDescent="0.2">
      <c r="A569" s="45" t="s">
        <v>13741</v>
      </c>
      <c r="B569" s="45" t="s">
        <v>194</v>
      </c>
      <c r="C569" s="45" t="s">
        <v>12518</v>
      </c>
      <c r="D569" s="44" t="str">
        <f>IF(B569="MP-MT",VLOOKUP(C569,'COMPOSIÇÃO DE PREÇO UNITÁRIO'!A:B,2,FALSE),VLOOKUP(C569,'SINAPI_COMPOSIÇÕES 062020'!A:B,2,FALSE))</f>
        <v>PAREDE COM PLACAS DE GESSO ACARTONADO (DRYWALL), RESISTENTE A UMIDADE (RU), PARA USO INTERNO, COM DUAS FACES SIMPLES E ESTRUTURA METÁLICA COM GUIAS SIMPLES, SEM VÃOS</v>
      </c>
      <c r="E569" s="45" t="str">
        <f>IF(B569="MP-MT",VLOOKUP(C569,'COMPOSIÇÃO DE PREÇO UNITÁRIO'!A:H,8,FALSE),VLOOKUP(C569,'SINAPI_COMPOSIÇÕES 062020'!A:C,3,FALSE))</f>
        <v>M2</v>
      </c>
      <c r="F569" s="78">
        <v>15.74</v>
      </c>
      <c r="G569" s="79">
        <f>IF(B569="MP-MT",VLOOKUP(CONCATENATE("TOTAL DO ÍTEM - ",C569),'COMPOSIÇÃO DE PREÇO UNITÁRIO'!A:H,8,FALSE),VLOOKUP(C569,'SINAPI_COMPOSIÇÕES 062020'!A:D,4,FALSE))</f>
        <v>97.36</v>
      </c>
      <c r="H569" s="79">
        <f t="shared" si="140"/>
        <v>125.96</v>
      </c>
      <c r="I569" s="79">
        <f t="shared" si="141"/>
        <v>1982.61</v>
      </c>
    </row>
    <row r="570" spans="1:9" ht="38.25" outlineLevel="2" x14ac:dyDescent="0.2">
      <c r="A570" s="45" t="s">
        <v>13742</v>
      </c>
      <c r="B570" s="45" t="s">
        <v>194</v>
      </c>
      <c r="C570" s="45" t="s">
        <v>13026</v>
      </c>
      <c r="D570" s="44" t="str">
        <f>IF(B570="MP-MT",VLOOKUP(C570,'COMPOSIÇÃO DE PREÇO UNITÁRIO'!A:B,2,FALSE),VLOOKUP(C570,'SINAPI_COMPOSIÇÕES 062020'!A:B,2,FALSE))</f>
        <v>PAREDE EM DRYWALL, COMPOSTA POR PERFIS GUIAS E MONTANTES EM AÇO GALVANIZADO, CHAPAS EM GESSO EM APENAS UMA DAS FACES, PARA ÁREAS MOLHADAS (RU), MONTANTES SIMPLES A CADA 400MM</v>
      </c>
      <c r="E570" s="45" t="str">
        <f>IF(B570="MP-MT",VLOOKUP(C570,'COMPOSIÇÃO DE PREÇO UNITÁRIO'!A:H,8,FALSE),VLOOKUP(C570,'SINAPI_COMPOSIÇÕES 062020'!A:C,3,FALSE))</f>
        <v>M2</v>
      </c>
      <c r="F570" s="78">
        <f>18.91+14.6+2.63</f>
        <v>36.14</v>
      </c>
      <c r="G570" s="79">
        <f>IF(B570="MP-MT",VLOOKUP(CONCATENATE("TOTAL DO ÍTEM - ",C570),'COMPOSIÇÃO DE PREÇO UNITÁRIO'!A:H,8,FALSE),VLOOKUP(C570,'SINAPI_COMPOSIÇÕES 062020'!A:D,4,FALSE))</f>
        <v>63.63</v>
      </c>
      <c r="H570" s="79">
        <f t="shared" ref="H570" si="142">TRUNC(G570*(1+$F$1),2)</f>
        <v>82.32</v>
      </c>
      <c r="I570" s="79">
        <f t="shared" ref="I570" si="143">TRUNC(H570*F570,2)</f>
        <v>2975.04</v>
      </c>
    </row>
    <row r="571" spans="1:9" ht="25.5" outlineLevel="2" x14ac:dyDescent="0.2">
      <c r="A571" s="45" t="s">
        <v>13743</v>
      </c>
      <c r="B571" s="45" t="s">
        <v>9</v>
      </c>
      <c r="C571" s="45">
        <v>96372</v>
      </c>
      <c r="D571" s="44" t="str">
        <f>IF(B571="MP-MT",VLOOKUP(C571,'COMPOSIÇÃO DE PREÇO UNITÁRIO'!A:B,2,FALSE),VLOOKUP(C571,'SINAPI_COMPOSIÇÕES 062020'!A:B,2,FALSE))</f>
        <v>INSTALAÇÃO DE ISOLAMENTO COM LÃ DE ROCHA EM PAREDES DRYWALL. AF_06/2017</v>
      </c>
      <c r="E571" s="45" t="str">
        <f>IF(B571="MP-MT",VLOOKUP(C571,'COMPOSIÇÃO DE PREÇO UNITÁRIO'!A:H,8,FALSE),VLOOKUP(C571,'SINAPI_COMPOSIÇÕES 062020'!A:C,3,FALSE))</f>
        <v>M2</v>
      </c>
      <c r="F571" s="78">
        <f>18.91+15.74</f>
        <v>34.65</v>
      </c>
      <c r="G571" s="79">
        <f>IF(B571="MP-MT",VLOOKUP(CONCATENATE("TOTAL DO ÍTEM - ",C571),'COMPOSIÇÃO DE PREÇO UNITÁRIO'!A:H,8,FALSE),VLOOKUP(C571,'SINAPI_COMPOSIÇÕES 062020'!A:D,4,FALSE))</f>
        <v>22.3</v>
      </c>
      <c r="H571" s="79">
        <f t="shared" ref="H571" si="144">TRUNC(G571*(1+$F$1),2)</f>
        <v>28.85</v>
      </c>
      <c r="I571" s="79">
        <f t="shared" ref="I571" si="145">TRUNC(H571*F571,2)</f>
        <v>999.65</v>
      </c>
    </row>
    <row r="572" spans="1:9" outlineLevel="2" x14ac:dyDescent="0.2">
      <c r="A572" s="45" t="s">
        <v>13744</v>
      </c>
      <c r="B572" s="45" t="s">
        <v>9</v>
      </c>
      <c r="C572" s="45">
        <v>96374</v>
      </c>
      <c r="D572" s="44" t="str">
        <f>IF(B572="MP-MT",VLOOKUP(C572,'COMPOSIÇÃO DE PREÇO UNITÁRIO'!A:B,2,FALSE),VLOOKUP(C572,'SINAPI_COMPOSIÇÕES 062020'!A:B,2,FALSE))</f>
        <v>INSTALAÇÃO DE REFORÇO DE MADEIRA EM PAREDE DRYWALL. AF_06/2017</v>
      </c>
      <c r="E572" s="45" t="str">
        <f>IF(B572="MP-MT",VLOOKUP(C572,'COMPOSIÇÃO DE PREÇO UNITÁRIO'!A:H,8,FALSE),VLOOKUP(C572,'SINAPI_COMPOSIÇÕES 062020'!A:C,3,FALSE))</f>
        <v>M</v>
      </c>
      <c r="F572" s="78">
        <v>2.2000000000000002</v>
      </c>
      <c r="G572" s="79">
        <f>IF(B572="MP-MT",VLOOKUP(CONCATENATE("TOTAL DO ÍTEM - ",C572),'COMPOSIÇÃO DE PREÇO UNITÁRIO'!A:H,8,FALSE),VLOOKUP(C572,'SINAPI_COMPOSIÇÕES 062020'!A:D,4,FALSE))</f>
        <v>16.39</v>
      </c>
      <c r="H572" s="79">
        <f t="shared" si="140"/>
        <v>21.2</v>
      </c>
      <c r="I572" s="79">
        <f t="shared" si="141"/>
        <v>46.64</v>
      </c>
    </row>
    <row r="573" spans="1:9" outlineLevel="1" x14ac:dyDescent="0.2">
      <c r="A573" s="76"/>
      <c r="B573" s="76"/>
      <c r="C573" s="76"/>
      <c r="D573" s="91" t="str">
        <f>CONCATENATE("TOTAL DO ITEM - ",A567)</f>
        <v>TOTAL DO ITEM - 29.0</v>
      </c>
      <c r="E573" s="76"/>
      <c r="F573" s="92"/>
      <c r="G573" s="93"/>
      <c r="H573" s="93"/>
      <c r="I573" s="93">
        <f>SUM(I568:I572)</f>
        <v>8582.8799999999992</v>
      </c>
    </row>
    <row r="574" spans="1:9" outlineLevel="1" x14ac:dyDescent="0.2">
      <c r="A574" s="232" t="s">
        <v>700</v>
      </c>
      <c r="B574" s="232"/>
      <c r="C574" s="232"/>
      <c r="D574" s="88" t="s">
        <v>11936</v>
      </c>
      <c r="E574" s="232"/>
      <c r="F574" s="89"/>
      <c r="G574" s="90"/>
      <c r="H574" s="90"/>
      <c r="I574" s="90"/>
    </row>
    <row r="575" spans="1:9" ht="38.25" outlineLevel="2" x14ac:dyDescent="0.2">
      <c r="A575" s="45" t="s">
        <v>13745</v>
      </c>
      <c r="B575" s="45" t="s">
        <v>9</v>
      </c>
      <c r="C575" s="45">
        <v>87745</v>
      </c>
      <c r="D575" s="44" t="str">
        <f>IF(B575="MP-MT",VLOOKUP(C575,'COMPOSIÇÃO DE PREÇO UNITÁRIO'!A:B,2,FALSE),VLOOKUP(C575,'SINAPI_COMPOSIÇÕES 062020'!A:B,2,FALSE))</f>
        <v>CONTRAPISO EM ARGAMASSA TRAÇO 1:4 (CIMENTO E AREIA), PREPARO MECÂNICO COM BETONEIRA 400 L, APLICADO EM ÁREAS MOLHADAS SOBRE LAJE, ADERIDO, ESPESSURA 3CM. AF_06/2014</v>
      </c>
      <c r="E575" s="45" t="str">
        <f>IF(B575="MP-MT",VLOOKUP(C575,'COMPOSIÇÃO DE PREÇO UNITÁRIO'!A:H,8,FALSE),VLOOKUP(C575,'SINAPI_COMPOSIÇÕES 062020'!A:C,3,FALSE))</f>
        <v>M2</v>
      </c>
      <c r="F575" s="78">
        <v>14.21</v>
      </c>
      <c r="G575" s="79">
        <f>IF(B575="MP-MT",VLOOKUP(CONCATENATE("TOTAL DO ÍTEM - ",C575),'COMPOSIÇÃO DE PREÇO UNITÁRIO'!A:H,8,FALSE),VLOOKUP(C575,'SINAPI_COMPOSIÇÕES 062020'!A:D,4,FALSE))</f>
        <v>35.479999999999997</v>
      </c>
      <c r="H575" s="79">
        <f t="shared" ref="H575:H576" si="146">TRUNC(G575*(1+$F$1),2)</f>
        <v>45.9</v>
      </c>
      <c r="I575" s="79">
        <f t="shared" ref="I575:I576" si="147">TRUNC(H575*F575,2)</f>
        <v>652.23</v>
      </c>
    </row>
    <row r="576" spans="1:9" ht="38.25" outlineLevel="2" x14ac:dyDescent="0.2">
      <c r="A576" s="45" t="s">
        <v>13746</v>
      </c>
      <c r="B576" s="45" t="s">
        <v>9</v>
      </c>
      <c r="C576" s="45">
        <v>87640</v>
      </c>
      <c r="D576" s="44" t="str">
        <f>IF(B576="MP-MT",VLOOKUP(C576,'COMPOSIÇÃO DE PREÇO UNITÁRIO'!A:B,2,FALSE),VLOOKUP(C576,'SINAPI_COMPOSIÇÕES 062020'!A:B,2,FALSE))</f>
        <v>CONTRAPISO EM ARGAMASSA TRAÇO 1:4 (CIMENTO E AREIA), PREPARO MECÂNICO COM BETONEIRA 400 L, APLICADO EM ÁREAS SECAS SOBRE LAJE, ADERIDO, ESPESSURA 4CM. AF_06/2014</v>
      </c>
      <c r="E576" s="45" t="str">
        <f>IF(B576="MP-MT",VLOOKUP(C576,'COMPOSIÇÃO DE PREÇO UNITÁRIO'!A:H,8,FALSE),VLOOKUP(C576,'SINAPI_COMPOSIÇÕES 062020'!A:C,3,FALSE))</f>
        <v>M2</v>
      </c>
      <c r="F576" s="78">
        <v>7.7</v>
      </c>
      <c r="G576" s="79">
        <f>IF(B576="MP-MT",VLOOKUP(CONCATENATE("TOTAL DO ÍTEM - ",C576),'COMPOSIÇÃO DE PREÇO UNITÁRIO'!A:H,8,FALSE),VLOOKUP(C576,'SINAPI_COMPOSIÇÕES 062020'!A:D,4,FALSE))</f>
        <v>32.47</v>
      </c>
      <c r="H576" s="79">
        <f t="shared" si="146"/>
        <v>42.01</v>
      </c>
      <c r="I576" s="79">
        <f t="shared" si="147"/>
        <v>323.47000000000003</v>
      </c>
    </row>
    <row r="577" spans="1:9" ht="25.5" outlineLevel="2" x14ac:dyDescent="0.2">
      <c r="A577" s="45" t="s">
        <v>13747</v>
      </c>
      <c r="B577" s="45" t="s">
        <v>9</v>
      </c>
      <c r="C577" s="45">
        <v>98557</v>
      </c>
      <c r="D577" s="44" t="str">
        <f>IF(B577="MP-MT",VLOOKUP(C577,'COMPOSIÇÃO DE PREÇO UNITÁRIO'!A:B,2,FALSE),VLOOKUP(C577,'SINAPI_COMPOSIÇÕES 062020'!A:B,2,FALSE))</f>
        <v>IMPERMEABILIZAÇÃO DE SUPERFÍCIE COM EMULSÃO ASFÁLTICA, 2 DEMÃOS AF_06/2018</v>
      </c>
      <c r="E577" s="45" t="str">
        <f>IF(B577="MP-MT",VLOOKUP(C577,'COMPOSIÇÃO DE PREÇO UNITÁRIO'!A:H,8,FALSE),VLOOKUP(C577,'SINAPI_COMPOSIÇÕES 062020'!A:C,3,FALSE))</f>
        <v>M2</v>
      </c>
      <c r="F577" s="78">
        <f>6.74+6.74</f>
        <v>13.48</v>
      </c>
      <c r="G577" s="79">
        <f>IF(B577="MP-MT",VLOOKUP(CONCATENATE("TOTAL DO ÍTEM - ",C577),'COMPOSIÇÃO DE PREÇO UNITÁRIO'!A:H,8,FALSE),VLOOKUP(C577,'SINAPI_COMPOSIÇÕES 062020'!A:D,4,FALSE))</f>
        <v>23.61</v>
      </c>
      <c r="H577" s="79">
        <f t="shared" ref="H577" si="148">TRUNC(G577*(1+$F$1),2)</f>
        <v>30.54</v>
      </c>
      <c r="I577" s="79">
        <f t="shared" ref="I577" si="149">TRUNC(H577*F577,2)</f>
        <v>411.67</v>
      </c>
    </row>
    <row r="578" spans="1:9" outlineLevel="1" x14ac:dyDescent="0.2">
      <c r="A578" s="76"/>
      <c r="B578" s="76"/>
      <c r="C578" s="76"/>
      <c r="D578" s="91" t="str">
        <f>CONCATENATE("TOTAL DO ITEM - ",A574)</f>
        <v>TOTAL DO ITEM - 30.0</v>
      </c>
      <c r="E578" s="76"/>
      <c r="F578" s="92"/>
      <c r="G578" s="93"/>
      <c r="H578" s="93"/>
      <c r="I578" s="93">
        <f>SUM(I575:I577)</f>
        <v>1387.3700000000001</v>
      </c>
    </row>
    <row r="579" spans="1:9" outlineLevel="1" x14ac:dyDescent="0.2">
      <c r="A579" s="232" t="s">
        <v>701</v>
      </c>
      <c r="B579" s="232"/>
      <c r="C579" s="232"/>
      <c r="D579" s="88" t="s">
        <v>61</v>
      </c>
      <c r="E579" s="232"/>
      <c r="F579" s="89"/>
      <c r="G579" s="90"/>
      <c r="H579" s="90"/>
      <c r="I579" s="90"/>
    </row>
    <row r="580" spans="1:9" ht="51" outlineLevel="2" x14ac:dyDescent="0.2">
      <c r="A580" s="45" t="s">
        <v>13707</v>
      </c>
      <c r="B580" s="45" t="s">
        <v>194</v>
      </c>
      <c r="C580" s="45" t="s">
        <v>12522</v>
      </c>
      <c r="D580" s="44" t="str">
        <f>IF(B580="MP-MT",VLOOKUP(C580,'COMPOSIÇÃO DE PREÇO UNITÁRIO'!A:B,2,FALSE),VLOOKUP(C580,'SINAPI_COMPOSIÇÕES 062020'!A:B,2,FALSE))</f>
        <v>KIT DE PORTA EM MADEIRA, CORRER, PARA VERNIZ, SEMI-OCA, PADRÃO MÉDIO, 90X210CM, ESPESSURA 3,5CM, ITENS INCLUSOS: DOBRADIÇAS, MONTAGEM E INSTALAÇÃO DO BATENTE, FECHADURA COM EXECUÇÃO DO FURO, TRILHOS E CORREDIÇAS - FORNECIMENTO E INSTALAÇÃO</v>
      </c>
      <c r="E580" s="45" t="str">
        <f>IF(B580="MP-MT",VLOOKUP(C580,'COMPOSIÇÃO DE PREÇO UNITÁRIO'!A:H,8,FALSE),VLOOKUP(C580,'SINAPI_COMPOSIÇÕES 062020'!A:C,3,FALSE))</f>
        <v>UND</v>
      </c>
      <c r="F580" s="78">
        <v>4</v>
      </c>
      <c r="G580" s="79">
        <f>IF(B580="MP-MT",VLOOKUP(CONCATENATE("TOTAL DO ÍTEM - ",C580),'COMPOSIÇÃO DE PREÇO UNITÁRIO'!A:H,8,FALSE),VLOOKUP(C580,'SINAPI_COMPOSIÇÕES 062020'!A:D,4,FALSE))</f>
        <v>952.64</v>
      </c>
      <c r="H580" s="79">
        <f t="shared" ref="H580" si="150">TRUNC(G580*(1+$F$1),2)</f>
        <v>1232.57</v>
      </c>
      <c r="I580" s="79">
        <f t="shared" ref="I580" si="151">TRUNC(H580*F580,2)</f>
        <v>4930.28</v>
      </c>
    </row>
    <row r="581" spans="1:9" outlineLevel="1" x14ac:dyDescent="0.2">
      <c r="A581" s="76"/>
      <c r="B581" s="76"/>
      <c r="C581" s="76"/>
      <c r="D581" s="91" t="str">
        <f>CONCATENATE("TOTAL DO ITEM - ",A579)</f>
        <v>TOTAL DO ITEM - 31.0</v>
      </c>
      <c r="E581" s="76"/>
      <c r="F581" s="92"/>
      <c r="G581" s="93"/>
      <c r="H581" s="93"/>
      <c r="I581" s="93">
        <f>SUM(I580:I580)</f>
        <v>4930.28</v>
      </c>
    </row>
    <row r="582" spans="1:9" outlineLevel="1" x14ac:dyDescent="0.2">
      <c r="A582" s="232" t="s">
        <v>702</v>
      </c>
      <c r="B582" s="232"/>
      <c r="C582" s="232"/>
      <c r="D582" s="88" t="s">
        <v>12533</v>
      </c>
      <c r="E582" s="232"/>
      <c r="F582" s="89"/>
      <c r="G582" s="90"/>
      <c r="H582" s="90"/>
      <c r="I582" s="90"/>
    </row>
    <row r="583" spans="1:9" ht="25.5" outlineLevel="2" x14ac:dyDescent="0.2">
      <c r="A583" s="45" t="s">
        <v>13748</v>
      </c>
      <c r="B583" s="45" t="s">
        <v>194</v>
      </c>
      <c r="C583" s="45" t="s">
        <v>12535</v>
      </c>
      <c r="D583" s="44" t="str">
        <f>IF(B583="MP-MT",VLOOKUP(C583,'COMPOSIÇÃO DE PREÇO UNITÁRIO'!A:B,2,FALSE),VLOOKUP(C583,'SINAPI_COMPOSIÇÕES 062020'!A:B,2,FALSE))</f>
        <v>REVESTIMENTO CERÂMICO PARA PISO COM PLACAS TIPO PORCELANATO POLIDO DE DIMENSÕES 60X60 CM, REF. DELTA AVORIO OU EQUIVALENTE</v>
      </c>
      <c r="E583" s="45" t="str">
        <f>IF(B583="MP-MT",VLOOKUP(C583,'COMPOSIÇÃO DE PREÇO UNITÁRIO'!A:H,8,FALSE),VLOOKUP(C583,'SINAPI_COMPOSIÇÕES 062020'!A:C,3,FALSE))</f>
        <v>M2</v>
      </c>
      <c r="F583" s="78">
        <f>14.21+7.7</f>
        <v>21.91</v>
      </c>
      <c r="G583" s="79">
        <f>IF(B583="MP-MT",VLOOKUP(CONCATENATE("TOTAL DO ÍTEM - ",C583),'COMPOSIÇÃO DE PREÇO UNITÁRIO'!A:H,8,FALSE),VLOOKUP(C583,'SINAPI_COMPOSIÇÕES 062020'!A:D,4,FALSE))</f>
        <v>85.02</v>
      </c>
      <c r="H583" s="79">
        <f t="shared" ref="H583:H585" si="152">TRUNC(G583*(1+$F$1),2)</f>
        <v>110</v>
      </c>
      <c r="I583" s="79">
        <f t="shared" ref="I583:I585" si="153">TRUNC(H583*F583,2)</f>
        <v>2410.1</v>
      </c>
    </row>
    <row r="584" spans="1:9" ht="25.5" outlineLevel="2" x14ac:dyDescent="0.2">
      <c r="A584" s="45" t="s">
        <v>13749</v>
      </c>
      <c r="B584" s="45" t="s">
        <v>194</v>
      </c>
      <c r="C584" s="45" t="s">
        <v>12539</v>
      </c>
      <c r="D584" s="44" t="str">
        <f>IF(B584="MP-MT",VLOOKUP(C584,'COMPOSIÇÃO DE PREÇO UNITÁRIO'!A:B,2,FALSE),VLOOKUP(C584,'SINAPI_COMPOSIÇÕES 062020'!A:B,2,FALSE))</f>
        <v>RODAPÉ EM PORCELANATO POLIDO, 10CM DE ALTURA, COM PLACAS TIPO GRÊS DE DIMENSÕES 60X60CM, REF. DELTA AVÓRIO OU EQUIVALENTE</v>
      </c>
      <c r="E584" s="45" t="str">
        <f>IF(B584="MP-MT",VLOOKUP(C584,'COMPOSIÇÃO DE PREÇO UNITÁRIO'!A:H,8,FALSE),VLOOKUP(C584,'SINAPI_COMPOSIÇÕES 062020'!A:C,3,FALSE))</f>
        <v>M</v>
      </c>
      <c r="F584" s="78">
        <v>11.59</v>
      </c>
      <c r="G584" s="79">
        <f>IF(B584="MP-MT",VLOOKUP(CONCATENATE("TOTAL DO ÍTEM - ",C584),'COMPOSIÇÃO DE PREÇO UNITÁRIO'!A:H,8,FALSE),VLOOKUP(C584,'SINAPI_COMPOSIÇÕES 062020'!A:D,4,FALSE))</f>
        <v>7.86</v>
      </c>
      <c r="H584" s="79">
        <f t="shared" si="152"/>
        <v>10.16</v>
      </c>
      <c r="I584" s="79">
        <f t="shared" si="153"/>
        <v>117.75</v>
      </c>
    </row>
    <row r="585" spans="1:9" ht="25.5" outlineLevel="2" x14ac:dyDescent="0.2">
      <c r="A585" s="45" t="s">
        <v>13750</v>
      </c>
      <c r="B585" s="45" t="s">
        <v>194</v>
      </c>
      <c r="C585" s="45" t="s">
        <v>12545</v>
      </c>
      <c r="D585" s="44" t="str">
        <f>IF(B585="MP-MT",VLOOKUP(C585,'COMPOSIÇÃO DE PREÇO UNITÁRIO'!A:B,2,FALSE),VLOOKUP(C585,'SINAPI_COMPOSIÇÕES 062020'!A:B,2,FALSE))</f>
        <v>SOLEIRA DE GRANITO BRANCO SIENA, LARGURA 10CM, ESPESSURA 2CM, ASSENTADA SOBRE ARGAMASSA TRACO 1:4 (CIMENTO E AREIA)</v>
      </c>
      <c r="E585" s="45" t="str">
        <f>IF(B585="MP-MT",VLOOKUP(C585,'COMPOSIÇÃO DE PREÇO UNITÁRIO'!A:H,8,FALSE),VLOOKUP(C585,'SINAPI_COMPOSIÇÕES 062020'!A:C,3,FALSE))</f>
        <v>M</v>
      </c>
      <c r="F585" s="78">
        <v>3.6</v>
      </c>
      <c r="G585" s="79">
        <f>IF(B585="MP-MT",VLOOKUP(CONCATENATE("TOTAL DO ÍTEM - ",C585),'COMPOSIÇÃO DE PREÇO UNITÁRIO'!A:H,8,FALSE),VLOOKUP(C585,'SINAPI_COMPOSIÇÕES 062020'!A:D,4,FALSE))</f>
        <v>86.95</v>
      </c>
      <c r="H585" s="79">
        <f t="shared" si="152"/>
        <v>112.5</v>
      </c>
      <c r="I585" s="79">
        <f t="shared" si="153"/>
        <v>405</v>
      </c>
    </row>
    <row r="586" spans="1:9" outlineLevel="1" x14ac:dyDescent="0.2">
      <c r="A586" s="76"/>
      <c r="B586" s="76"/>
      <c r="C586" s="76"/>
      <c r="D586" s="91" t="str">
        <f>CONCATENATE("TOTAL DO ITEM - ",A582)</f>
        <v>TOTAL DO ITEM - 32.0</v>
      </c>
      <c r="E586" s="76"/>
      <c r="F586" s="92"/>
      <c r="G586" s="93"/>
      <c r="H586" s="93"/>
      <c r="I586" s="93">
        <f>SUM(I583:I585)</f>
        <v>2932.85</v>
      </c>
    </row>
    <row r="587" spans="1:9" outlineLevel="1" x14ac:dyDescent="0.2">
      <c r="A587" s="232" t="s">
        <v>13234</v>
      </c>
      <c r="B587" s="232"/>
      <c r="C587" s="232"/>
      <c r="D587" s="88" t="s">
        <v>12534</v>
      </c>
      <c r="E587" s="232"/>
      <c r="F587" s="89"/>
      <c r="G587" s="90"/>
      <c r="H587" s="90"/>
      <c r="I587" s="90"/>
    </row>
    <row r="588" spans="1:9" ht="51" outlineLevel="2" x14ac:dyDescent="0.2">
      <c r="A588" s="45" t="s">
        <v>13751</v>
      </c>
      <c r="B588" s="45" t="s">
        <v>194</v>
      </c>
      <c r="C588" s="45" t="s">
        <v>12546</v>
      </c>
      <c r="D588" s="44" t="str">
        <f>IF(B588="MP-MT",VLOOKUP(C588,'COMPOSIÇÃO DE PREÇO UNITÁRIO'!A:B,2,FALSE),VLOOKUP(C588,'SINAPI_COMPOSIÇÕES 062020'!A:B,2,FALSE))</f>
        <v>REVESTIMENTO CERÂMICO PARA PAREDES INTERNAS COM PLACAS TIPO GRÊS OU SEMI-GRÊS DE DIMENSÕES 30X60 CM APLICADAS EM AMBIENTES DE ÁREA MAIOR QUE 5 M² NA ALTURA INTEIRA DAS PAREDES - REF. PORTOBELLO BIANCO OU EQUIVALENTE</v>
      </c>
      <c r="E588" s="45" t="str">
        <f>IF(B588="MP-MT",VLOOKUP(C588,'COMPOSIÇÃO DE PREÇO UNITÁRIO'!A:H,8,FALSE),VLOOKUP(C588,'SINAPI_COMPOSIÇÕES 062020'!A:C,3,FALSE))</f>
        <v>M2</v>
      </c>
      <c r="F588" s="78">
        <v>39.119999999999997</v>
      </c>
      <c r="G588" s="79">
        <f>IF(B588="MP-MT",VLOOKUP(CONCATENATE("TOTAL DO ÍTEM - ",C588),'COMPOSIÇÃO DE PREÇO UNITÁRIO'!A:H,8,FALSE),VLOOKUP(C588,'SINAPI_COMPOSIÇÕES 062020'!A:D,4,FALSE))</f>
        <v>70.22</v>
      </c>
      <c r="H588" s="79">
        <f t="shared" ref="H588" si="154">TRUNC(G588*(1+$F$1),2)</f>
        <v>90.85</v>
      </c>
      <c r="I588" s="79">
        <f t="shared" ref="I588" si="155">TRUNC(H588*F588,2)</f>
        <v>3554.05</v>
      </c>
    </row>
    <row r="589" spans="1:9" outlineLevel="1" x14ac:dyDescent="0.2">
      <c r="A589" s="76"/>
      <c r="B589" s="76"/>
      <c r="C589" s="76"/>
      <c r="D589" s="91" t="str">
        <f>CONCATENATE("TOTAL DO ITEM - ",A587)</f>
        <v>TOTAL DO ITEM - 33.0</v>
      </c>
      <c r="E589" s="76"/>
      <c r="F589" s="92"/>
      <c r="G589" s="93"/>
      <c r="H589" s="93"/>
      <c r="I589" s="93">
        <f>SUM(I588:I588)</f>
        <v>3554.05</v>
      </c>
    </row>
    <row r="590" spans="1:9" outlineLevel="1" x14ac:dyDescent="0.2">
      <c r="A590" s="232" t="s">
        <v>13235</v>
      </c>
      <c r="B590" s="232"/>
      <c r="C590" s="232"/>
      <c r="D590" s="88" t="s">
        <v>12052</v>
      </c>
      <c r="E590" s="232"/>
      <c r="F590" s="89"/>
      <c r="G590" s="90"/>
      <c r="H590" s="90"/>
      <c r="I590" s="90"/>
    </row>
    <row r="591" spans="1:9" ht="25.5" outlineLevel="2" x14ac:dyDescent="0.2">
      <c r="A591" s="45" t="s">
        <v>13752</v>
      </c>
      <c r="B591" s="45" t="s">
        <v>9</v>
      </c>
      <c r="C591" s="45">
        <v>96114</v>
      </c>
      <c r="D591" s="44" t="str">
        <f>IF(B591="MP-MT",VLOOKUP(C591,'COMPOSIÇÃO DE PREÇO UNITÁRIO'!A:B,2,FALSE),VLOOKUP(C591,'SINAPI_COMPOSIÇÕES 062020'!A:B,2,FALSE))</f>
        <v>FORRO EM DRYWALL, PARA AMBIENTES COMERCIAIS, INCLUSIVE ESTRUTURA DE FIXAÇÃO. AF_05/2017_P</v>
      </c>
      <c r="E591" s="45" t="str">
        <f>IF(B591="MP-MT",VLOOKUP(C591,'COMPOSIÇÃO DE PREÇO UNITÁRIO'!A:H,8,FALSE),VLOOKUP(C591,'SINAPI_COMPOSIÇÕES 062020'!A:C,3,FALSE))</f>
        <v>M2</v>
      </c>
      <c r="F591" s="78">
        <v>21.48</v>
      </c>
      <c r="G591" s="79">
        <f>IF(B591="MP-MT",VLOOKUP(CONCATENATE("TOTAL DO ÍTEM - ",C591),'COMPOSIÇÃO DE PREÇO UNITÁRIO'!A:H,8,FALSE),VLOOKUP(C591,'SINAPI_COMPOSIÇÕES 062020'!A:D,4,FALSE))</f>
        <v>56.95</v>
      </c>
      <c r="H591" s="79">
        <f t="shared" ref="H591:H592" si="156">TRUNC(G591*(1+$F$1),2)</f>
        <v>73.680000000000007</v>
      </c>
      <c r="I591" s="79">
        <f t="shared" ref="I591:I592" si="157">TRUNC(H591*F591,2)</f>
        <v>1582.64</v>
      </c>
    </row>
    <row r="592" spans="1:9" ht="25.5" outlineLevel="2" x14ac:dyDescent="0.2">
      <c r="A592" s="45" t="s">
        <v>13753</v>
      </c>
      <c r="B592" s="45" t="s">
        <v>9</v>
      </c>
      <c r="C592" s="45">
        <v>96121</v>
      </c>
      <c r="D592" s="44" t="str">
        <f>IF(B592="MP-MT",VLOOKUP(C592,'COMPOSIÇÃO DE PREÇO UNITÁRIO'!A:B,2,FALSE),VLOOKUP(C592,'SINAPI_COMPOSIÇÕES 062020'!A:B,2,FALSE))</f>
        <v>ACABAMENTOS PARA FORRO (RODA-FORRO EM PERFIL METÁLICO E PLÁSTICO). AF_05/2017</v>
      </c>
      <c r="E592" s="45" t="str">
        <f>IF(B592="MP-MT",VLOOKUP(C592,'COMPOSIÇÃO DE PREÇO UNITÁRIO'!A:H,8,FALSE),VLOOKUP(C592,'SINAPI_COMPOSIÇÕES 062020'!A:C,3,FALSE))</f>
        <v>M</v>
      </c>
      <c r="F592" s="78">
        <v>29.7</v>
      </c>
      <c r="G592" s="79">
        <f>IF(B592="MP-MT",VLOOKUP(CONCATENATE("TOTAL DO ÍTEM - ",C592),'COMPOSIÇÃO DE PREÇO UNITÁRIO'!A:H,8,FALSE),VLOOKUP(C592,'SINAPI_COMPOSIÇÕES 062020'!A:D,4,FALSE))</f>
        <v>7.02</v>
      </c>
      <c r="H592" s="79">
        <f t="shared" si="156"/>
        <v>9.08</v>
      </c>
      <c r="I592" s="79">
        <f t="shared" si="157"/>
        <v>269.67</v>
      </c>
    </row>
    <row r="593" spans="1:9" outlineLevel="1" x14ac:dyDescent="0.2">
      <c r="A593" s="76"/>
      <c r="B593" s="76"/>
      <c r="C593" s="76"/>
      <c r="D593" s="91" t="str">
        <f>CONCATENATE("TOTAL DO ITEM - ",A590)</f>
        <v>TOTAL DO ITEM - 34.0</v>
      </c>
      <c r="E593" s="76"/>
      <c r="F593" s="92"/>
      <c r="G593" s="93"/>
      <c r="H593" s="93"/>
      <c r="I593" s="93">
        <f>SUM(I591:I592)</f>
        <v>1852.3100000000002</v>
      </c>
    </row>
    <row r="594" spans="1:9" outlineLevel="1" x14ac:dyDescent="0.2">
      <c r="A594" s="232" t="s">
        <v>13236</v>
      </c>
      <c r="B594" s="232"/>
      <c r="C594" s="232"/>
      <c r="D594" s="88" t="s">
        <v>12061</v>
      </c>
      <c r="E594" s="232"/>
      <c r="F594" s="89"/>
      <c r="G594" s="90"/>
      <c r="H594" s="90"/>
      <c r="I594" s="90"/>
    </row>
    <row r="595" spans="1:9" ht="25.5" outlineLevel="2" x14ac:dyDescent="0.2">
      <c r="A595" s="45" t="s">
        <v>13754</v>
      </c>
      <c r="B595" s="45" t="s">
        <v>9</v>
      </c>
      <c r="C595" s="45">
        <v>88485</v>
      </c>
      <c r="D595" s="44" t="str">
        <f>IF(B595="MP-MT",VLOOKUP(C595,'COMPOSIÇÃO DE PREÇO UNITÁRIO'!A:B,2,FALSE),VLOOKUP(C595,'SINAPI_COMPOSIÇÕES 062020'!A:B,2,FALSE))</f>
        <v>APLICAÇÃO DE FUNDO SELADOR ACRÍLICO EM PAREDES, UMA DEMÃO. AF_06/2014</v>
      </c>
      <c r="E595" s="45" t="str">
        <f>IF(B595="MP-MT",VLOOKUP(C595,'COMPOSIÇÃO DE PREÇO UNITÁRIO'!A:H,8,FALSE),VLOOKUP(C595,'SINAPI_COMPOSIÇÕES 062020'!A:C,3,FALSE))</f>
        <v>M2</v>
      </c>
      <c r="F595" s="78">
        <v>73.650000000000006</v>
      </c>
      <c r="G595" s="79">
        <f>IF(B595="MP-MT",VLOOKUP(CONCATENATE("TOTAL DO ÍTEM - ",C595),'COMPOSIÇÃO DE PREÇO UNITÁRIO'!A:H,8,FALSE),VLOOKUP(C595,'SINAPI_COMPOSIÇÕES 062020'!A:D,4,FALSE))</f>
        <v>1.55</v>
      </c>
      <c r="H595" s="79">
        <f t="shared" ref="H595:H600" si="158">TRUNC(G595*(1+$F$1),2)</f>
        <v>2</v>
      </c>
      <c r="I595" s="79">
        <f t="shared" ref="I595:I600" si="159">TRUNC(H595*F595,2)</f>
        <v>147.30000000000001</v>
      </c>
    </row>
    <row r="596" spans="1:9" ht="25.5" outlineLevel="2" x14ac:dyDescent="0.2">
      <c r="A596" s="45" t="s">
        <v>13755</v>
      </c>
      <c r="B596" s="45" t="s">
        <v>9</v>
      </c>
      <c r="C596" s="45">
        <v>88484</v>
      </c>
      <c r="D596" s="44" t="str">
        <f>IF(B596="MP-MT",VLOOKUP(C596,'COMPOSIÇÃO DE PREÇO UNITÁRIO'!A:B,2,FALSE),VLOOKUP(C596,'SINAPI_COMPOSIÇÕES 062020'!A:B,2,FALSE))</f>
        <v>APLICAÇÃO DE FUNDO SELADOR ACRÍLICO EM TETO, UMA DEMÃO. AF_06/2014</v>
      </c>
      <c r="E596" s="45" t="str">
        <f>IF(B596="MP-MT",VLOOKUP(C596,'COMPOSIÇÃO DE PREÇO UNITÁRIO'!A:H,8,FALSE),VLOOKUP(C596,'SINAPI_COMPOSIÇÕES 062020'!A:C,3,FALSE))</f>
        <v>M2</v>
      </c>
      <c r="F596" s="78">
        <v>21.48</v>
      </c>
      <c r="G596" s="79">
        <f>IF(B596="MP-MT",VLOOKUP(CONCATENATE("TOTAL DO ÍTEM - ",C596),'COMPOSIÇÃO DE PREÇO UNITÁRIO'!A:H,8,FALSE),VLOOKUP(C596,'SINAPI_COMPOSIÇÕES 062020'!A:D,4,FALSE))</f>
        <v>1.85</v>
      </c>
      <c r="H596" s="79">
        <f t="shared" si="158"/>
        <v>2.39</v>
      </c>
      <c r="I596" s="79">
        <f t="shared" si="159"/>
        <v>51.33</v>
      </c>
    </row>
    <row r="597" spans="1:9" ht="25.5" outlineLevel="2" x14ac:dyDescent="0.2">
      <c r="A597" s="45" t="s">
        <v>13756</v>
      </c>
      <c r="B597" s="45" t="s">
        <v>9</v>
      </c>
      <c r="C597" s="45">
        <v>88497</v>
      </c>
      <c r="D597" s="44" t="str">
        <f>IF(B597="MP-MT",VLOOKUP(C597,'COMPOSIÇÃO DE PREÇO UNITÁRIO'!A:B,2,FALSE),VLOOKUP(C597,'SINAPI_COMPOSIÇÕES 062020'!A:B,2,FALSE))</f>
        <v>APLICAÇÃO E LIXAMENTO DE MASSA LÁTEX EM PAREDES, DUAS DEMÃOS. AF_06/2014</v>
      </c>
      <c r="E597" s="45" t="str">
        <f>IF(B597="MP-MT",VLOOKUP(C597,'COMPOSIÇÃO DE PREÇO UNITÁRIO'!A:H,8,FALSE),VLOOKUP(C597,'SINAPI_COMPOSIÇÕES 062020'!A:C,3,FALSE))</f>
        <v>M2</v>
      </c>
      <c r="F597" s="78">
        <v>73.650000000000006</v>
      </c>
      <c r="G597" s="79">
        <f>IF(B597="MP-MT",VLOOKUP(CONCATENATE("TOTAL DO ÍTEM - ",C597),'COMPOSIÇÃO DE PREÇO UNITÁRIO'!A:H,8,FALSE),VLOOKUP(C597,'SINAPI_COMPOSIÇÕES 062020'!A:D,4,FALSE))</f>
        <v>11.14</v>
      </c>
      <c r="H597" s="79">
        <f t="shared" si="158"/>
        <v>14.41</v>
      </c>
      <c r="I597" s="79">
        <f t="shared" si="159"/>
        <v>1061.29</v>
      </c>
    </row>
    <row r="598" spans="1:9" ht="25.5" outlineLevel="2" x14ac:dyDescent="0.2">
      <c r="A598" s="45" t="s">
        <v>13757</v>
      </c>
      <c r="B598" s="45" t="s">
        <v>9</v>
      </c>
      <c r="C598" s="45">
        <v>88496</v>
      </c>
      <c r="D598" s="44" t="str">
        <f>IF(B598="MP-MT",VLOOKUP(C598,'COMPOSIÇÃO DE PREÇO UNITÁRIO'!A:B,2,FALSE),VLOOKUP(C598,'SINAPI_COMPOSIÇÕES 062020'!A:B,2,FALSE))</f>
        <v>APLICAÇÃO E LIXAMENTO DE MASSA LÁTEX EM TETO, DUAS DEMÃOS. AF_06/2014</v>
      </c>
      <c r="E598" s="45" t="str">
        <f>IF(B598="MP-MT",VLOOKUP(C598,'COMPOSIÇÃO DE PREÇO UNITÁRIO'!A:H,8,FALSE),VLOOKUP(C598,'SINAPI_COMPOSIÇÕES 062020'!A:C,3,FALSE))</f>
        <v>M2</v>
      </c>
      <c r="F598" s="78">
        <v>21.48</v>
      </c>
      <c r="G598" s="79">
        <f>IF(B598="MP-MT",VLOOKUP(CONCATENATE("TOTAL DO ÍTEM - ",C598),'COMPOSIÇÃO DE PREÇO UNITÁRIO'!A:H,8,FALSE),VLOOKUP(C598,'SINAPI_COMPOSIÇÕES 062020'!A:D,4,FALSE))</f>
        <v>19.84</v>
      </c>
      <c r="H598" s="79">
        <f t="shared" si="158"/>
        <v>25.67</v>
      </c>
      <c r="I598" s="79">
        <f t="shared" si="159"/>
        <v>551.39</v>
      </c>
    </row>
    <row r="599" spans="1:9" ht="25.5" outlineLevel="2" x14ac:dyDescent="0.2">
      <c r="A599" s="45" t="s">
        <v>13758</v>
      </c>
      <c r="B599" s="45" t="s">
        <v>9</v>
      </c>
      <c r="C599" s="45">
        <v>88489</v>
      </c>
      <c r="D599" s="44" t="str">
        <f>CONCATENATE(IF(B599="MP-MT",VLOOKUP(C599,'COMPOSIÇÃO DE PREÇO UNITÁRIO'!A:B,2,FALSE),VLOOKUP(C599,'SINAPI_COMPOSIÇÕES 062020'!A:B,2,FALSE))," - BRANCO GELO")</f>
        <v>APLICAÇÃO MANUAL DE PINTURA COM TINTA LÁTEX ACRÍLICA EM PAREDES, DUAS DEMÃOS. AF_06/2014 - BRANCO GELO</v>
      </c>
      <c r="E599" s="45" t="str">
        <f>IF(B599="MP-MT",VLOOKUP(C599,'COMPOSIÇÃO DE PREÇO UNITÁRIO'!A:H,8,FALSE),VLOOKUP(C599,'SINAPI_COMPOSIÇÕES 062020'!A:C,3,FALSE))</f>
        <v>M2</v>
      </c>
      <c r="F599" s="78">
        <v>73.650000000000006</v>
      </c>
      <c r="G599" s="79">
        <f>IF(B599="MP-MT",VLOOKUP(CONCATENATE("TOTAL DO ÍTEM - ",C599),'COMPOSIÇÃO DE PREÇO UNITÁRIO'!A:H,8,FALSE),VLOOKUP(C599,'SINAPI_COMPOSIÇÕES 062020'!A:D,4,FALSE))</f>
        <v>11.3</v>
      </c>
      <c r="H599" s="79">
        <f t="shared" si="158"/>
        <v>14.62</v>
      </c>
      <c r="I599" s="79">
        <f t="shared" si="159"/>
        <v>1076.76</v>
      </c>
    </row>
    <row r="600" spans="1:9" ht="25.5" outlineLevel="2" x14ac:dyDescent="0.2">
      <c r="A600" s="45" t="s">
        <v>13759</v>
      </c>
      <c r="B600" s="45" t="s">
        <v>9</v>
      </c>
      <c r="C600" s="45">
        <v>88488</v>
      </c>
      <c r="D600" s="44" t="str">
        <f>CONCATENATE(IF(B600="MP-MT",VLOOKUP(C600,'COMPOSIÇÃO DE PREÇO UNITÁRIO'!A:B,2,FALSE),VLOOKUP(C600,'SINAPI_COMPOSIÇÕES 062020'!A:B,2,FALSE))," - BRANCO NEVE")</f>
        <v>APLICAÇÃO MANUAL DE PINTURA COM TINTA LÁTEX ACRÍLICA EM TETO, DUAS DEMÃOS. AF_06/2014 - BRANCO NEVE</v>
      </c>
      <c r="E600" s="45" t="str">
        <f>IF(B600="MP-MT",VLOOKUP(C600,'COMPOSIÇÃO DE PREÇO UNITÁRIO'!A:H,8,FALSE),VLOOKUP(C600,'SINAPI_COMPOSIÇÕES 062020'!A:C,3,FALSE))</f>
        <v>M2</v>
      </c>
      <c r="F600" s="78">
        <v>21.48</v>
      </c>
      <c r="G600" s="79">
        <f>IF(B600="MP-MT",VLOOKUP(CONCATENATE("TOTAL DO ÍTEM - ",C600),'COMPOSIÇÃO DE PREÇO UNITÁRIO'!A:H,8,FALSE),VLOOKUP(C600,'SINAPI_COMPOSIÇÕES 062020'!A:D,4,FALSE))</f>
        <v>12.65</v>
      </c>
      <c r="H600" s="79">
        <f t="shared" si="158"/>
        <v>16.36</v>
      </c>
      <c r="I600" s="79">
        <f t="shared" si="159"/>
        <v>351.41</v>
      </c>
    </row>
    <row r="601" spans="1:9" outlineLevel="1" x14ac:dyDescent="0.2">
      <c r="A601" s="76"/>
      <c r="B601" s="76"/>
      <c r="C601" s="76"/>
      <c r="D601" s="91" t="str">
        <f>CONCATENATE("TOTAL DO ITEM - ",A594)</f>
        <v>TOTAL DO ITEM - 35.0</v>
      </c>
      <c r="E601" s="76"/>
      <c r="F601" s="92"/>
      <c r="G601" s="93"/>
      <c r="H601" s="93"/>
      <c r="I601" s="93">
        <f>SUM(I595:I600)</f>
        <v>3239.4799999999996</v>
      </c>
    </row>
    <row r="602" spans="1:9" outlineLevel="1" x14ac:dyDescent="0.2">
      <c r="A602" s="232" t="s">
        <v>13237</v>
      </c>
      <c r="B602" s="232"/>
      <c r="C602" s="232"/>
      <c r="D602" s="88" t="s">
        <v>12544</v>
      </c>
      <c r="E602" s="232"/>
      <c r="F602" s="89"/>
      <c r="G602" s="90"/>
      <c r="H602" s="90"/>
      <c r="I602" s="90"/>
    </row>
    <row r="603" spans="1:9" ht="25.5" outlineLevel="2" x14ac:dyDescent="0.2">
      <c r="A603" s="45" t="s">
        <v>13760</v>
      </c>
      <c r="B603" s="45" t="s">
        <v>9</v>
      </c>
      <c r="C603" s="45">
        <v>91941</v>
      </c>
      <c r="D603" s="44" t="str">
        <f>IF(B603="MP-MT",VLOOKUP(C603,'COMPOSIÇÃO DE PREÇO UNITÁRIO'!A:B,2,FALSE),VLOOKUP(C603,'SINAPI_COMPOSIÇÕES 062020'!A:B,2,FALSE))</f>
        <v>CAIXA RETANGULAR 4" X 2" BAIXA (0,30 M DO PISO), PVC, INSTALADA EM PAREDE - FORNECIMENTO E INSTALAÇÃO. AF_12/2015</v>
      </c>
      <c r="E603" s="45" t="str">
        <f>IF(B603="MP-MT",VLOOKUP(C603,'COMPOSIÇÃO DE PREÇO UNITÁRIO'!A:H,8,FALSE),VLOOKUP(C603,'SINAPI_COMPOSIÇÕES 062020'!A:C,3,FALSE))</f>
        <v>UN</v>
      </c>
      <c r="F603" s="78">
        <v>4</v>
      </c>
      <c r="G603" s="79">
        <f>IF(B603="MP-MT",VLOOKUP(CONCATENATE("TOTAL DO ÍTEM - ",C603),'COMPOSIÇÃO DE PREÇO UNITÁRIO'!A:H,8,FALSE),VLOOKUP(C603,'SINAPI_COMPOSIÇÕES 062020'!A:D,4,FALSE))</f>
        <v>6.76</v>
      </c>
      <c r="H603" s="79">
        <f t="shared" ref="H603:H604" si="160">TRUNC(G603*(1+$F$1),2)</f>
        <v>8.74</v>
      </c>
      <c r="I603" s="79">
        <f t="shared" ref="I603:I604" si="161">TRUNC(H603*F603,2)</f>
        <v>34.96</v>
      </c>
    </row>
    <row r="604" spans="1:9" ht="25.5" outlineLevel="2" x14ac:dyDescent="0.2">
      <c r="A604" s="45" t="s">
        <v>13761</v>
      </c>
      <c r="B604" s="45" t="s">
        <v>9</v>
      </c>
      <c r="C604" s="45">
        <v>91940</v>
      </c>
      <c r="D604" s="44" t="str">
        <f>IF(B604="MP-MT",VLOOKUP(C604,'COMPOSIÇÃO DE PREÇO UNITÁRIO'!A:B,2,FALSE),VLOOKUP(C604,'SINAPI_COMPOSIÇÕES 062020'!A:B,2,FALSE))</f>
        <v>CAIXA RETANGULAR 4" X 2" MÉDIA (1,30 M DO PISO), PVC, INSTALADA EM PAREDE - FORNECIMENTO E INSTALAÇÃO. AF_12/2015</v>
      </c>
      <c r="E604" s="45" t="str">
        <f>IF(B604="MP-MT",VLOOKUP(C604,'COMPOSIÇÃO DE PREÇO UNITÁRIO'!A:H,8,FALSE),VLOOKUP(C604,'SINAPI_COMPOSIÇÕES 062020'!A:C,3,FALSE))</f>
        <v>UN</v>
      </c>
      <c r="F604" s="78">
        <v>6</v>
      </c>
      <c r="G604" s="79">
        <f>IF(B604="MP-MT",VLOOKUP(CONCATENATE("TOTAL DO ÍTEM - ",C604),'COMPOSIÇÃO DE PREÇO UNITÁRIO'!A:H,8,FALSE),VLOOKUP(C604,'SINAPI_COMPOSIÇÕES 062020'!A:D,4,FALSE))</f>
        <v>10.09</v>
      </c>
      <c r="H604" s="79">
        <f t="shared" si="160"/>
        <v>13.05</v>
      </c>
      <c r="I604" s="79">
        <f t="shared" si="161"/>
        <v>78.3</v>
      </c>
    </row>
    <row r="605" spans="1:9" ht="25.5" outlineLevel="2" x14ac:dyDescent="0.2">
      <c r="A605" s="45" t="s">
        <v>13762</v>
      </c>
      <c r="B605" s="45" t="s">
        <v>9</v>
      </c>
      <c r="C605" s="45">
        <v>91942</v>
      </c>
      <c r="D605" s="44" t="str">
        <f>IF(B605="MP-MT",VLOOKUP(C605,'COMPOSIÇÃO DE PREÇO UNITÁRIO'!A:B,2,FALSE),VLOOKUP(C605,'SINAPI_COMPOSIÇÕES 062020'!A:B,2,FALSE))</f>
        <v>CAIXA RETANGULAR 4" X 4" ALTA (2,00 M DO PISO), PVC, INSTALADA EM PAREDE - FORNECIMENTO E INSTALAÇÃO. AF_12/2015</v>
      </c>
      <c r="E605" s="45" t="str">
        <f>IF(B605="MP-MT",VLOOKUP(C605,'COMPOSIÇÃO DE PREÇO UNITÁRIO'!A:H,8,FALSE),VLOOKUP(C605,'SINAPI_COMPOSIÇÕES 062020'!A:C,3,FALSE))</f>
        <v>UN</v>
      </c>
      <c r="F605" s="78">
        <v>4</v>
      </c>
      <c r="G605" s="79">
        <f>IF(B605="MP-MT",VLOOKUP(CONCATENATE("TOTAL DO ÍTEM - ",C605),'COMPOSIÇÃO DE PREÇO UNITÁRIO'!A:H,8,FALSE),VLOOKUP(C605,'SINAPI_COMPOSIÇÕES 062020'!A:D,4,FALSE))</f>
        <v>23.28</v>
      </c>
      <c r="H605" s="79">
        <f t="shared" ref="H605:H613" si="162">TRUNC(G605*(1+$F$1),2)</f>
        <v>30.12</v>
      </c>
      <c r="I605" s="79">
        <f t="shared" ref="I605:I613" si="163">TRUNC(H605*F605,2)</f>
        <v>120.48</v>
      </c>
    </row>
    <row r="606" spans="1:9" ht="25.5" outlineLevel="2" x14ac:dyDescent="0.2">
      <c r="A606" s="45" t="s">
        <v>13763</v>
      </c>
      <c r="B606" s="45" t="s">
        <v>9</v>
      </c>
      <c r="C606" s="45">
        <v>91937</v>
      </c>
      <c r="D606" s="44" t="str">
        <f>IF(B606="MP-MT",VLOOKUP(C606,'COMPOSIÇÃO DE PREÇO UNITÁRIO'!A:B,2,FALSE),VLOOKUP(C606,'SINAPI_COMPOSIÇÕES 062020'!A:B,2,FALSE))</f>
        <v>CAIXA OCTOGONAL 3" X 3", PVC, INSTALADA EM LAJE - FORNECIMENTO E INSTALAÇÃO. AF_12/2015</v>
      </c>
      <c r="E606" s="45" t="str">
        <f>IF(B606="MP-MT",VLOOKUP(C606,'COMPOSIÇÃO DE PREÇO UNITÁRIO'!A:H,8,FALSE),VLOOKUP(C606,'SINAPI_COMPOSIÇÕES 062020'!A:C,3,FALSE))</f>
        <v>UN</v>
      </c>
      <c r="F606" s="78">
        <v>6</v>
      </c>
      <c r="G606" s="79">
        <f>IF(B606="MP-MT",VLOOKUP(CONCATENATE("TOTAL DO ÍTEM - ",C606),'COMPOSIÇÃO DE PREÇO UNITÁRIO'!A:H,8,FALSE),VLOOKUP(C606,'SINAPI_COMPOSIÇÕES 062020'!A:D,4,FALSE))</f>
        <v>7.61</v>
      </c>
      <c r="H606" s="79">
        <f t="shared" si="162"/>
        <v>9.84</v>
      </c>
      <c r="I606" s="79">
        <f t="shared" si="163"/>
        <v>59.04</v>
      </c>
    </row>
    <row r="607" spans="1:9" ht="38.25" outlineLevel="2" x14ac:dyDescent="0.2">
      <c r="A607" s="45" t="s">
        <v>13764</v>
      </c>
      <c r="B607" s="45" t="s">
        <v>9</v>
      </c>
      <c r="C607" s="45">
        <v>91854</v>
      </c>
      <c r="D607" s="44" t="str">
        <f>IF(B607="MP-MT",VLOOKUP(C607,'COMPOSIÇÃO DE PREÇO UNITÁRIO'!A:B,2,FALSE),VLOOKUP(C607,'SINAPI_COMPOSIÇÕES 062020'!A:B,2,FALSE))</f>
        <v>ELETRODUTO FLEXÍVEL CORRUGADO, PVC, DN 25 MM (3/4"), PARA CIRCUITOS TERMINAIS, INSTALADO EM PAREDE - FORNECIMENTO E INSTALAÇÃO. AF_12/2015</v>
      </c>
      <c r="E607" s="45" t="str">
        <f>IF(B607="MP-MT",VLOOKUP(C607,'COMPOSIÇÃO DE PREÇO UNITÁRIO'!A:H,8,FALSE),VLOOKUP(C607,'SINAPI_COMPOSIÇÕES 062020'!A:C,3,FALSE))</f>
        <v>M</v>
      </c>
      <c r="F607" s="78">
        <v>57.8</v>
      </c>
      <c r="G607" s="79">
        <f>IF(B607="MP-MT",VLOOKUP(CONCATENATE("TOTAL DO ÍTEM - ",C607),'COMPOSIÇÃO DE PREÇO UNITÁRIO'!A:H,8,FALSE),VLOOKUP(C607,'SINAPI_COMPOSIÇÕES 062020'!A:D,4,FALSE))</f>
        <v>6.12</v>
      </c>
      <c r="H607" s="79">
        <f t="shared" si="162"/>
        <v>7.91</v>
      </c>
      <c r="I607" s="79">
        <f t="shared" si="163"/>
        <v>457.19</v>
      </c>
    </row>
    <row r="608" spans="1:9" ht="25.5" outlineLevel="2" x14ac:dyDescent="0.2">
      <c r="A608" s="45" t="s">
        <v>13765</v>
      </c>
      <c r="B608" s="45" t="s">
        <v>9</v>
      </c>
      <c r="C608" s="45">
        <v>91926</v>
      </c>
      <c r="D608" s="44" t="str">
        <f>IF(B608="MP-MT",VLOOKUP(C608,'COMPOSIÇÃO DE PREÇO UNITÁRIO'!A:B,2,FALSE),VLOOKUP(C608,'SINAPI_COMPOSIÇÕES 062020'!A:B,2,FALSE))</f>
        <v>CABO DE COBRE FLEXÍVEL ISOLADO, 2,5 MM², ANTI-CHAMA 450/750 V, PARA CIRCUITOS TERMINAIS - FORNECIMENTO E INSTALAÇÃO. AF_12/2015</v>
      </c>
      <c r="E608" s="45" t="str">
        <f>IF(B608="MP-MT",VLOOKUP(C608,'COMPOSIÇÃO DE PREÇO UNITÁRIO'!A:H,8,FALSE),VLOOKUP(C608,'SINAPI_COMPOSIÇÕES 062020'!A:C,3,FALSE))</f>
        <v>M</v>
      </c>
      <c r="F608" s="78">
        <v>135</v>
      </c>
      <c r="G608" s="79">
        <f>IF(B608="MP-MT",VLOOKUP(CONCATENATE("TOTAL DO ÍTEM - ",C608),'COMPOSIÇÃO DE PREÇO UNITÁRIO'!A:H,8,FALSE),VLOOKUP(C608,'SINAPI_COMPOSIÇÕES 062020'!A:D,4,FALSE))</f>
        <v>2.68</v>
      </c>
      <c r="H608" s="79">
        <f t="shared" si="162"/>
        <v>3.46</v>
      </c>
      <c r="I608" s="79">
        <f t="shared" si="163"/>
        <v>467.1</v>
      </c>
    </row>
    <row r="609" spans="1:9" ht="25.5" outlineLevel="2" x14ac:dyDescent="0.2">
      <c r="A609" s="45" t="s">
        <v>13766</v>
      </c>
      <c r="B609" s="45" t="s">
        <v>9</v>
      </c>
      <c r="C609" s="45">
        <v>91953</v>
      </c>
      <c r="D609" s="44" t="str">
        <f>IF(B609="MP-MT",VLOOKUP(C609,'COMPOSIÇÃO DE PREÇO UNITÁRIO'!A:B,2,FALSE),VLOOKUP(C609,'SINAPI_COMPOSIÇÕES 062020'!A:B,2,FALSE))</f>
        <v>INTERRUPTOR SIMPLES (1 MÓDULO), 10A/250V, INCLUINDO SUPORTE E PLACA - FORNECIMENTO E INSTALAÇÃO. AF_12/2015</v>
      </c>
      <c r="E609" s="45" t="str">
        <f>IF(B609="MP-MT",VLOOKUP(C609,'COMPOSIÇÃO DE PREÇO UNITÁRIO'!A:H,8,FALSE),VLOOKUP(C609,'SINAPI_COMPOSIÇÕES 062020'!A:C,3,FALSE))</f>
        <v>UN</v>
      </c>
      <c r="F609" s="78">
        <v>6</v>
      </c>
      <c r="G609" s="79">
        <f>IF(B609="MP-MT",VLOOKUP(CONCATENATE("TOTAL DO ÍTEM - ",C609),'COMPOSIÇÃO DE PREÇO UNITÁRIO'!A:H,8,FALSE),VLOOKUP(C609,'SINAPI_COMPOSIÇÕES 062020'!A:D,4,FALSE))</f>
        <v>16.37</v>
      </c>
      <c r="H609" s="79">
        <f t="shared" si="162"/>
        <v>21.18</v>
      </c>
      <c r="I609" s="79">
        <f t="shared" si="163"/>
        <v>127.08</v>
      </c>
    </row>
    <row r="610" spans="1:9" ht="25.5" outlineLevel="2" x14ac:dyDescent="0.2">
      <c r="A610" s="45" t="s">
        <v>13767</v>
      </c>
      <c r="B610" s="45" t="s">
        <v>9</v>
      </c>
      <c r="C610" s="45">
        <v>91987</v>
      </c>
      <c r="D610" s="44" t="str">
        <f>IF(B610="MP-MT",VLOOKUP(C610,'COMPOSIÇÃO DE PREÇO UNITÁRIO'!A:B,2,FALSE),VLOOKUP(C610,'SINAPI_COMPOSIÇÕES 062020'!A:B,2,FALSE))</f>
        <v>CAMPAINHA CIGARRA (1 MÓDULO), 10A/250V, INCLUINDO SUPORTE E PLACA - FORNECIMENTO E INSTALAÇÃO. AF_09/2017</v>
      </c>
      <c r="E610" s="45" t="str">
        <f>IF(B610="MP-MT",VLOOKUP(C610,'COMPOSIÇÃO DE PREÇO UNITÁRIO'!A:H,8,FALSE),VLOOKUP(C610,'SINAPI_COMPOSIÇÕES 062020'!A:C,3,FALSE))</f>
        <v>UN</v>
      </c>
      <c r="F610" s="78">
        <v>4</v>
      </c>
      <c r="G610" s="79">
        <f>IF(B610="MP-MT",VLOOKUP(CONCATENATE("TOTAL DO ÍTEM - ",C610),'COMPOSIÇÃO DE PREÇO UNITÁRIO'!A:H,8,FALSE),VLOOKUP(C610,'SINAPI_COMPOSIÇÕES 062020'!A:D,4,FALSE))</f>
        <v>27.4</v>
      </c>
      <c r="H610" s="79">
        <f t="shared" si="162"/>
        <v>35.450000000000003</v>
      </c>
      <c r="I610" s="79">
        <f t="shared" si="163"/>
        <v>141.80000000000001</v>
      </c>
    </row>
    <row r="611" spans="1:9" ht="25.5" outlineLevel="2" x14ac:dyDescent="0.2">
      <c r="A611" s="45" t="s">
        <v>13768</v>
      </c>
      <c r="B611" s="45" t="s">
        <v>9</v>
      </c>
      <c r="C611" s="45">
        <v>91985</v>
      </c>
      <c r="D611" s="44" t="str">
        <f>IF(B611="MP-MT",VLOOKUP(C611,'COMPOSIÇÃO DE PREÇO UNITÁRIO'!A:B,2,FALSE),VLOOKUP(C611,'SINAPI_COMPOSIÇÕES 062020'!A:B,2,FALSE))</f>
        <v>INTERRUPTOR PULSADOR CAMPAINHA (1 MÓDULO), 10A/250V, INCLUINDO SUPORTE E PLACA - FORNECIMENTO E INSTALAÇÃO. AF_09/2017</v>
      </c>
      <c r="E611" s="45" t="str">
        <f>IF(B611="MP-MT",VLOOKUP(C611,'COMPOSIÇÃO DE PREÇO UNITÁRIO'!A:H,8,FALSE),VLOOKUP(C611,'SINAPI_COMPOSIÇÕES 062020'!A:C,3,FALSE))</f>
        <v>UN</v>
      </c>
      <c r="F611" s="78">
        <v>4</v>
      </c>
      <c r="G611" s="79">
        <f>IF(B611="MP-MT",VLOOKUP(CONCATENATE("TOTAL DO ÍTEM - ",C611),'COMPOSIÇÃO DE PREÇO UNITÁRIO'!A:H,8,FALSE),VLOOKUP(C611,'SINAPI_COMPOSIÇÕES 062020'!A:D,4,FALSE))</f>
        <v>15.7</v>
      </c>
      <c r="H611" s="79">
        <f t="shared" si="162"/>
        <v>20.309999999999999</v>
      </c>
      <c r="I611" s="79">
        <f t="shared" si="163"/>
        <v>81.239999999999995</v>
      </c>
    </row>
    <row r="612" spans="1:9" ht="25.5" outlineLevel="2" x14ac:dyDescent="0.2">
      <c r="A612" s="45" t="s">
        <v>13769</v>
      </c>
      <c r="B612" s="45" t="s">
        <v>194</v>
      </c>
      <c r="C612" s="45" t="s">
        <v>12711</v>
      </c>
      <c r="D612" s="44" t="str">
        <f>IF(B612="MP-MT",VLOOKUP(C612,'COMPOSIÇÃO DE PREÇO UNITÁRIO'!A:B,2,FALSE),VLOOKUP(C612,'SINAPI_COMPOSIÇÕES 062020'!A:B,2,FALSE))</f>
        <v>LUMINÁRIA PLAFON LED 18W, SOBREPOR QUADRADO 30 X 30 CM, BRANCO FRIO 6000K - FORNECIMENTO E INSTALAÇÃO</v>
      </c>
      <c r="E612" s="45" t="str">
        <f>IF(B612="MP-MT",VLOOKUP(C612,'COMPOSIÇÃO DE PREÇO UNITÁRIO'!A:H,8,FALSE),VLOOKUP(C612,'SINAPI_COMPOSIÇÕES 062020'!A:C,3,FALSE))</f>
        <v>UND</v>
      </c>
      <c r="F612" s="78">
        <v>4</v>
      </c>
      <c r="G612" s="79">
        <f>IF(B612="MP-MT",VLOOKUP(CONCATENATE("TOTAL DO ÍTEM - ",C612),'COMPOSIÇÃO DE PREÇO UNITÁRIO'!A:H,8,FALSE),VLOOKUP(C612,'SINAPI_COMPOSIÇÕES 062020'!A:D,4,FALSE))</f>
        <v>66.349999999999994</v>
      </c>
      <c r="H612" s="79">
        <f t="shared" si="162"/>
        <v>85.84</v>
      </c>
      <c r="I612" s="79">
        <f t="shared" si="163"/>
        <v>343.36</v>
      </c>
    </row>
    <row r="613" spans="1:9" ht="38.25" outlineLevel="2" x14ac:dyDescent="0.2">
      <c r="A613" s="45" t="s">
        <v>13770</v>
      </c>
      <c r="B613" s="45" t="s">
        <v>194</v>
      </c>
      <c r="C613" s="45" t="s">
        <v>13022</v>
      </c>
      <c r="D613" s="44" t="str">
        <f>IF(B613="MP-MT",VLOOKUP(C613,'COMPOSIÇÃO DE PREÇO UNITÁRIO'!A:B,2,FALSE),VLOOKUP(C613,'SINAPI_COMPOSIÇÕES 062020'!A:B,2,FALSE))</f>
        <v>INSTALAÇÃO CONSIDERANDO REAPROVEITAMENTO DE LUMINARIA SOBREPOR COM ALETAS REFLETORAS, LAMPADA TUBULAR 2 X 32 W, REF. ABALUX A401 OU EQUIVALENTE. INCLUSO LAMPADAS</v>
      </c>
      <c r="E613" s="45" t="str">
        <f>IF(B613="MP-MT",VLOOKUP(C613,'COMPOSIÇÃO DE PREÇO UNITÁRIO'!A:H,8,FALSE),VLOOKUP(C613,'SINAPI_COMPOSIÇÕES 062020'!A:C,3,FALSE))</f>
        <v>UND</v>
      </c>
      <c r="F613" s="78">
        <v>2</v>
      </c>
      <c r="G613" s="79">
        <f>IF(B613="MP-MT",VLOOKUP(CONCATENATE("TOTAL DO ÍTEM - ",C613),'COMPOSIÇÃO DE PREÇO UNITÁRIO'!A:H,8,FALSE),VLOOKUP(C613,'SINAPI_COMPOSIÇÕES 062020'!A:D,4,FALSE))</f>
        <v>27.83</v>
      </c>
      <c r="H613" s="79">
        <f t="shared" si="162"/>
        <v>36</v>
      </c>
      <c r="I613" s="79">
        <f t="shared" si="163"/>
        <v>72</v>
      </c>
    </row>
    <row r="614" spans="1:9" outlineLevel="1" x14ac:dyDescent="0.2">
      <c r="A614" s="76"/>
      <c r="B614" s="76"/>
      <c r="C614" s="76"/>
      <c r="D614" s="91" t="str">
        <f>CONCATENATE("TOTAL DO ITEM - ",A602)</f>
        <v>TOTAL DO ITEM - 36.0</v>
      </c>
      <c r="E614" s="76"/>
      <c r="F614" s="92"/>
      <c r="G614" s="93"/>
      <c r="H614" s="93"/>
      <c r="I614" s="93">
        <f>SUM(I603:I613)</f>
        <v>1982.5500000000002</v>
      </c>
    </row>
    <row r="615" spans="1:9" outlineLevel="1" x14ac:dyDescent="0.2">
      <c r="A615" s="232" t="s">
        <v>13238</v>
      </c>
      <c r="B615" s="232"/>
      <c r="C615" s="232"/>
      <c r="D615" s="88" t="s">
        <v>191</v>
      </c>
      <c r="E615" s="232"/>
      <c r="F615" s="89"/>
      <c r="G615" s="90"/>
      <c r="H615" s="90"/>
      <c r="I615" s="90"/>
    </row>
    <row r="616" spans="1:9" ht="25.5" outlineLevel="2" x14ac:dyDescent="0.2">
      <c r="A616" s="45" t="s">
        <v>13771</v>
      </c>
      <c r="B616" s="45" t="s">
        <v>9</v>
      </c>
      <c r="C616" s="45">
        <v>90443</v>
      </c>
      <c r="D616" s="44" t="str">
        <f>IF(B616="MP-MT",VLOOKUP(C616,'COMPOSIÇÃO DE PREÇO UNITÁRIO'!A:B,2,FALSE),VLOOKUP(C616,'SINAPI_COMPOSIÇÕES 062020'!A:B,2,FALSE))</f>
        <v>RASGO EM ALVENARIA PARA RAMAIS/ DISTRIBUIÇÃO COM DIAMETROS MENORES OU IGUAIS A 40 MM. AF_05/2015</v>
      </c>
      <c r="E616" s="45" t="str">
        <f>IF(B616="MP-MT",VLOOKUP(C616,'COMPOSIÇÃO DE PREÇO UNITÁRIO'!A:H,8,FALSE),VLOOKUP(C616,'SINAPI_COMPOSIÇÕES 062020'!A:C,3,FALSE))</f>
        <v>M</v>
      </c>
      <c r="F616" s="78">
        <v>16.2</v>
      </c>
      <c r="G616" s="79">
        <f>IF(B616="MP-MT",VLOOKUP(CONCATENATE("TOTAL DO ÍTEM - ",C616),'COMPOSIÇÃO DE PREÇO UNITÁRIO'!A:H,8,FALSE),VLOOKUP(C616,'SINAPI_COMPOSIÇÕES 062020'!A:D,4,FALSE))</f>
        <v>8.9499999999999993</v>
      </c>
      <c r="H616" s="79">
        <f t="shared" ref="H616:H618" si="164">TRUNC(G616*(1+$F$1),2)</f>
        <v>11.57</v>
      </c>
      <c r="I616" s="79">
        <f t="shared" ref="I616:I618" si="165">TRUNC(H616*F616,2)</f>
        <v>187.43</v>
      </c>
    </row>
    <row r="617" spans="1:9" ht="25.5" outlineLevel="2" x14ac:dyDescent="0.2">
      <c r="A617" s="45" t="s">
        <v>13772</v>
      </c>
      <c r="B617" s="45" t="s">
        <v>9</v>
      </c>
      <c r="C617" s="45">
        <v>91222</v>
      </c>
      <c r="D617" s="44" t="str">
        <f>IF(B617="MP-MT",VLOOKUP(C617,'COMPOSIÇÃO DE PREÇO UNITÁRIO'!A:B,2,FALSE),VLOOKUP(C617,'SINAPI_COMPOSIÇÕES 062020'!A:B,2,FALSE))</f>
        <v>RASGO EM ALVENARIA PARA RAMAIS/ DISTRIBUIÇÃO COM DIÂMETROS MAIORES QUE 40 MM E MENORES OU IGUAIS A 75 MM. AF_05/2015</v>
      </c>
      <c r="E617" s="45" t="str">
        <f>IF(B617="MP-MT",VLOOKUP(C617,'COMPOSIÇÃO DE PREÇO UNITÁRIO'!A:H,8,FALSE),VLOOKUP(C617,'SINAPI_COMPOSIÇÕES 062020'!A:C,3,FALSE))</f>
        <v>M</v>
      </c>
      <c r="F617" s="78">
        <v>6.71</v>
      </c>
      <c r="G617" s="79">
        <f>IF(B617="MP-MT",VLOOKUP(CONCATENATE("TOTAL DO ÍTEM - ",C617),'COMPOSIÇÃO DE PREÇO UNITÁRIO'!A:H,8,FALSE),VLOOKUP(C617,'SINAPI_COMPOSIÇÕES 062020'!A:D,4,FALSE))</f>
        <v>9.64</v>
      </c>
      <c r="H617" s="79">
        <f t="shared" si="164"/>
        <v>12.47</v>
      </c>
      <c r="I617" s="79">
        <f t="shared" si="165"/>
        <v>83.67</v>
      </c>
    </row>
    <row r="618" spans="1:9" ht="25.5" outlineLevel="2" x14ac:dyDescent="0.2">
      <c r="A618" s="45" t="s">
        <v>13773</v>
      </c>
      <c r="B618" s="45" t="s">
        <v>9</v>
      </c>
      <c r="C618" s="45">
        <v>90466</v>
      </c>
      <c r="D618" s="44" t="str">
        <f>IF(B618="MP-MT",VLOOKUP(C618,'COMPOSIÇÃO DE PREÇO UNITÁRIO'!A:B,2,FALSE),VLOOKUP(C618,'SINAPI_COMPOSIÇÕES 062020'!A:B,2,FALSE))</f>
        <v>CHUMBAMENTO LINEAR EM ALVENARIA PARA RAMAIS/DISTRIBUIÇÃO COM DIÂMETROS MENORES OU IGUAIS A 40 MM. AF_05/2015</v>
      </c>
      <c r="E618" s="45" t="str">
        <f>IF(B618="MP-MT",VLOOKUP(C618,'COMPOSIÇÃO DE PREÇO UNITÁRIO'!A:H,8,FALSE),VLOOKUP(C618,'SINAPI_COMPOSIÇÕES 062020'!A:C,3,FALSE))</f>
        <v>M</v>
      </c>
      <c r="F618" s="78">
        <v>16.2</v>
      </c>
      <c r="G618" s="79">
        <f>IF(B618="MP-MT",VLOOKUP(CONCATENATE("TOTAL DO ÍTEM - ",C618),'COMPOSIÇÃO DE PREÇO UNITÁRIO'!A:H,8,FALSE),VLOOKUP(C618,'SINAPI_COMPOSIÇÕES 062020'!A:D,4,FALSE))</f>
        <v>8.99</v>
      </c>
      <c r="H618" s="79">
        <f t="shared" si="164"/>
        <v>11.63</v>
      </c>
      <c r="I618" s="79">
        <f t="shared" si="165"/>
        <v>188.4</v>
      </c>
    </row>
    <row r="619" spans="1:9" ht="38.25" outlineLevel="2" x14ac:dyDescent="0.2">
      <c r="A619" s="45" t="s">
        <v>13774</v>
      </c>
      <c r="B619" s="45" t="s">
        <v>9</v>
      </c>
      <c r="C619" s="45">
        <v>90469</v>
      </c>
      <c r="D619" s="44" t="str">
        <f>IF(B619="MP-MT",VLOOKUP(C619,'COMPOSIÇÃO DE PREÇO UNITÁRIO'!A:B,2,FALSE),VLOOKUP(C619,'SINAPI_COMPOSIÇÕES 062020'!A:B,2,FALSE))</f>
        <v>CHUMBAMENTO LINEAR EM CONTRAPISO PARA RAMAIS/DISTRIBUIÇÃO COM DIÂMETROS MAIORES QUE 40 MM E MENORES OU IGUAIS A 75 MM. AF_05/2015</v>
      </c>
      <c r="E619" s="45" t="str">
        <f>IF(B619="MP-MT",VLOOKUP(C619,'COMPOSIÇÃO DE PREÇO UNITÁRIO'!A:H,8,FALSE),VLOOKUP(C619,'SINAPI_COMPOSIÇÕES 062020'!A:C,3,FALSE))</f>
        <v>M</v>
      </c>
      <c r="F619" s="78">
        <v>6.71</v>
      </c>
      <c r="G619" s="79">
        <f>IF(B619="MP-MT",VLOOKUP(CONCATENATE("TOTAL DO ÍTEM - ",C619),'COMPOSIÇÃO DE PREÇO UNITÁRIO'!A:H,8,FALSE),VLOOKUP(C619,'SINAPI_COMPOSIÇÕES 062020'!A:D,4,FALSE))</f>
        <v>6.36</v>
      </c>
      <c r="H619" s="79">
        <f t="shared" ref="H619:H643" si="166">TRUNC(G619*(1+$F$1),2)</f>
        <v>8.2200000000000006</v>
      </c>
      <c r="I619" s="79">
        <f t="shared" ref="I619:I643" si="167">TRUNC(H619*F619,2)</f>
        <v>55.15</v>
      </c>
    </row>
    <row r="620" spans="1:9" ht="25.5" outlineLevel="2" x14ac:dyDescent="0.2">
      <c r="A620" s="45" t="s">
        <v>13775</v>
      </c>
      <c r="B620" s="45" t="s">
        <v>9</v>
      </c>
      <c r="C620" s="45">
        <v>89356</v>
      </c>
      <c r="D620" s="44" t="str">
        <f>IF(B620="MP-MT",VLOOKUP(C620,'COMPOSIÇÃO DE PREÇO UNITÁRIO'!A:B,2,FALSE),VLOOKUP(C620,'SINAPI_COMPOSIÇÕES 062020'!A:B,2,FALSE))</f>
        <v>TUBO, PVC, SOLDÁVEL, DN 25MM, INSTALADO EM RAMAL OU SUB-RAMAL DE ÁGUA - FORNECIMENTO E INSTALAÇÃO. AF_12/2014</v>
      </c>
      <c r="E620" s="45" t="str">
        <f>IF(B620="MP-MT",VLOOKUP(C620,'COMPOSIÇÃO DE PREÇO UNITÁRIO'!A:H,8,FALSE),VLOOKUP(C620,'SINAPI_COMPOSIÇÕES 062020'!A:C,3,FALSE))</f>
        <v>M</v>
      </c>
      <c r="F620" s="78">
        <f>1.12+15.08</f>
        <v>16.2</v>
      </c>
      <c r="G620" s="79">
        <f>IF(B620="MP-MT",VLOOKUP(CONCATENATE("TOTAL DO ÍTEM - ",C620),'COMPOSIÇÃO DE PREÇO UNITÁRIO'!A:H,8,FALSE),VLOOKUP(C620,'SINAPI_COMPOSIÇÕES 062020'!A:D,4,FALSE))</f>
        <v>14.9</v>
      </c>
      <c r="H620" s="79">
        <f t="shared" si="166"/>
        <v>19.27</v>
      </c>
      <c r="I620" s="79">
        <f t="shared" si="167"/>
        <v>312.17</v>
      </c>
    </row>
    <row r="621" spans="1:9" ht="38.25" outlineLevel="2" x14ac:dyDescent="0.2">
      <c r="A621" s="45" t="s">
        <v>13776</v>
      </c>
      <c r="B621" s="45" t="s">
        <v>9</v>
      </c>
      <c r="C621" s="45">
        <v>94651</v>
      </c>
      <c r="D621" s="44" t="str">
        <f>IF(B621="MP-MT",VLOOKUP(C621,'COMPOSIÇÃO DE PREÇO UNITÁRIO'!A:B,2,FALSE),VLOOKUP(C621,'SINAPI_COMPOSIÇÕES 062020'!A:B,2,FALSE))</f>
        <v>TUBO, PVC, SOLDÁVEL, DN 50 MM, INSTALADO EM RESERVAÇÃO DE ÁGUA DE EDIFICAÇÃO QUE POSSUA RESERVATÓRIO DE FIBRA/FIBROCIMENTO   FORNECIMENTO E INSTALAÇÃO. AF_06/2016</v>
      </c>
      <c r="E621" s="45" t="str">
        <f>IF(B621="MP-MT",VLOOKUP(C621,'COMPOSIÇÃO DE PREÇO UNITÁRIO'!A:H,8,FALSE),VLOOKUP(C621,'SINAPI_COMPOSIÇÕES 062020'!A:C,3,FALSE))</f>
        <v>M</v>
      </c>
      <c r="F621" s="78">
        <v>6.71</v>
      </c>
      <c r="G621" s="79">
        <f>IF(B621="MP-MT",VLOOKUP(CONCATENATE("TOTAL DO ÍTEM - ",C621),'COMPOSIÇÃO DE PREÇO UNITÁRIO'!A:H,8,FALSE),VLOOKUP(C621,'SINAPI_COMPOSIÇÕES 062020'!A:D,4,FALSE))</f>
        <v>16.84</v>
      </c>
      <c r="H621" s="79">
        <f t="shared" si="166"/>
        <v>21.78</v>
      </c>
      <c r="I621" s="79">
        <f t="shared" si="167"/>
        <v>146.13999999999999</v>
      </c>
    </row>
    <row r="622" spans="1:9" ht="25.5" outlineLevel="2" x14ac:dyDescent="0.2">
      <c r="A622" s="45" t="s">
        <v>13777</v>
      </c>
      <c r="B622" s="45" t="s">
        <v>194</v>
      </c>
      <c r="C622" s="45" t="s">
        <v>12251</v>
      </c>
      <c r="D622" s="44" t="str">
        <f>IF(B622="MP-MT",VLOOKUP(C622,'COMPOSIÇÃO DE PREÇO UNITÁRIO'!A:B,2,FALSE),VLOOKUP(C622,'SINAPI_COMPOSIÇÕES 062020'!A:B,2,FALSE))</f>
        <v>BUCHA DE REDUÇÃO, PVC, SOLDÁVEL, DN 50MM X 25MM, INSTALADO EM RAMAL OU SUB-RAMAL DE ÁGUA - FORNECIMENTO E INSTALAÇÃO</v>
      </c>
      <c r="E622" s="45" t="str">
        <f>IF(B622="MP-MT",VLOOKUP(C622,'COMPOSIÇÃO DE PREÇO UNITÁRIO'!A:H,8,FALSE),VLOOKUP(C622,'SINAPI_COMPOSIÇÕES 062020'!A:C,3,FALSE))</f>
        <v>UND</v>
      </c>
      <c r="F622" s="78">
        <v>2</v>
      </c>
      <c r="G622" s="79">
        <f>IF(B622="MP-MT",VLOOKUP(CONCATENATE("TOTAL DO ÍTEM - ",C622),'COMPOSIÇÃO DE PREÇO UNITÁRIO'!A:H,8,FALSE),VLOOKUP(C622,'SINAPI_COMPOSIÇÕES 062020'!A:D,4,FALSE))</f>
        <v>8.5500000000000007</v>
      </c>
      <c r="H622" s="79">
        <f t="shared" si="166"/>
        <v>11.06</v>
      </c>
      <c r="I622" s="79">
        <f t="shared" si="167"/>
        <v>22.12</v>
      </c>
    </row>
    <row r="623" spans="1:9" ht="25.5" outlineLevel="2" x14ac:dyDescent="0.2">
      <c r="A623" s="45" t="s">
        <v>13778</v>
      </c>
      <c r="B623" s="45" t="s">
        <v>9</v>
      </c>
      <c r="C623" s="45">
        <v>89362</v>
      </c>
      <c r="D623" s="44" t="str">
        <f>IF(B623="MP-MT",VLOOKUP(C623,'COMPOSIÇÃO DE PREÇO UNITÁRIO'!A:B,2,FALSE),VLOOKUP(C623,'SINAPI_COMPOSIÇÕES 062020'!A:B,2,FALSE))</f>
        <v>JOELHO 90 GRAUS, PVC, SOLDÁVEL, DN 25MM, INSTALADO EM RAMAL OU SUB-RAMAL DE ÁGUA - FORNECIMENTO E INSTALAÇÃO. AF_12/2014</v>
      </c>
      <c r="E623" s="45" t="str">
        <f>IF(B623="MP-MT",VLOOKUP(C623,'COMPOSIÇÃO DE PREÇO UNITÁRIO'!A:H,8,FALSE),VLOOKUP(C623,'SINAPI_COMPOSIÇÕES 062020'!A:C,3,FALSE))</f>
        <v>UN</v>
      </c>
      <c r="F623" s="78">
        <v>6</v>
      </c>
      <c r="G623" s="79">
        <f>IF(B623="MP-MT",VLOOKUP(CONCATENATE("TOTAL DO ÍTEM - ",C623),'COMPOSIÇÃO DE PREÇO UNITÁRIO'!A:H,8,FALSE),VLOOKUP(C623,'SINAPI_COMPOSIÇÕES 062020'!A:D,4,FALSE))</f>
        <v>6.52</v>
      </c>
      <c r="H623" s="79">
        <f t="shared" si="166"/>
        <v>8.43</v>
      </c>
      <c r="I623" s="79">
        <f t="shared" si="167"/>
        <v>50.58</v>
      </c>
    </row>
    <row r="624" spans="1:9" ht="38.25" outlineLevel="2" x14ac:dyDescent="0.2">
      <c r="A624" s="45" t="s">
        <v>13779</v>
      </c>
      <c r="B624" s="45" t="s">
        <v>9</v>
      </c>
      <c r="C624" s="45">
        <v>94678</v>
      </c>
      <c r="D624" s="44" t="str">
        <f>IF(B624="MP-MT",VLOOKUP(C624,'COMPOSIÇÃO DE PREÇO UNITÁRIO'!A:B,2,FALSE),VLOOKUP(C624,'SINAPI_COMPOSIÇÕES 062020'!A:B,2,FALSE))</f>
        <v>JOELHO 90 GRAUS, PVC, SOLDÁVEL, DN 50 MM INSTALADO EM RESERVAÇÃO DE ÁGUA DE EDIFICAÇÃO QUE POSSUA RESERVATÓRIO DE FIBRA/FIBROCIMENTO   FORNECIMENTO E INSTALAÇÃO. AF_06/2016</v>
      </c>
      <c r="E624" s="45" t="str">
        <f>IF(B624="MP-MT",VLOOKUP(C624,'COMPOSIÇÃO DE PREÇO UNITÁRIO'!A:H,8,FALSE),VLOOKUP(C624,'SINAPI_COMPOSIÇÕES 062020'!A:C,3,FALSE))</f>
        <v>UN</v>
      </c>
      <c r="F624" s="78">
        <v>2</v>
      </c>
      <c r="G624" s="79">
        <f>IF(B624="MP-MT",VLOOKUP(CONCATENATE("TOTAL DO ÍTEM - ",C624),'COMPOSIÇÃO DE PREÇO UNITÁRIO'!A:H,8,FALSE),VLOOKUP(C624,'SINAPI_COMPOSIÇÕES 062020'!A:D,4,FALSE))</f>
        <v>12.83</v>
      </c>
      <c r="H624" s="79">
        <f t="shared" si="166"/>
        <v>16.600000000000001</v>
      </c>
      <c r="I624" s="79">
        <f t="shared" si="167"/>
        <v>33.200000000000003</v>
      </c>
    </row>
    <row r="625" spans="1:9" ht="38.25" outlineLevel="2" x14ac:dyDescent="0.2">
      <c r="A625" s="45" t="s">
        <v>13780</v>
      </c>
      <c r="B625" s="45" t="s">
        <v>9</v>
      </c>
      <c r="C625" s="45">
        <v>90373</v>
      </c>
      <c r="D625" s="44" t="str">
        <f>IF(B625="MP-MT",VLOOKUP(C625,'COMPOSIÇÃO DE PREÇO UNITÁRIO'!A:B,2,FALSE),VLOOKUP(C625,'SINAPI_COMPOSIÇÕES 062020'!A:B,2,FALSE))</f>
        <v>JOELHO 90 GRAUS COM BUCHA DE LATÃO, PVC, SOLDÁVEL, DN 25MM, X 1/2 INSTALADO EM RAMAL OU SUB-RAMAL DE ÁGUA - FORNECIMENTO E INSTALAÇÃO. AF_12/2014</v>
      </c>
      <c r="E625" s="45" t="str">
        <f>IF(B625="MP-MT",VLOOKUP(C625,'COMPOSIÇÃO DE PREÇO UNITÁRIO'!A:H,8,FALSE),VLOOKUP(C625,'SINAPI_COMPOSIÇÕES 062020'!A:C,3,FALSE))</f>
        <v>UN</v>
      </c>
      <c r="F625" s="78">
        <v>8</v>
      </c>
      <c r="G625" s="79">
        <f>IF(B625="MP-MT",VLOOKUP(CONCATENATE("TOTAL DO ÍTEM - ",C625),'COMPOSIÇÃO DE PREÇO UNITÁRIO'!A:H,8,FALSE),VLOOKUP(C625,'SINAPI_COMPOSIÇÕES 062020'!A:D,4,FALSE))</f>
        <v>10.61</v>
      </c>
      <c r="H625" s="79">
        <f t="shared" si="166"/>
        <v>13.72</v>
      </c>
      <c r="I625" s="79">
        <f t="shared" si="167"/>
        <v>109.76</v>
      </c>
    </row>
    <row r="626" spans="1:9" ht="25.5" outlineLevel="2" x14ac:dyDescent="0.2">
      <c r="A626" s="45" t="s">
        <v>13781</v>
      </c>
      <c r="B626" s="45" t="s">
        <v>9</v>
      </c>
      <c r="C626" s="45">
        <v>89627</v>
      </c>
      <c r="D626" s="44" t="str">
        <f>IF(B626="MP-MT",VLOOKUP(C626,'COMPOSIÇÃO DE PREÇO UNITÁRIO'!A:B,2,FALSE),VLOOKUP(C626,'SINAPI_COMPOSIÇÕES 062020'!A:B,2,FALSE))</f>
        <v>TÊ DE REDUÇÃO, PVC, SOLDÁVEL, DN 50MM X 25MM, INSTALADO EM PRUMADA DE ÁGUA - FORNECIMENTO E INSTALAÇÃO. AF_12/2014</v>
      </c>
      <c r="E626" s="45" t="str">
        <f>IF(B626="MP-MT",VLOOKUP(C626,'COMPOSIÇÃO DE PREÇO UNITÁRIO'!A:H,8,FALSE),VLOOKUP(C626,'SINAPI_COMPOSIÇÕES 062020'!A:C,3,FALSE))</f>
        <v>UN</v>
      </c>
      <c r="F626" s="78">
        <v>2</v>
      </c>
      <c r="G626" s="79">
        <f>IF(B626="MP-MT",VLOOKUP(CONCATENATE("TOTAL DO ÍTEM - ",C626),'COMPOSIÇÃO DE PREÇO UNITÁRIO'!A:H,8,FALSE),VLOOKUP(C626,'SINAPI_COMPOSIÇÕES 062020'!A:D,4,FALSE))</f>
        <v>15.9</v>
      </c>
      <c r="H626" s="79">
        <f t="shared" si="166"/>
        <v>20.57</v>
      </c>
      <c r="I626" s="79">
        <f t="shared" si="167"/>
        <v>41.14</v>
      </c>
    </row>
    <row r="627" spans="1:9" ht="25.5" outlineLevel="2" x14ac:dyDescent="0.2">
      <c r="A627" s="45" t="s">
        <v>13782</v>
      </c>
      <c r="B627" s="45" t="s">
        <v>9</v>
      </c>
      <c r="C627" s="45">
        <v>89395</v>
      </c>
      <c r="D627" s="44" t="str">
        <f>IF(B627="MP-MT",VLOOKUP(C627,'COMPOSIÇÃO DE PREÇO UNITÁRIO'!A:B,2,FALSE),VLOOKUP(C627,'SINAPI_COMPOSIÇÕES 062020'!A:B,2,FALSE))</f>
        <v>TE, PVC, SOLDÁVEL, DN 25MM, INSTALADO EM RAMAL OU SUB-RAMAL DE ÁGUA - FORNECIMENTO E INSTALAÇÃO. AF_12/2014</v>
      </c>
      <c r="E627" s="45" t="str">
        <f>IF(B627="MP-MT",VLOOKUP(C627,'COMPOSIÇÃO DE PREÇO UNITÁRIO'!A:H,8,FALSE),VLOOKUP(C627,'SINAPI_COMPOSIÇÕES 062020'!A:C,3,FALSE))</f>
        <v>UN</v>
      </c>
      <c r="F627" s="78">
        <v>4</v>
      </c>
      <c r="G627" s="79">
        <f>IF(B627="MP-MT",VLOOKUP(CONCATENATE("TOTAL DO ÍTEM - ",C627),'COMPOSIÇÃO DE PREÇO UNITÁRIO'!A:H,8,FALSE),VLOOKUP(C627,'SINAPI_COMPOSIÇÕES 062020'!A:D,4,FALSE))</f>
        <v>9.15</v>
      </c>
      <c r="H627" s="79">
        <f t="shared" si="166"/>
        <v>11.83</v>
      </c>
      <c r="I627" s="79">
        <f t="shared" si="167"/>
        <v>47.32</v>
      </c>
    </row>
    <row r="628" spans="1:9" ht="38.25" outlineLevel="2" x14ac:dyDescent="0.2">
      <c r="A628" s="45" t="s">
        <v>13783</v>
      </c>
      <c r="B628" s="45" t="s">
        <v>9</v>
      </c>
      <c r="C628" s="45">
        <v>89987</v>
      </c>
      <c r="D628" s="44" t="str">
        <f>IF(B628="MP-MT",VLOOKUP(C628,'COMPOSIÇÃO DE PREÇO UNITÁRIO'!A:B,2,FALSE),VLOOKUP(C628,'SINAPI_COMPOSIÇÕES 062020'!A:B,2,FALSE))</f>
        <v>REGISTRO DE GAVETA BRUTO, LATÃO, ROSCÁVEL, 3/4", COM ACABAMENTO E CANOPLA CROMADOS. FORNECIDO E INSTALADO EM RAMAL DE ÁGUA. AF_12/2014</v>
      </c>
      <c r="E628" s="45" t="str">
        <f>IF(B628="MP-MT",VLOOKUP(C628,'COMPOSIÇÃO DE PREÇO UNITÁRIO'!A:H,8,FALSE),VLOOKUP(C628,'SINAPI_COMPOSIÇÕES 062020'!A:C,3,FALSE))</f>
        <v>UN</v>
      </c>
      <c r="F628" s="78">
        <v>4</v>
      </c>
      <c r="G628" s="79">
        <f>IF(B628="MP-MT",VLOOKUP(CONCATENATE("TOTAL DO ÍTEM - ",C628),'COMPOSIÇÃO DE PREÇO UNITÁRIO'!A:H,8,FALSE),VLOOKUP(C628,'SINAPI_COMPOSIÇÕES 062020'!A:D,4,FALSE))</f>
        <v>57.72</v>
      </c>
      <c r="H628" s="79">
        <f t="shared" si="166"/>
        <v>74.680000000000007</v>
      </c>
      <c r="I628" s="79">
        <f t="shared" si="167"/>
        <v>298.72000000000003</v>
      </c>
    </row>
    <row r="629" spans="1:9" ht="38.25" outlineLevel="2" x14ac:dyDescent="0.2">
      <c r="A629" s="45" t="s">
        <v>13784</v>
      </c>
      <c r="B629" s="45" t="s">
        <v>9</v>
      </c>
      <c r="C629" s="45">
        <v>89383</v>
      </c>
      <c r="D629" s="44" t="str">
        <f>IF(B629="MP-MT",VLOOKUP(C629,'COMPOSIÇÃO DE PREÇO UNITÁRIO'!A:B,2,FALSE),VLOOKUP(C629,'SINAPI_COMPOSIÇÕES 062020'!A:B,2,FALSE))</f>
        <v>ADAPTADOR CURTO COM BOLSA E ROSCA PARA REGISTRO, PVC, SOLDÁVEL, DN 25MM X 3/4, INSTALADO EM RAMAL OU SUB-RAMAL DE ÁGUA - FORNECIMENTO E INSTALAÇÃO. AF_12/2014</v>
      </c>
      <c r="E629" s="45" t="str">
        <f>IF(B629="MP-MT",VLOOKUP(C629,'COMPOSIÇÃO DE PREÇO UNITÁRIO'!A:H,8,FALSE),VLOOKUP(C629,'SINAPI_COMPOSIÇÕES 062020'!A:C,3,FALSE))</f>
        <v>UN</v>
      </c>
      <c r="F629" s="78">
        <v>4</v>
      </c>
      <c r="G629" s="79">
        <f>IF(B629="MP-MT",VLOOKUP(CONCATENATE("TOTAL DO ÍTEM - ",C629),'COMPOSIÇÃO DE PREÇO UNITÁRIO'!A:H,8,FALSE),VLOOKUP(C629,'SINAPI_COMPOSIÇÕES 062020'!A:D,4,FALSE))</f>
        <v>5.05</v>
      </c>
      <c r="H629" s="79">
        <f t="shared" si="166"/>
        <v>6.53</v>
      </c>
      <c r="I629" s="79">
        <f t="shared" si="167"/>
        <v>26.12</v>
      </c>
    </row>
    <row r="630" spans="1:9" ht="38.25" outlineLevel="2" x14ac:dyDescent="0.2">
      <c r="A630" s="45" t="s">
        <v>13785</v>
      </c>
      <c r="B630" s="45" t="s">
        <v>9</v>
      </c>
      <c r="C630" s="45">
        <v>89385</v>
      </c>
      <c r="D630" s="44" t="str">
        <f>IF(B630="MP-MT",VLOOKUP(C630,'COMPOSIÇÃO DE PREÇO UNITÁRIO'!A:B,2,FALSE),VLOOKUP(C630,'SINAPI_COMPOSIÇÕES 062020'!A:B,2,FALSE))</f>
        <v>LUVA SOLDÁVEL E COM ROSCA, PVC, SOLDÁVEL, DN 25MM X 3/4, INSTALADO EM RAMAL OU SUB-RAMAL DE ÁGUA - FORNECIMENTO E INSTALAÇÃO. AF_12/2014</v>
      </c>
      <c r="E630" s="45" t="str">
        <f>IF(B630="MP-MT",VLOOKUP(C630,'COMPOSIÇÃO DE PREÇO UNITÁRIO'!A:H,8,FALSE),VLOOKUP(C630,'SINAPI_COMPOSIÇÕES 062020'!A:C,3,FALSE))</f>
        <v>UN</v>
      </c>
      <c r="F630" s="78">
        <v>4</v>
      </c>
      <c r="G630" s="79">
        <f>IF(B630="MP-MT",VLOOKUP(CONCATENATE("TOTAL DO ÍTEM - ",C630),'COMPOSIÇÃO DE PREÇO UNITÁRIO'!A:H,8,FALSE),VLOOKUP(C630,'SINAPI_COMPOSIÇÕES 062020'!A:D,4,FALSE))</f>
        <v>5.61</v>
      </c>
      <c r="H630" s="79">
        <f t="shared" si="166"/>
        <v>7.25</v>
      </c>
      <c r="I630" s="79">
        <f t="shared" si="167"/>
        <v>29</v>
      </c>
    </row>
    <row r="631" spans="1:9" ht="38.25" outlineLevel="2" x14ac:dyDescent="0.2">
      <c r="A631" s="45" t="s">
        <v>13786</v>
      </c>
      <c r="B631" s="45" t="s">
        <v>9</v>
      </c>
      <c r="C631" s="45">
        <v>89711</v>
      </c>
      <c r="D631" s="44" t="str">
        <f>IF(B631="MP-MT",VLOOKUP(C631,'COMPOSIÇÃO DE PREÇO UNITÁRIO'!A:B,2,FALSE),VLOOKUP(C631,'SINAPI_COMPOSIÇÕES 062020'!A:B,2,FALSE))</f>
        <v>TUBO PVC, SERIE NORMAL, ESGOTO PREDIAL, DN 40 MM, FORNECIDO E INSTALADO EM RAMAL DE DESCARGA OU RAMAL DE ESGOTO SANITÁRIO. AF_12/2014</v>
      </c>
      <c r="E631" s="45" t="str">
        <f>IF(B631="MP-MT",VLOOKUP(C631,'COMPOSIÇÃO DE PREÇO UNITÁRIO'!A:H,8,FALSE),VLOOKUP(C631,'SINAPI_COMPOSIÇÕES 062020'!A:C,3,FALSE))</f>
        <v>M</v>
      </c>
      <c r="F631" s="78">
        <f>8.05+3.54</f>
        <v>11.59</v>
      </c>
      <c r="G631" s="79">
        <f>IF(B631="MP-MT",VLOOKUP(CONCATENATE("TOTAL DO ÍTEM - ",C631),'COMPOSIÇÃO DE PREÇO UNITÁRIO'!A:H,8,FALSE),VLOOKUP(C631,'SINAPI_COMPOSIÇÕES 062020'!A:D,4,FALSE))</f>
        <v>13.55</v>
      </c>
      <c r="H631" s="79">
        <f t="shared" si="166"/>
        <v>17.53</v>
      </c>
      <c r="I631" s="79">
        <f t="shared" si="167"/>
        <v>203.17</v>
      </c>
    </row>
    <row r="632" spans="1:9" ht="38.25" outlineLevel="2" x14ac:dyDescent="0.2">
      <c r="A632" s="45" t="s">
        <v>13787</v>
      </c>
      <c r="B632" s="45" t="s">
        <v>9</v>
      </c>
      <c r="C632" s="45">
        <v>89712</v>
      </c>
      <c r="D632" s="44" t="str">
        <f>IF(B632="MP-MT",VLOOKUP(C632,'COMPOSIÇÃO DE PREÇO UNITÁRIO'!A:B,2,FALSE),VLOOKUP(C632,'SINAPI_COMPOSIÇÕES 062020'!A:B,2,FALSE))</f>
        <v>TUBO PVC, SERIE NORMAL, ESGOTO PREDIAL, DN 50 MM, FORNECIDO E INSTALADO EM RAMAL DE DESCARGA OU RAMAL DE ESGOTO SANITÁRIO. AF_12/2014</v>
      </c>
      <c r="E632" s="45" t="str">
        <f>IF(B632="MP-MT",VLOOKUP(C632,'COMPOSIÇÃO DE PREÇO UNITÁRIO'!A:H,8,FALSE),VLOOKUP(C632,'SINAPI_COMPOSIÇÕES 062020'!A:C,3,FALSE))</f>
        <v>M</v>
      </c>
      <c r="F632" s="78">
        <v>6.06</v>
      </c>
      <c r="G632" s="79">
        <f>IF(B632="MP-MT",VLOOKUP(CONCATENATE("TOTAL DO ÍTEM - ",C632),'COMPOSIÇÃO DE PREÇO UNITÁRIO'!A:H,8,FALSE),VLOOKUP(C632,'SINAPI_COMPOSIÇÕES 062020'!A:D,4,FALSE))</f>
        <v>20.92</v>
      </c>
      <c r="H632" s="79">
        <f t="shared" si="166"/>
        <v>27.06</v>
      </c>
      <c r="I632" s="79">
        <f t="shared" si="167"/>
        <v>163.98</v>
      </c>
    </row>
    <row r="633" spans="1:9" ht="38.25" outlineLevel="2" x14ac:dyDescent="0.2">
      <c r="A633" s="45" t="s">
        <v>13788</v>
      </c>
      <c r="B633" s="45" t="s">
        <v>9</v>
      </c>
      <c r="C633" s="45">
        <v>89798</v>
      </c>
      <c r="D633" s="44" t="str">
        <f>IF(B633="MP-MT",VLOOKUP(C633,'COMPOSIÇÃO DE PREÇO UNITÁRIO'!A:B,2,FALSE),VLOOKUP(C633,'SINAPI_COMPOSIÇÕES 062020'!A:B,2,FALSE))</f>
        <v>TUBO PVC, SERIE NORMAL, ESGOTO PREDIAL, DN 50 MM, FORNECIDO E INSTALADO EM PRUMADA DE ESGOTO SANITÁRIO OU VENTILAÇÃO. AF_12/2014</v>
      </c>
      <c r="E633" s="45" t="str">
        <f>IF(B633="MP-MT",VLOOKUP(C633,'COMPOSIÇÃO DE PREÇO UNITÁRIO'!A:H,8,FALSE),VLOOKUP(C633,'SINAPI_COMPOSIÇÕES 062020'!A:C,3,FALSE))</f>
        <v>M</v>
      </c>
      <c r="F633" s="78">
        <f>0.56+1.73</f>
        <v>2.29</v>
      </c>
      <c r="G633" s="79">
        <f>IF(B633="MP-MT",VLOOKUP(CONCATENATE("TOTAL DO ÍTEM - ",C633),'COMPOSIÇÃO DE PREÇO UNITÁRIO'!A:H,8,FALSE),VLOOKUP(C633,'SINAPI_COMPOSIÇÕES 062020'!A:D,4,FALSE))</f>
        <v>8.81</v>
      </c>
      <c r="H633" s="79">
        <f t="shared" si="166"/>
        <v>11.39</v>
      </c>
      <c r="I633" s="79">
        <f t="shared" si="167"/>
        <v>26.08</v>
      </c>
    </row>
    <row r="634" spans="1:9" ht="38.25" outlineLevel="2" x14ac:dyDescent="0.2">
      <c r="A634" s="45" t="s">
        <v>13789</v>
      </c>
      <c r="B634" s="45" t="s">
        <v>9</v>
      </c>
      <c r="C634" s="45">
        <v>89799</v>
      </c>
      <c r="D634" s="44" t="str">
        <f>IF(B634="MP-MT",VLOOKUP(C634,'COMPOSIÇÃO DE PREÇO UNITÁRIO'!A:B,2,FALSE),VLOOKUP(C634,'SINAPI_COMPOSIÇÕES 062020'!A:B,2,FALSE))</f>
        <v>TUBO PVC, SERIE NORMAL, ESGOTO PREDIAL, DN 75 MM, FORNECIDO E INSTALADO EM PRUMADA DE ESGOTO SANITÁRIO OU VENTILAÇÃO. AF_12/2014</v>
      </c>
      <c r="E634" s="45" t="str">
        <f>IF(B634="MP-MT",VLOOKUP(C634,'COMPOSIÇÃO DE PREÇO UNITÁRIO'!A:H,8,FALSE),VLOOKUP(C634,'SINAPI_COMPOSIÇÕES 062020'!A:C,3,FALSE))</f>
        <v>M</v>
      </c>
      <c r="F634" s="78">
        <f>24.43+0.18</f>
        <v>24.61</v>
      </c>
      <c r="G634" s="79">
        <f>IF(B634="MP-MT",VLOOKUP(CONCATENATE("TOTAL DO ÍTEM - ",C634),'COMPOSIÇÃO DE PREÇO UNITÁRIO'!A:H,8,FALSE),VLOOKUP(C634,'SINAPI_COMPOSIÇÕES 062020'!A:D,4,FALSE))</f>
        <v>14.59</v>
      </c>
      <c r="H634" s="79">
        <f t="shared" si="166"/>
        <v>18.87</v>
      </c>
      <c r="I634" s="79">
        <f t="shared" si="167"/>
        <v>464.39</v>
      </c>
    </row>
    <row r="635" spans="1:9" ht="38.25" outlineLevel="2" x14ac:dyDescent="0.2">
      <c r="A635" s="45" t="s">
        <v>13790</v>
      </c>
      <c r="B635" s="45" t="s">
        <v>9</v>
      </c>
      <c r="C635" s="45">
        <v>89714</v>
      </c>
      <c r="D635" s="44" t="str">
        <f>IF(B635="MP-MT",VLOOKUP(C635,'COMPOSIÇÃO DE PREÇO UNITÁRIO'!A:B,2,FALSE),VLOOKUP(C635,'SINAPI_COMPOSIÇÕES 062020'!A:B,2,FALSE))</f>
        <v>TUBO PVC, SERIE NORMAL, ESGOTO PREDIAL, DN 100 MM, FORNECIDO E INSTALADO EM RAMAL DE DESCARGA OU RAMAL DE ESGOTO SANITÁRIO. AF_12/2014</v>
      </c>
      <c r="E635" s="45" t="str">
        <f>IF(B635="MP-MT",VLOOKUP(C635,'COMPOSIÇÃO DE PREÇO UNITÁRIO'!A:H,8,FALSE),VLOOKUP(C635,'SINAPI_COMPOSIÇÕES 062020'!A:C,3,FALSE))</f>
        <v>M</v>
      </c>
      <c r="F635" s="78">
        <f>8.49+1.75</f>
        <v>10.24</v>
      </c>
      <c r="G635" s="79">
        <f>IF(B635="MP-MT",VLOOKUP(CONCATENATE("TOTAL DO ÍTEM - ",C635),'COMPOSIÇÃO DE PREÇO UNITÁRIO'!A:H,8,FALSE),VLOOKUP(C635,'SINAPI_COMPOSIÇÕES 062020'!A:D,4,FALSE))</f>
        <v>41.89</v>
      </c>
      <c r="H635" s="79">
        <f t="shared" si="166"/>
        <v>54.19</v>
      </c>
      <c r="I635" s="79">
        <f t="shared" si="167"/>
        <v>554.9</v>
      </c>
    </row>
    <row r="636" spans="1:9" ht="25.5" outlineLevel="2" x14ac:dyDescent="0.2">
      <c r="A636" s="45" t="s">
        <v>13791</v>
      </c>
      <c r="B636" s="45" t="s">
        <v>9</v>
      </c>
      <c r="C636" s="45">
        <v>89849</v>
      </c>
      <c r="D636" s="44" t="str">
        <f>IF(B636="MP-MT",VLOOKUP(C636,'COMPOSIÇÃO DE PREÇO UNITÁRIO'!A:B,2,FALSE),VLOOKUP(C636,'SINAPI_COMPOSIÇÕES 062020'!A:B,2,FALSE))</f>
        <v>TUBO PVC, SERIE NORMAL, ESGOTO PREDIAL, DN 150 MM, FORNECIDO E INSTALADO EM SUBCOLETOR AÉREO DE ESGOTO SANITÁRIO. AF_12/2014</v>
      </c>
      <c r="E636" s="45" t="str">
        <f>IF(B636="MP-MT",VLOOKUP(C636,'COMPOSIÇÃO DE PREÇO UNITÁRIO'!A:H,8,FALSE),VLOOKUP(C636,'SINAPI_COMPOSIÇÕES 062020'!A:C,3,FALSE))</f>
        <v>M</v>
      </c>
      <c r="F636" s="78">
        <v>0.97</v>
      </c>
      <c r="G636" s="79">
        <f>IF(B636="MP-MT",VLOOKUP(CONCATENATE("TOTAL DO ÍTEM - ",C636),'COMPOSIÇÃO DE PREÇO UNITÁRIO'!A:H,8,FALSE),VLOOKUP(C636,'SINAPI_COMPOSIÇÕES 062020'!A:D,4,FALSE))</f>
        <v>42.86</v>
      </c>
      <c r="H636" s="79">
        <f t="shared" si="166"/>
        <v>55.45</v>
      </c>
      <c r="I636" s="79">
        <f t="shared" si="167"/>
        <v>53.78</v>
      </c>
    </row>
    <row r="637" spans="1:9" ht="38.25" outlineLevel="2" x14ac:dyDescent="0.2">
      <c r="A637" s="45" t="s">
        <v>13792</v>
      </c>
      <c r="B637" s="45" t="s">
        <v>9</v>
      </c>
      <c r="C637" s="45">
        <v>89801</v>
      </c>
      <c r="D637" s="44" t="str">
        <f>IF(B637="MP-MT",VLOOKUP(C637,'COMPOSIÇÃO DE PREÇO UNITÁRIO'!A:B,2,FALSE),VLOOKUP(C637,'SINAPI_COMPOSIÇÕES 062020'!A:B,2,FALSE))</f>
        <v>JOELHO 90 GRAUS, PVC, SERIE NORMAL, ESGOTO PREDIAL, DN 50 MM, JUNTA ELÁSTICA, FORNECIDO E INSTALADO EM PRUMADA DE ESGOTO SANITÁRIO OU VENTILAÇÃO. AF_12/2014</v>
      </c>
      <c r="E637" s="45" t="str">
        <f>IF(B637="MP-MT",VLOOKUP(C637,'COMPOSIÇÃO DE PREÇO UNITÁRIO'!A:H,8,FALSE),VLOOKUP(C637,'SINAPI_COMPOSIÇÕES 062020'!A:C,3,FALSE))</f>
        <v>UN</v>
      </c>
      <c r="F637" s="78">
        <v>6</v>
      </c>
      <c r="G637" s="79">
        <f>IF(B637="MP-MT",VLOOKUP(CONCATENATE("TOTAL DO ÍTEM - ",C637),'COMPOSIÇÃO DE PREÇO UNITÁRIO'!A:H,8,FALSE),VLOOKUP(C637,'SINAPI_COMPOSIÇÕES 062020'!A:D,4,FALSE))</f>
        <v>5.48</v>
      </c>
      <c r="H637" s="79">
        <f t="shared" si="166"/>
        <v>7.09</v>
      </c>
      <c r="I637" s="79">
        <f t="shared" si="167"/>
        <v>42.54</v>
      </c>
    </row>
    <row r="638" spans="1:9" ht="38.25" outlineLevel="2" x14ac:dyDescent="0.2">
      <c r="A638" s="45" t="s">
        <v>13793</v>
      </c>
      <c r="B638" s="45" t="s">
        <v>9</v>
      </c>
      <c r="C638" s="45">
        <v>89805</v>
      </c>
      <c r="D638" s="44" t="str">
        <f>IF(B638="MP-MT",VLOOKUP(C638,'COMPOSIÇÃO DE PREÇO UNITÁRIO'!A:B,2,FALSE),VLOOKUP(C638,'SINAPI_COMPOSIÇÕES 062020'!A:B,2,FALSE))</f>
        <v>JOELHO 90 GRAUS, PVC, SERIE NORMAL, ESGOTO PREDIAL, DN 75 MM, JUNTA ELÁSTICA, FORNECIDO E INSTALADO EM PRUMADA DE ESGOTO SANITÁRIO OU VENTILAÇÃO. AF_12/2014</v>
      </c>
      <c r="E638" s="45" t="str">
        <f>IF(B638="MP-MT",VLOOKUP(C638,'COMPOSIÇÃO DE PREÇO UNITÁRIO'!A:H,8,FALSE),VLOOKUP(C638,'SINAPI_COMPOSIÇÕES 062020'!A:C,3,FALSE))</f>
        <v>UN</v>
      </c>
      <c r="F638" s="78">
        <v>5</v>
      </c>
      <c r="G638" s="79">
        <f>IF(B638="MP-MT",VLOOKUP(CONCATENATE("TOTAL DO ÍTEM - ",C638),'COMPOSIÇÃO DE PREÇO UNITÁRIO'!A:H,8,FALSE),VLOOKUP(C638,'SINAPI_COMPOSIÇÕES 062020'!A:D,4,FALSE))</f>
        <v>10.63</v>
      </c>
      <c r="H638" s="79">
        <f t="shared" si="166"/>
        <v>13.75</v>
      </c>
      <c r="I638" s="79">
        <f t="shared" si="167"/>
        <v>68.75</v>
      </c>
    </row>
    <row r="639" spans="1:9" ht="38.25" outlineLevel="2" x14ac:dyDescent="0.2">
      <c r="A639" s="45" t="s">
        <v>13794</v>
      </c>
      <c r="B639" s="45" t="s">
        <v>9</v>
      </c>
      <c r="C639" s="45">
        <v>89726</v>
      </c>
      <c r="D639" s="44" t="str">
        <f>IF(B639="MP-MT",VLOOKUP(C639,'COMPOSIÇÃO DE PREÇO UNITÁRIO'!A:B,2,FALSE),VLOOKUP(C639,'SINAPI_COMPOSIÇÕES 062020'!A:B,2,FALSE))</f>
        <v>JOELHO 45 GRAUS, PVC, SERIE NORMAL, ESGOTO PREDIAL, DN 40 MM, JUNTA SOLDÁVEL, FORNECIDO E INSTALADO EM RAMAL DE DESCARGA OU RAMAL DE ESGOTO SANITÁRIO. AF_12/2014</v>
      </c>
      <c r="E639" s="45" t="str">
        <f>IF(B639="MP-MT",VLOOKUP(C639,'COMPOSIÇÃO DE PREÇO UNITÁRIO'!A:H,8,FALSE),VLOOKUP(C639,'SINAPI_COMPOSIÇÕES 062020'!A:C,3,FALSE))</f>
        <v>UN</v>
      </c>
      <c r="F639" s="78">
        <v>2</v>
      </c>
      <c r="G639" s="79">
        <f>IF(B639="MP-MT",VLOOKUP(CONCATENATE("TOTAL DO ÍTEM - ",C639),'COMPOSIÇÃO DE PREÇO UNITÁRIO'!A:H,8,FALSE),VLOOKUP(C639,'SINAPI_COMPOSIÇÕES 062020'!A:D,4,FALSE))</f>
        <v>5.8</v>
      </c>
      <c r="H639" s="79">
        <f t="shared" si="166"/>
        <v>7.5</v>
      </c>
      <c r="I639" s="79">
        <f t="shared" si="167"/>
        <v>15</v>
      </c>
    </row>
    <row r="640" spans="1:9" ht="38.25" outlineLevel="2" x14ac:dyDescent="0.2">
      <c r="A640" s="45" t="s">
        <v>13795</v>
      </c>
      <c r="B640" s="45" t="s">
        <v>9</v>
      </c>
      <c r="C640" s="45">
        <v>89744</v>
      </c>
      <c r="D640" s="44" t="str">
        <f>IF(B640="MP-MT",VLOOKUP(C640,'COMPOSIÇÃO DE PREÇO UNITÁRIO'!A:B,2,FALSE),VLOOKUP(C640,'SINAPI_COMPOSIÇÕES 062020'!A:B,2,FALSE))</f>
        <v>JOELHO 90 GRAUS, PVC, SERIE NORMAL, ESGOTO PREDIAL, DN 100 MM, JUNTA ELÁSTICA, FORNECIDO E INSTALADO EM RAMAL DE DESCARGA OU RAMAL DE ESGOTO SANITÁRIO. AF_12/2014</v>
      </c>
      <c r="E640" s="45" t="str">
        <f>IF(B640="MP-MT",VLOOKUP(C640,'COMPOSIÇÃO DE PREÇO UNITÁRIO'!A:H,8,FALSE),VLOOKUP(C640,'SINAPI_COMPOSIÇÕES 062020'!A:C,3,FALSE))</f>
        <v>UN</v>
      </c>
      <c r="F640" s="78">
        <v>2</v>
      </c>
      <c r="G640" s="79">
        <f>IF(B640="MP-MT",VLOOKUP(CONCATENATE("TOTAL DO ÍTEM - ",C640),'COMPOSIÇÃO DE PREÇO UNITÁRIO'!A:H,8,FALSE),VLOOKUP(C640,'SINAPI_COMPOSIÇÕES 062020'!A:D,4,FALSE))</f>
        <v>18.399999999999999</v>
      </c>
      <c r="H640" s="79">
        <f t="shared" si="166"/>
        <v>23.8</v>
      </c>
      <c r="I640" s="79">
        <f t="shared" si="167"/>
        <v>47.6</v>
      </c>
    </row>
    <row r="641" spans="1:9" ht="38.25" outlineLevel="2" x14ac:dyDescent="0.2">
      <c r="A641" s="45" t="s">
        <v>13796</v>
      </c>
      <c r="B641" s="45" t="s">
        <v>9</v>
      </c>
      <c r="C641" s="45">
        <v>89724</v>
      </c>
      <c r="D641" s="44" t="str">
        <f>IF(B641="MP-MT",VLOOKUP(C641,'COMPOSIÇÃO DE PREÇO UNITÁRIO'!A:B,2,FALSE),VLOOKUP(C641,'SINAPI_COMPOSIÇÕES 062020'!A:B,2,FALSE))</f>
        <v>JOELHO 90 GRAUS, PVC, SERIE NORMAL, ESGOTO PREDIAL, DN 40 MM, JUNTA SOLDÁVEL, FORNECIDO E INSTALADO EM RAMAL DE DESCARGA OU RAMAL DE ESGOTO SANITÁRIO. AF_12/2014</v>
      </c>
      <c r="E641" s="45" t="str">
        <f>IF(B641="MP-MT",VLOOKUP(C641,'COMPOSIÇÃO DE PREÇO UNITÁRIO'!A:H,8,FALSE),VLOOKUP(C641,'SINAPI_COMPOSIÇÕES 062020'!A:C,3,FALSE))</f>
        <v>UN</v>
      </c>
      <c r="F641" s="78">
        <v>4</v>
      </c>
      <c r="G641" s="79">
        <f>IF(B641="MP-MT",VLOOKUP(CONCATENATE("TOTAL DO ÍTEM - ",C641),'COMPOSIÇÃO DE PREÇO UNITÁRIO'!A:H,8,FALSE),VLOOKUP(C641,'SINAPI_COMPOSIÇÕES 062020'!A:D,4,FALSE))</f>
        <v>7.63</v>
      </c>
      <c r="H641" s="79">
        <f t="shared" si="166"/>
        <v>9.8699999999999992</v>
      </c>
      <c r="I641" s="79">
        <f t="shared" si="167"/>
        <v>39.479999999999997</v>
      </c>
    </row>
    <row r="642" spans="1:9" ht="38.25" outlineLevel="2" x14ac:dyDescent="0.2">
      <c r="A642" s="45" t="s">
        <v>13797</v>
      </c>
      <c r="B642" s="45" t="s">
        <v>9</v>
      </c>
      <c r="C642" s="45">
        <v>89744</v>
      </c>
      <c r="D642" s="44" t="str">
        <f>IF(B642="MP-MT",VLOOKUP(C642,'COMPOSIÇÃO DE PREÇO UNITÁRIO'!A:B,2,FALSE),VLOOKUP(C642,'SINAPI_COMPOSIÇÕES 062020'!A:B,2,FALSE))</f>
        <v>JOELHO 90 GRAUS, PVC, SERIE NORMAL, ESGOTO PREDIAL, DN 100 MM, JUNTA ELÁSTICA, FORNECIDO E INSTALADO EM RAMAL DE DESCARGA OU RAMAL DE ESGOTO SANITÁRIO. AF_12/2014</v>
      </c>
      <c r="E642" s="45" t="str">
        <f>IF(B642="MP-MT",VLOOKUP(C642,'COMPOSIÇÃO DE PREÇO UNITÁRIO'!A:H,8,FALSE),VLOOKUP(C642,'SINAPI_COMPOSIÇÕES 062020'!A:C,3,FALSE))</f>
        <v>UN</v>
      </c>
      <c r="F642" s="78">
        <v>4</v>
      </c>
      <c r="G642" s="79">
        <f>IF(B642="MP-MT",VLOOKUP(CONCATENATE("TOTAL DO ÍTEM - ",C642),'COMPOSIÇÃO DE PREÇO UNITÁRIO'!A:H,8,FALSE),VLOOKUP(C642,'SINAPI_COMPOSIÇÕES 062020'!A:D,4,FALSE))</f>
        <v>18.399999999999999</v>
      </c>
      <c r="H642" s="79">
        <f t="shared" si="166"/>
        <v>23.8</v>
      </c>
      <c r="I642" s="79">
        <f t="shared" si="167"/>
        <v>95.2</v>
      </c>
    </row>
    <row r="643" spans="1:9" ht="38.25" outlineLevel="2" x14ac:dyDescent="0.2">
      <c r="A643" s="45" t="s">
        <v>13798</v>
      </c>
      <c r="B643" s="45" t="s">
        <v>9</v>
      </c>
      <c r="C643" s="45">
        <v>89797</v>
      </c>
      <c r="D643" s="44" t="str">
        <f>IF(B643="MP-MT",VLOOKUP(C643,'COMPOSIÇÃO DE PREÇO UNITÁRIO'!A:B,2,FALSE),VLOOKUP(C643,'SINAPI_COMPOSIÇÕES 062020'!A:B,2,FALSE))</f>
        <v>JUNÇÃO SIMPLES, PVC, SERIE NORMAL, ESGOTO PREDIAL, DN 100 X 100 MM, JUNTA ELÁSTICA, FORNECIDO E INSTALADO EM RAMAL DE DESCARGA OU RAMAL DE ESGOTO SANITÁRIO. AF_12/2014</v>
      </c>
      <c r="E643" s="45" t="str">
        <f>IF(B643="MP-MT",VLOOKUP(C643,'COMPOSIÇÃO DE PREÇO UNITÁRIO'!A:H,8,FALSE),VLOOKUP(C643,'SINAPI_COMPOSIÇÕES 062020'!A:C,3,FALSE))</f>
        <v>UN</v>
      </c>
      <c r="F643" s="78">
        <v>2</v>
      </c>
      <c r="G643" s="79">
        <f>IF(B643="MP-MT",VLOOKUP(CONCATENATE("TOTAL DO ÍTEM - ",C643),'COMPOSIÇÃO DE PREÇO UNITÁRIO'!A:H,8,FALSE),VLOOKUP(C643,'SINAPI_COMPOSIÇÕES 062020'!A:D,4,FALSE))</f>
        <v>34.950000000000003</v>
      </c>
      <c r="H643" s="79">
        <f t="shared" si="166"/>
        <v>45.22</v>
      </c>
      <c r="I643" s="79">
        <f t="shared" si="167"/>
        <v>90.44</v>
      </c>
    </row>
    <row r="644" spans="1:9" ht="38.25" outlineLevel="2" x14ac:dyDescent="0.2">
      <c r="A644" s="45" t="s">
        <v>13799</v>
      </c>
      <c r="B644" s="45" t="s">
        <v>9</v>
      </c>
      <c r="C644" s="45">
        <v>89779</v>
      </c>
      <c r="D644" s="44" t="str">
        <f>IF(B644="MP-MT",VLOOKUP(C644,'COMPOSIÇÃO DE PREÇO UNITÁRIO'!A:B,2,FALSE),VLOOKUP(C644,'SINAPI_COMPOSIÇÕES 062020'!A:B,2,FALSE))</f>
        <v>LUVA DE CORRER, PVC, SERIE NORMAL, ESGOTO PREDIAL, DN 100 MM, JUNTA ELÁSTICA, FORNECIDO E INSTALADO EM RAMAL DE DESCARGA OU RAMAL DE ESGOTO SANITÁRIO. AF_12/2014</v>
      </c>
      <c r="E644" s="45" t="str">
        <f>IF(B644="MP-MT",VLOOKUP(C644,'COMPOSIÇÃO DE PREÇO UNITÁRIO'!A:H,8,FALSE),VLOOKUP(C644,'SINAPI_COMPOSIÇÕES 062020'!A:C,3,FALSE))</f>
        <v>UN</v>
      </c>
      <c r="F644" s="78">
        <v>4</v>
      </c>
      <c r="G644" s="79">
        <f>IF(B644="MP-MT",VLOOKUP(CONCATENATE("TOTAL DO ÍTEM - ",C644),'COMPOSIÇÃO DE PREÇO UNITÁRIO'!A:H,8,FALSE),VLOOKUP(C644,'SINAPI_COMPOSIÇÕES 062020'!A:D,4,FALSE))</f>
        <v>21.88</v>
      </c>
      <c r="H644" s="79">
        <f t="shared" ref="H644:H654" si="168">TRUNC(G644*(1+$F$1),2)</f>
        <v>28.3</v>
      </c>
      <c r="I644" s="79">
        <f t="shared" ref="I644:I654" si="169">TRUNC(H644*F644,2)</f>
        <v>113.2</v>
      </c>
    </row>
    <row r="645" spans="1:9" ht="38.25" outlineLevel="2" x14ac:dyDescent="0.2">
      <c r="A645" s="45" t="s">
        <v>13800</v>
      </c>
      <c r="B645" s="45" t="s">
        <v>9</v>
      </c>
      <c r="C645" s="45">
        <v>89814</v>
      </c>
      <c r="D645" s="44" t="str">
        <f>IF(B645="MP-MT",VLOOKUP(C645,'COMPOSIÇÃO DE PREÇO UNITÁRIO'!A:B,2,FALSE),VLOOKUP(C645,'SINAPI_COMPOSIÇÕES 062020'!A:B,2,FALSE))</f>
        <v>LUVA DE CORRER, PVC, SERIE NORMAL, ESGOTO PREDIAL, DN 50 MM, JUNTA ELÁSTICA, FORNECIDO E INSTALADO EM PRUMADA DE ESGOTO SANITÁRIO OU VENTILAÇÃO. AF_12/2014</v>
      </c>
      <c r="E645" s="45" t="str">
        <f>IF(B645="MP-MT",VLOOKUP(C645,'COMPOSIÇÃO DE PREÇO UNITÁRIO'!A:H,8,FALSE),VLOOKUP(C645,'SINAPI_COMPOSIÇÕES 062020'!A:C,3,FALSE))</f>
        <v>UN</v>
      </c>
      <c r="F645" s="78">
        <v>4</v>
      </c>
      <c r="G645" s="79">
        <f>IF(B645="MP-MT",VLOOKUP(CONCATENATE("TOTAL DO ÍTEM - ",C645),'COMPOSIÇÃO DE PREÇO UNITÁRIO'!A:H,8,FALSE),VLOOKUP(C645,'SINAPI_COMPOSIÇÕES 062020'!A:D,4,FALSE))</f>
        <v>10.59</v>
      </c>
      <c r="H645" s="79">
        <f t="shared" si="168"/>
        <v>13.7</v>
      </c>
      <c r="I645" s="79">
        <f t="shared" si="169"/>
        <v>54.8</v>
      </c>
    </row>
    <row r="646" spans="1:9" ht="38.25" outlineLevel="2" x14ac:dyDescent="0.2">
      <c r="A646" s="45" t="s">
        <v>13801</v>
      </c>
      <c r="B646" s="45" t="s">
        <v>194</v>
      </c>
      <c r="C646" s="45" t="s">
        <v>12257</v>
      </c>
      <c r="D646" s="44" t="str">
        <f>IF(B646="MP-MT",VLOOKUP(C646,'COMPOSIÇÃO DE PREÇO UNITÁRIO'!A:B,2,FALSE),VLOOKUP(C646,'SINAPI_COMPOSIÇÕES 062020'!A:B,2,FALSE))</f>
        <v>TE, PVC, SERIE NORMAL, ESGOTO PREDIAL, DN 100 X 50 MM, JUNTA ELÁSTICA, FORNECIDO E INSTALADO EM RAMAL DE DESCARGA OU RAMAL DE ESGOTO SANITÁRIO</v>
      </c>
      <c r="E646" s="45" t="str">
        <f>IF(B646="MP-MT",VLOOKUP(C646,'COMPOSIÇÃO DE PREÇO UNITÁRIO'!A:H,8,FALSE),VLOOKUP(C646,'SINAPI_COMPOSIÇÕES 062020'!A:C,3,FALSE))</f>
        <v>UND</v>
      </c>
      <c r="F646" s="78">
        <v>4</v>
      </c>
      <c r="G646" s="79">
        <f>IF(B646="MP-MT",VLOOKUP(CONCATENATE("TOTAL DO ÍTEM - ",C646),'COMPOSIÇÃO DE PREÇO UNITÁRIO'!A:H,8,FALSE),VLOOKUP(C646,'SINAPI_COMPOSIÇÕES 062020'!A:D,4,FALSE))</f>
        <v>28.85</v>
      </c>
      <c r="H646" s="79">
        <f t="shared" si="168"/>
        <v>37.32</v>
      </c>
      <c r="I646" s="79">
        <f t="shared" si="169"/>
        <v>149.28</v>
      </c>
    </row>
    <row r="647" spans="1:9" ht="38.25" outlineLevel="2" x14ac:dyDescent="0.2">
      <c r="A647" s="45" t="s">
        <v>13802</v>
      </c>
      <c r="B647" s="45" t="s">
        <v>9</v>
      </c>
      <c r="C647" s="45">
        <v>89796</v>
      </c>
      <c r="D647" s="44" t="str">
        <f>IF(B647="MP-MT",VLOOKUP(C647,'COMPOSIÇÃO DE PREÇO UNITÁRIO'!A:B,2,FALSE),VLOOKUP(C647,'SINAPI_COMPOSIÇÕES 062020'!A:B,2,FALSE))</f>
        <v>TE, PVC, SERIE NORMAL, ESGOTO PREDIAL, DN 100 X 100 MM, JUNTA ELÁSTICA, FORNECIDO E INSTALADO EM RAMAL DE DESCARGA OU RAMAL DE ESGOTO SANITÁRIO. AF_12/2014</v>
      </c>
      <c r="E647" s="45" t="str">
        <f>IF(B647="MP-MT",VLOOKUP(C647,'COMPOSIÇÃO DE PREÇO UNITÁRIO'!A:H,8,FALSE),VLOOKUP(C647,'SINAPI_COMPOSIÇÕES 062020'!A:C,3,FALSE))</f>
        <v>UN</v>
      </c>
      <c r="F647" s="78">
        <v>2</v>
      </c>
      <c r="G647" s="79">
        <f>IF(B647="MP-MT",VLOOKUP(CONCATENATE("TOTAL DO ÍTEM - ",C647),'COMPOSIÇÃO DE PREÇO UNITÁRIO'!A:H,8,FALSE),VLOOKUP(C647,'SINAPI_COMPOSIÇÕES 062020'!A:D,4,FALSE))</f>
        <v>30.99</v>
      </c>
      <c r="H647" s="79">
        <f t="shared" si="168"/>
        <v>40.090000000000003</v>
      </c>
      <c r="I647" s="79">
        <f t="shared" si="169"/>
        <v>80.180000000000007</v>
      </c>
    </row>
    <row r="648" spans="1:9" ht="38.25" outlineLevel="2" x14ac:dyDescent="0.2">
      <c r="A648" s="45" t="s">
        <v>13803</v>
      </c>
      <c r="B648" s="45" t="s">
        <v>9</v>
      </c>
      <c r="C648" s="45">
        <v>89825</v>
      </c>
      <c r="D648" s="44" t="str">
        <f>IF(B648="MP-MT",VLOOKUP(C648,'COMPOSIÇÃO DE PREÇO UNITÁRIO'!A:B,2,FALSE),VLOOKUP(C648,'SINAPI_COMPOSIÇÕES 062020'!A:B,2,FALSE))</f>
        <v>TE, PVC, SERIE NORMAL, ESGOTO PREDIAL, DN 50 X 50 MM, JUNTA ELÁSTICA, FORNECIDO E INSTALADO EM PRUMADA DE ESGOTO SANITÁRIO OU VENTILAÇÃO. AF_12/2014</v>
      </c>
      <c r="E648" s="45" t="str">
        <f>IF(B648="MP-MT",VLOOKUP(C648,'COMPOSIÇÃO DE PREÇO UNITÁRIO'!A:H,8,FALSE),VLOOKUP(C648,'SINAPI_COMPOSIÇÕES 062020'!A:C,3,FALSE))</f>
        <v>UN</v>
      </c>
      <c r="F648" s="78">
        <v>4</v>
      </c>
      <c r="G648" s="79">
        <f>IF(B648="MP-MT",VLOOKUP(CONCATENATE("TOTAL DO ÍTEM - ",C648),'COMPOSIÇÃO DE PREÇO UNITÁRIO'!A:H,8,FALSE),VLOOKUP(C648,'SINAPI_COMPOSIÇÕES 062020'!A:D,4,FALSE))</f>
        <v>11.77</v>
      </c>
      <c r="H648" s="79">
        <f t="shared" si="168"/>
        <v>15.22</v>
      </c>
      <c r="I648" s="79">
        <f t="shared" si="169"/>
        <v>60.88</v>
      </c>
    </row>
    <row r="649" spans="1:9" ht="38.25" outlineLevel="2" x14ac:dyDescent="0.2">
      <c r="A649" s="45" t="s">
        <v>13804</v>
      </c>
      <c r="B649" s="45" t="s">
        <v>9</v>
      </c>
      <c r="C649" s="45">
        <v>89829</v>
      </c>
      <c r="D649" s="44" t="str">
        <f>IF(B649="MP-MT",VLOOKUP(C649,'COMPOSIÇÃO DE PREÇO UNITÁRIO'!A:B,2,FALSE),VLOOKUP(C649,'SINAPI_COMPOSIÇÕES 062020'!A:B,2,FALSE))</f>
        <v>TE, PVC, SERIE NORMAL, ESGOTO PREDIAL, DN 75 X 75 MM, JUNTA ELÁSTICA, FORNECIDO E INSTALADO EM PRUMADA DE ESGOTO SANITÁRIO OU VENTILAÇÃO. AF_12/2014</v>
      </c>
      <c r="E649" s="45" t="str">
        <f>IF(B649="MP-MT",VLOOKUP(C649,'COMPOSIÇÃO DE PREÇO UNITÁRIO'!A:H,8,FALSE),VLOOKUP(C649,'SINAPI_COMPOSIÇÕES 062020'!A:C,3,FALSE))</f>
        <v>UN</v>
      </c>
      <c r="F649" s="78">
        <v>3</v>
      </c>
      <c r="G649" s="79">
        <f>IF(B649="MP-MT",VLOOKUP(CONCATENATE("TOTAL DO ÍTEM - ",C649),'COMPOSIÇÃO DE PREÇO UNITÁRIO'!A:H,8,FALSE),VLOOKUP(C649,'SINAPI_COMPOSIÇÕES 062020'!A:D,4,FALSE))</f>
        <v>20.46</v>
      </c>
      <c r="H649" s="79">
        <f t="shared" si="168"/>
        <v>26.47</v>
      </c>
      <c r="I649" s="79">
        <f t="shared" si="169"/>
        <v>79.41</v>
      </c>
    </row>
    <row r="650" spans="1:9" ht="25.5" outlineLevel="2" x14ac:dyDescent="0.2">
      <c r="A650" s="45" t="s">
        <v>13805</v>
      </c>
      <c r="B650" s="45" t="s">
        <v>194</v>
      </c>
      <c r="C650" s="45" t="s">
        <v>12265</v>
      </c>
      <c r="D650" s="44" t="str">
        <f>IF(B650="MP-MT",VLOOKUP(C650,'COMPOSIÇÃO DE PREÇO UNITÁRIO'!A:B,2,FALSE),VLOOKUP(C650,'SINAPI_COMPOSIÇÕES 062020'!A:B,2,FALSE))</f>
        <v>REDUÇÃO EXCÊNTRICA, PVC, PARA ESGOTO PREDIAL, DN 75 X 50MM - FORNECIMENTO E INSTALAÇÃO</v>
      </c>
      <c r="E650" s="45" t="str">
        <f>IF(B650="MP-MT",VLOOKUP(C650,'COMPOSIÇÃO DE PREÇO UNITÁRIO'!A:H,8,FALSE),VLOOKUP(C650,'SINAPI_COMPOSIÇÕES 062020'!A:C,3,FALSE))</f>
        <v>UND</v>
      </c>
      <c r="F650" s="78">
        <v>4</v>
      </c>
      <c r="G650" s="79">
        <f>IF(B650="MP-MT",VLOOKUP(CONCATENATE("TOTAL DO ÍTEM - ",C650),'COMPOSIÇÃO DE PREÇO UNITÁRIO'!A:H,8,FALSE),VLOOKUP(C650,'SINAPI_COMPOSIÇÕES 062020'!A:D,4,FALSE))</f>
        <v>11.99</v>
      </c>
      <c r="H650" s="79">
        <f t="shared" si="168"/>
        <v>15.51</v>
      </c>
      <c r="I650" s="79">
        <f t="shared" si="169"/>
        <v>62.04</v>
      </c>
    </row>
    <row r="651" spans="1:9" ht="25.5" outlineLevel="2" x14ac:dyDescent="0.2">
      <c r="A651" s="45" t="s">
        <v>13806</v>
      </c>
      <c r="B651" s="45" t="s">
        <v>194</v>
      </c>
      <c r="C651" s="45" t="s">
        <v>12273</v>
      </c>
      <c r="D651" s="44" t="str">
        <f>IF(B651="MP-MT",VLOOKUP(C651,'COMPOSIÇÃO DE PREÇO UNITÁRIO'!A:B,2,FALSE),VLOOKUP(C651,'SINAPI_COMPOSIÇÕES 062020'!A:B,2,FALSE))</f>
        <v xml:space="preserve">FORNECIMENTO E INSTALAÇÃO DE TERMINAL DE VENTILACAO, 75 MM, SERIE NORMAL, ESGOTO PREDIAL </v>
      </c>
      <c r="E651" s="45" t="str">
        <f>IF(B651="MP-MT",VLOOKUP(C651,'COMPOSIÇÃO DE PREÇO UNITÁRIO'!A:H,8,FALSE),VLOOKUP(C651,'SINAPI_COMPOSIÇÕES 062020'!A:C,3,FALSE))</f>
        <v>UND</v>
      </c>
      <c r="F651" s="78">
        <v>1</v>
      </c>
      <c r="G651" s="79">
        <f>IF(B651="MP-MT",VLOOKUP(CONCATENATE("TOTAL DO ÍTEM - ",C651),'COMPOSIÇÃO DE PREÇO UNITÁRIO'!A:H,8,FALSE),VLOOKUP(C651,'SINAPI_COMPOSIÇÕES 062020'!A:D,4,FALSE))</f>
        <v>12.66</v>
      </c>
      <c r="H651" s="79">
        <f t="shared" si="168"/>
        <v>16.38</v>
      </c>
      <c r="I651" s="79">
        <f t="shared" si="169"/>
        <v>16.38</v>
      </c>
    </row>
    <row r="652" spans="1:9" ht="38.25" outlineLevel="2" x14ac:dyDescent="0.2">
      <c r="A652" s="45" t="s">
        <v>13807</v>
      </c>
      <c r="B652" s="45" t="s">
        <v>9</v>
      </c>
      <c r="C652" s="45">
        <v>89753</v>
      </c>
      <c r="D652" s="44" t="str">
        <f>IF(B652="MP-MT",VLOOKUP(C652,'COMPOSIÇÃO DE PREÇO UNITÁRIO'!A:B,2,FALSE),VLOOKUP(C652,'SINAPI_COMPOSIÇÕES 062020'!A:B,2,FALSE))</f>
        <v>LUVA SIMPLES, PVC, SERIE NORMAL, ESGOTO PREDIAL, DN 50 MM, JUNTA ELÁSTICA, FORNECIDO E INSTALADO EM RAMAL DE DESCARGA OU RAMAL DE ESGOTO SANITÁRIO. AF_12/2014</v>
      </c>
      <c r="E652" s="45" t="str">
        <f>IF(B652="MP-MT",VLOOKUP(C652,'COMPOSIÇÃO DE PREÇO UNITÁRIO'!A:H,8,FALSE),VLOOKUP(C652,'SINAPI_COMPOSIÇÕES 062020'!A:C,3,FALSE))</f>
        <v>UN</v>
      </c>
      <c r="F652" s="78">
        <v>2</v>
      </c>
      <c r="G652" s="79">
        <f>IF(B652="MP-MT",VLOOKUP(CONCATENATE("TOTAL DO ÍTEM - ",C652),'COMPOSIÇÃO DE PREÇO UNITÁRIO'!A:H,8,FALSE),VLOOKUP(C652,'SINAPI_COMPOSIÇÕES 062020'!A:D,4,FALSE))</f>
        <v>7</v>
      </c>
      <c r="H652" s="79">
        <f t="shared" si="168"/>
        <v>9.0500000000000007</v>
      </c>
      <c r="I652" s="79">
        <f t="shared" si="169"/>
        <v>18.100000000000001</v>
      </c>
    </row>
    <row r="653" spans="1:9" ht="38.25" outlineLevel="2" x14ac:dyDescent="0.2">
      <c r="A653" s="45" t="s">
        <v>13808</v>
      </c>
      <c r="B653" s="45" t="s">
        <v>9</v>
      </c>
      <c r="C653" s="45">
        <v>89774</v>
      </c>
      <c r="D653" s="44" t="str">
        <f>IF(B653="MP-MT",VLOOKUP(C653,'COMPOSIÇÃO DE PREÇO UNITÁRIO'!A:B,2,FALSE),VLOOKUP(C653,'SINAPI_COMPOSIÇÕES 062020'!A:B,2,FALSE))</f>
        <v>LUVA SIMPLES, PVC, SERIE NORMAL, ESGOTO PREDIAL, DN 75 MM, JUNTA ELÁSTICA, FORNECIDO E INSTALADO EM RAMAL DE DESCARGA OU RAMAL DE ESGOTO SANITÁRIO. AF_12/2014</v>
      </c>
      <c r="E653" s="45" t="str">
        <f>IF(B653="MP-MT",VLOOKUP(C653,'COMPOSIÇÃO DE PREÇO UNITÁRIO'!A:H,8,FALSE),VLOOKUP(C653,'SINAPI_COMPOSIÇÕES 062020'!A:C,3,FALSE))</f>
        <v>UN</v>
      </c>
      <c r="F653" s="78">
        <v>12</v>
      </c>
      <c r="G653" s="79">
        <f>IF(B653="MP-MT",VLOOKUP(CONCATENATE("TOTAL DO ÍTEM - ",C653),'COMPOSIÇÃO DE PREÇO UNITÁRIO'!A:H,8,FALSE),VLOOKUP(C653,'SINAPI_COMPOSIÇÕES 062020'!A:D,4,FALSE))</f>
        <v>11.46</v>
      </c>
      <c r="H653" s="79">
        <f t="shared" si="168"/>
        <v>14.82</v>
      </c>
      <c r="I653" s="79">
        <f t="shared" si="169"/>
        <v>177.84</v>
      </c>
    </row>
    <row r="654" spans="1:9" ht="38.25" outlineLevel="2" x14ac:dyDescent="0.2">
      <c r="A654" s="45" t="s">
        <v>13809</v>
      </c>
      <c r="B654" s="45" t="s">
        <v>9</v>
      </c>
      <c r="C654" s="45">
        <v>89778</v>
      </c>
      <c r="D654" s="44" t="str">
        <f>IF(B654="MP-MT",VLOOKUP(C654,'COMPOSIÇÃO DE PREÇO UNITÁRIO'!A:B,2,FALSE),VLOOKUP(C654,'SINAPI_COMPOSIÇÕES 062020'!A:B,2,FALSE))</f>
        <v>LUVA SIMPLES, PVC, SERIE NORMAL, ESGOTO PREDIAL, DN 100 MM, JUNTA ELÁSTICA, FORNECIDO E INSTALADO EM RAMAL DE DESCARGA OU RAMAL DE ESGOTO SANITÁRIO. AF_12/2014</v>
      </c>
      <c r="E654" s="45" t="str">
        <f>IF(B654="MP-MT",VLOOKUP(C654,'COMPOSIÇÃO DE PREÇO UNITÁRIO'!A:H,8,FALSE),VLOOKUP(C654,'SINAPI_COMPOSIÇÕES 062020'!A:C,3,FALSE))</f>
        <v>UN</v>
      </c>
      <c r="F654" s="78">
        <v>10</v>
      </c>
      <c r="G654" s="79">
        <f>IF(B654="MP-MT",VLOOKUP(CONCATENATE("TOTAL DO ÍTEM - ",C654),'COMPOSIÇÃO DE PREÇO UNITÁRIO'!A:H,8,FALSE),VLOOKUP(C654,'SINAPI_COMPOSIÇÕES 062020'!A:D,4,FALSE))</f>
        <v>14.49</v>
      </c>
      <c r="H654" s="79">
        <f t="shared" si="168"/>
        <v>18.739999999999998</v>
      </c>
      <c r="I654" s="79">
        <f t="shared" si="169"/>
        <v>187.4</v>
      </c>
    </row>
    <row r="655" spans="1:9" outlineLevel="1" x14ac:dyDescent="0.2">
      <c r="A655" s="76"/>
      <c r="B655" s="76"/>
      <c r="C655" s="76"/>
      <c r="D655" s="91" t="str">
        <f>CONCATENATE("TOTAL DO ITEM - ",A615)</f>
        <v>TOTAL DO ITEM - 37.0</v>
      </c>
      <c r="E655" s="76"/>
      <c r="F655" s="92"/>
      <c r="G655" s="93"/>
      <c r="H655" s="93"/>
      <c r="I655" s="93">
        <f>SUM(I616:I654)</f>
        <v>4495.7400000000007</v>
      </c>
    </row>
    <row r="656" spans="1:9" outlineLevel="1" x14ac:dyDescent="0.2">
      <c r="A656" s="232" t="s">
        <v>13239</v>
      </c>
      <c r="B656" s="232"/>
      <c r="C656" s="232"/>
      <c r="D656" s="88" t="s">
        <v>11953</v>
      </c>
      <c r="E656" s="232"/>
      <c r="F656" s="89"/>
      <c r="G656" s="90"/>
      <c r="H656" s="90"/>
      <c r="I656" s="90"/>
    </row>
    <row r="657" spans="1:9" ht="38.25" outlineLevel="2" x14ac:dyDescent="0.2">
      <c r="A657" s="45" t="s">
        <v>13810</v>
      </c>
      <c r="B657" s="45" t="s">
        <v>194</v>
      </c>
      <c r="C657" s="45" t="s">
        <v>11954</v>
      </c>
      <c r="D657" s="44" t="str">
        <f>IF(B657="MP-MT",VLOOKUP(C657,'COMPOSIÇÃO DE PREÇO UNITÁRIO'!A:B,2,FALSE),VLOOKUP(C657,'SINAPI_COMPOSIÇÕES 062020'!A:B,2,FALSE))</f>
        <v>VASO SANITARIO COM CAIXA ACOPLADA EM LOUÇA BRANCA, COM ASSENTO, INCLUSO CONJUNTO DE LIGAÇÃO PARA BACIA SANITÁRIA AJUSTÁVEL, REF. DECA LINHA VOGUE PLUS P.505.17 OU EQUIVALENTE</v>
      </c>
      <c r="E657" s="45" t="str">
        <f>IF(B657="MP-MT",VLOOKUP(C657,'COMPOSIÇÃO DE PREÇO UNITÁRIO'!A:H,8,FALSE),VLOOKUP(C657,'SINAPI_COMPOSIÇÕES 062020'!A:C,3,FALSE))</f>
        <v>UND</v>
      </c>
      <c r="F657" s="78">
        <v>4</v>
      </c>
      <c r="G657" s="79">
        <f>IF(B657="MP-MT",VLOOKUP(CONCATENATE("TOTAL DO ÍTEM - ",C657),'COMPOSIÇÃO DE PREÇO UNITÁRIO'!A:H,8,FALSE),VLOOKUP(C657,'SINAPI_COMPOSIÇÕES 062020'!A:D,4,FALSE))</f>
        <v>1424.84</v>
      </c>
      <c r="H657" s="79">
        <f t="shared" ref="H657:H660" si="170">TRUNC(G657*(1+$F$1),2)</f>
        <v>1843.53</v>
      </c>
      <c r="I657" s="79">
        <f t="shared" ref="I657:I660" si="171">TRUNC(H657*F657,2)</f>
        <v>7374.12</v>
      </c>
    </row>
    <row r="658" spans="1:9" ht="25.5" outlineLevel="2" x14ac:dyDescent="0.2">
      <c r="A658" s="45" t="s">
        <v>13811</v>
      </c>
      <c r="B658" s="45" t="s">
        <v>194</v>
      </c>
      <c r="C658" s="45" t="s">
        <v>12001</v>
      </c>
      <c r="D658" s="44" t="str">
        <f>IF(B658="MP-MT",VLOOKUP(C658,'COMPOSIÇÃO DE PREÇO UNITÁRIO'!A:B,2,FALSE),VLOOKUP(C658,'SINAPI_COMPOSIÇÕES 062020'!A:B,2,FALSE))</f>
        <v>FORNECIMENTO E INSTALAÇÃO DE LAVATÓRIO EM COLUNA SUSPENSA EM LOUÇA BRANCA, REF. DECA LINHA VOGUE PLUS L51 OU EQUIVALENTE</v>
      </c>
      <c r="E658" s="45" t="str">
        <f>IF(B658="MP-MT",VLOOKUP(C658,'COMPOSIÇÃO DE PREÇO UNITÁRIO'!A:H,8,FALSE),VLOOKUP(C658,'SINAPI_COMPOSIÇÕES 062020'!A:C,3,FALSE))</f>
        <v>UND</v>
      </c>
      <c r="F658" s="78">
        <v>4</v>
      </c>
      <c r="G658" s="79">
        <f>IF(B658="MP-MT",VLOOKUP(CONCATENATE("TOTAL DO ÍTEM - ",C658),'COMPOSIÇÃO DE PREÇO UNITÁRIO'!A:H,8,FALSE),VLOOKUP(C658,'SINAPI_COMPOSIÇÕES 062020'!A:D,4,FALSE))</f>
        <v>549.66999999999996</v>
      </c>
      <c r="H658" s="79">
        <f t="shared" si="170"/>
        <v>711.19</v>
      </c>
      <c r="I658" s="79">
        <f t="shared" si="171"/>
        <v>2844.76</v>
      </c>
    </row>
    <row r="659" spans="1:9" ht="25.5" outlineLevel="2" x14ac:dyDescent="0.2">
      <c r="A659" s="45" t="s">
        <v>13812</v>
      </c>
      <c r="B659" s="45" t="s">
        <v>194</v>
      </c>
      <c r="C659" s="45" t="s">
        <v>12019</v>
      </c>
      <c r="D659" s="44" t="str">
        <f>IF(B659="MP-MT",VLOOKUP(C659,'COMPOSIÇÃO DE PREÇO UNITÁRIO'!A:B,2,FALSE),VLOOKUP(C659,'SINAPI_COMPOSIÇÕES 062020'!A:B,2,FALSE))</f>
        <v>TORNEIRA METÁLICA CROMADA, MESA, BICA BAIXA, REFERENCIA DECA LINK 1197.C OU EQUIVALENTE - FORNECIMENTO E INSTALAÇÃO</v>
      </c>
      <c r="E659" s="45" t="str">
        <f>IF(B659="MP-MT",VLOOKUP(C659,'COMPOSIÇÃO DE PREÇO UNITÁRIO'!A:H,8,FALSE),VLOOKUP(C659,'SINAPI_COMPOSIÇÕES 062020'!A:C,3,FALSE))</f>
        <v>UND</v>
      </c>
      <c r="F659" s="78">
        <v>4</v>
      </c>
      <c r="G659" s="79">
        <f>IF(B659="MP-MT",VLOOKUP(CONCATENATE("TOTAL DO ÍTEM - ",C659),'COMPOSIÇÃO DE PREÇO UNITÁRIO'!A:H,8,FALSE),VLOOKUP(C659,'SINAPI_COMPOSIÇÕES 062020'!A:D,4,FALSE))</f>
        <v>152.31</v>
      </c>
      <c r="H659" s="79">
        <f t="shared" si="170"/>
        <v>197.06</v>
      </c>
      <c r="I659" s="79">
        <f t="shared" si="171"/>
        <v>788.24</v>
      </c>
    </row>
    <row r="660" spans="1:9" ht="25.5" outlineLevel="2" x14ac:dyDescent="0.2">
      <c r="A660" s="45" t="s">
        <v>13813</v>
      </c>
      <c r="B660" s="45" t="s">
        <v>9</v>
      </c>
      <c r="C660" s="45">
        <v>86877</v>
      </c>
      <c r="D660" s="44" t="str">
        <f>IF(B660="MP-MT",VLOOKUP(C660,'COMPOSIÇÃO DE PREÇO UNITÁRIO'!A:B,2,FALSE),VLOOKUP(C660,'SINAPI_COMPOSIÇÕES 062020'!A:B,2,FALSE))</f>
        <v>VÁLVULA EM METAL CROMADO 1.1/2 X 1.1/2 PARA TANQUE OU LAVATÓRIO, COM OU SEM LADRÃO - FORNECIMENTO E INSTALAÇÃO. AF_01/2020</v>
      </c>
      <c r="E660" s="45" t="str">
        <f>IF(B660="MP-MT",VLOOKUP(C660,'COMPOSIÇÃO DE PREÇO UNITÁRIO'!A:H,8,FALSE),VLOOKUP(C660,'SINAPI_COMPOSIÇÕES 062020'!A:C,3,FALSE))</f>
        <v>UN</v>
      </c>
      <c r="F660" s="78">
        <v>4</v>
      </c>
      <c r="G660" s="79">
        <f>IF(B660="MP-MT",VLOOKUP(CONCATENATE("TOTAL DO ÍTEM - ",C660),'COMPOSIÇÃO DE PREÇO UNITÁRIO'!A:H,8,FALSE),VLOOKUP(C660,'SINAPI_COMPOSIÇÕES 062020'!A:D,4,FALSE))</f>
        <v>25.53</v>
      </c>
      <c r="H660" s="79">
        <f t="shared" si="170"/>
        <v>33.03</v>
      </c>
      <c r="I660" s="79">
        <f t="shared" si="171"/>
        <v>132.12</v>
      </c>
    </row>
    <row r="661" spans="1:9" outlineLevel="1" x14ac:dyDescent="0.2">
      <c r="A661" s="76"/>
      <c r="B661" s="76"/>
      <c r="C661" s="76"/>
      <c r="D661" s="91" t="str">
        <f>CONCATENATE("TOTAL DO ITEM - ",A656)</f>
        <v>TOTAL DO ITEM - 38.0</v>
      </c>
      <c r="E661" s="76"/>
      <c r="F661" s="92"/>
      <c r="G661" s="93"/>
      <c r="H661" s="93"/>
      <c r="I661" s="93">
        <f>SUM(I657:I660)</f>
        <v>11139.240000000002</v>
      </c>
    </row>
    <row r="662" spans="1:9" outlineLevel="1" x14ac:dyDescent="0.2">
      <c r="A662" s="232" t="s">
        <v>13240</v>
      </c>
      <c r="B662" s="232"/>
      <c r="C662" s="232"/>
      <c r="D662" s="88" t="s">
        <v>12095</v>
      </c>
      <c r="E662" s="232"/>
      <c r="F662" s="89"/>
      <c r="G662" s="90"/>
      <c r="H662" s="90"/>
      <c r="I662" s="90"/>
    </row>
    <row r="663" spans="1:9" ht="25.5" outlineLevel="2" x14ac:dyDescent="0.2">
      <c r="A663" s="45" t="s">
        <v>13814</v>
      </c>
      <c r="B663" s="45" t="s">
        <v>194</v>
      </c>
      <c r="C663" s="45" t="s">
        <v>12096</v>
      </c>
      <c r="D663" s="44" t="str">
        <f>IF(B663="MP-MT",VLOOKUP(C663,'COMPOSIÇÃO DE PREÇO UNITÁRIO'!A:B,2,FALSE),VLOOKUP(C663,'SINAPI_COMPOSIÇÕES 062020'!A:B,2,FALSE))</f>
        <v>FORNECIMENTO E INSTALAÇÃO DE BARRA DE APOIO RETA, EM INOX, PARA PORTADORES DE NECESSIDADES ESPECIAIS, LASGURA 70CM</v>
      </c>
      <c r="E663" s="45" t="str">
        <f>IF(B663="MP-MT",VLOOKUP(C663,'COMPOSIÇÃO DE PREÇO UNITÁRIO'!A:H,8,FALSE),VLOOKUP(C663,'SINAPI_COMPOSIÇÕES 062020'!A:C,3,FALSE))</f>
        <v>UND</v>
      </c>
      <c r="F663" s="78">
        <v>4</v>
      </c>
      <c r="G663" s="79">
        <f>IF(B663="MP-MT",VLOOKUP(CONCATENATE("TOTAL DO ÍTEM - ",C663),'COMPOSIÇÃO DE PREÇO UNITÁRIO'!A:H,8,FALSE),VLOOKUP(C663,'SINAPI_COMPOSIÇÕES 062020'!A:D,4,FALSE))</f>
        <v>261.76</v>
      </c>
      <c r="H663" s="79">
        <f t="shared" ref="H663:H668" si="172">TRUNC(G663*(1+$F$1),2)</f>
        <v>338.67</v>
      </c>
      <c r="I663" s="79">
        <f t="shared" ref="I663:I668" si="173">TRUNC(H663*F663,2)</f>
        <v>1354.68</v>
      </c>
    </row>
    <row r="664" spans="1:9" ht="25.5" outlineLevel="2" x14ac:dyDescent="0.2">
      <c r="A664" s="45" t="s">
        <v>13815</v>
      </c>
      <c r="B664" s="45" t="s">
        <v>194</v>
      </c>
      <c r="C664" s="45" t="s">
        <v>12100</v>
      </c>
      <c r="D664" s="44" t="str">
        <f>IF(B664="MP-MT",VLOOKUP(C664,'COMPOSIÇÃO DE PREÇO UNITÁRIO'!A:B,2,FALSE),VLOOKUP(C664,'SINAPI_COMPOSIÇÕES 062020'!A:B,2,FALSE))</f>
        <v>FORNECIMENTO E INSTALAÇÃO DE BARRA DE APOIO RETA, EM INOX, PARA PORTADORES DE NECESSIDADES ESPECIAIS, LASGURA 80CM</v>
      </c>
      <c r="E664" s="45" t="str">
        <f>IF(B664="MP-MT",VLOOKUP(C664,'COMPOSIÇÃO DE PREÇO UNITÁRIO'!A:H,8,FALSE),VLOOKUP(C664,'SINAPI_COMPOSIÇÕES 062020'!A:C,3,FALSE))</f>
        <v>UND</v>
      </c>
      <c r="F664" s="78">
        <v>8</v>
      </c>
      <c r="G664" s="79">
        <f>IF(B664="MP-MT",VLOOKUP(CONCATENATE("TOTAL DO ÍTEM - ",C664),'COMPOSIÇÃO DE PREÇO UNITÁRIO'!A:H,8,FALSE),VLOOKUP(C664,'SINAPI_COMPOSIÇÕES 062020'!A:D,4,FALSE))</f>
        <v>276.86</v>
      </c>
      <c r="H664" s="79">
        <f t="shared" si="172"/>
        <v>358.21</v>
      </c>
      <c r="I664" s="79">
        <f t="shared" si="173"/>
        <v>2865.68</v>
      </c>
    </row>
    <row r="665" spans="1:9" ht="25.5" outlineLevel="2" x14ac:dyDescent="0.2">
      <c r="A665" s="45" t="s">
        <v>13817</v>
      </c>
      <c r="B665" s="45" t="s">
        <v>194</v>
      </c>
      <c r="C665" s="45" t="s">
        <v>12102</v>
      </c>
      <c r="D665" s="44" t="str">
        <f>IF(B665="MP-MT",VLOOKUP(C665,'COMPOSIÇÃO DE PREÇO UNITÁRIO'!A:B,2,FALSE),VLOOKUP(C665,'SINAPI_COMPOSIÇÕES 062020'!A:B,2,FALSE))</f>
        <v>FORNECIMENTO E INSTALAÇÃO DE BARRA DE APOIO RETA, EM INOX, PARA PORTADORES DE NECESSIDADES ESPECIAIS, LARGURA 40CM</v>
      </c>
      <c r="E665" s="45" t="str">
        <f>IF(B665="MP-MT",VLOOKUP(C665,'COMPOSIÇÃO DE PREÇO UNITÁRIO'!A:H,8,FALSE),VLOOKUP(C665,'SINAPI_COMPOSIÇÕES 062020'!A:C,3,FALSE))</f>
        <v>UND</v>
      </c>
      <c r="F665" s="78">
        <v>8</v>
      </c>
      <c r="G665" s="79">
        <f>IF(B665="MP-MT",VLOOKUP(CONCATENATE("TOTAL DO ÍTEM - ",C665),'COMPOSIÇÃO DE PREÇO UNITÁRIO'!A:H,8,FALSE),VLOOKUP(C665,'SINAPI_COMPOSIÇÕES 062020'!A:D,4,FALSE))</f>
        <v>179.68</v>
      </c>
      <c r="H665" s="79">
        <f t="shared" si="172"/>
        <v>232.47</v>
      </c>
      <c r="I665" s="79">
        <f t="shared" si="173"/>
        <v>1859.76</v>
      </c>
    </row>
    <row r="666" spans="1:9" ht="25.5" outlineLevel="2" x14ac:dyDescent="0.2">
      <c r="A666" s="45" t="s">
        <v>13818</v>
      </c>
      <c r="B666" s="45" t="s">
        <v>9</v>
      </c>
      <c r="C666" s="45">
        <v>95547</v>
      </c>
      <c r="D666" s="44" t="str">
        <f>IF(B666="MP-MT",VLOOKUP(C666,'COMPOSIÇÃO DE PREÇO UNITÁRIO'!A:B,2,FALSE),VLOOKUP(C666,'SINAPI_COMPOSIÇÕES 062020'!A:B,2,FALSE))</f>
        <v>SABONETEIRA PLASTICA TIPO DISPENSER PARA SABONETE LIQUIDO COM RESERVATORIO 800 A 1500 ML, INCLUSO FIXAÇÃO. AF_01/2020</v>
      </c>
      <c r="E666" s="45" t="str">
        <f>IF(B666="MP-MT",VLOOKUP(C666,'COMPOSIÇÃO DE PREÇO UNITÁRIO'!A:H,8,FALSE),VLOOKUP(C666,'SINAPI_COMPOSIÇÕES 062020'!A:C,3,FALSE))</f>
        <v>UN</v>
      </c>
      <c r="F666" s="78">
        <v>4</v>
      </c>
      <c r="G666" s="79">
        <f>IF(B666="MP-MT",VLOOKUP(CONCATENATE("TOTAL DO ÍTEM - ",C666),'COMPOSIÇÃO DE PREÇO UNITÁRIO'!A:H,8,FALSE),VLOOKUP(C666,'SINAPI_COMPOSIÇÕES 062020'!A:D,4,FALSE))</f>
        <v>53.3</v>
      </c>
      <c r="H666" s="79">
        <f t="shared" si="172"/>
        <v>68.959999999999994</v>
      </c>
      <c r="I666" s="79">
        <f t="shared" si="173"/>
        <v>275.83999999999997</v>
      </c>
    </row>
    <row r="667" spans="1:9" ht="25.5" outlineLevel="2" x14ac:dyDescent="0.2">
      <c r="A667" s="45" t="s">
        <v>13819</v>
      </c>
      <c r="B667" s="45" t="s">
        <v>194</v>
      </c>
      <c r="C667" s="45" t="s">
        <v>12112</v>
      </c>
      <c r="D667" s="44" t="str">
        <f>IF(B667="MP-MT",VLOOKUP(C667,'COMPOSIÇÃO DE PREÇO UNITÁRIO'!A:B,2,FALSE),VLOOKUP(C667,'SINAPI_COMPOSIÇÕES 062020'!A:B,2,FALSE))</f>
        <v>FORNECIMENTO E INSTALAÇÃO DE PAPELEIRA PLASTICA TIPO DISPENSER PARA PAPEL HIGIENICO ROLAO</v>
      </c>
      <c r="E667" s="45" t="str">
        <f>IF(B667="MP-MT",VLOOKUP(C667,'COMPOSIÇÃO DE PREÇO UNITÁRIO'!A:H,8,FALSE),VLOOKUP(C667,'SINAPI_COMPOSIÇÕES 062020'!A:C,3,FALSE))</f>
        <v>UND</v>
      </c>
      <c r="F667" s="78">
        <v>4</v>
      </c>
      <c r="G667" s="79">
        <f>IF(B667="MP-MT",VLOOKUP(CONCATENATE("TOTAL DO ÍTEM - ",C667),'COMPOSIÇÃO DE PREÇO UNITÁRIO'!A:H,8,FALSE),VLOOKUP(C667,'SINAPI_COMPOSIÇÕES 062020'!A:D,4,FALSE))</f>
        <v>50.3</v>
      </c>
      <c r="H667" s="79">
        <f t="shared" si="172"/>
        <v>65.08</v>
      </c>
      <c r="I667" s="79">
        <f t="shared" si="173"/>
        <v>260.32</v>
      </c>
    </row>
    <row r="668" spans="1:9" outlineLevel="2" x14ac:dyDescent="0.2">
      <c r="A668" s="45" t="s">
        <v>13820</v>
      </c>
      <c r="B668" s="45" t="s">
        <v>194</v>
      </c>
      <c r="C668" s="45" t="s">
        <v>12116</v>
      </c>
      <c r="D668" s="44" t="str">
        <f>IF(B668="MP-MT",VLOOKUP(C668,'COMPOSIÇÃO DE PREÇO UNITÁRIO'!A:B,2,FALSE),VLOOKUP(C668,'SINAPI_COMPOSIÇÕES 062020'!A:B,2,FALSE))</f>
        <v>FORNECIMENTO E INSTALAÇÃO DE DISPENSER PARA PAPEL INTERFOLHADO</v>
      </c>
      <c r="E668" s="45" t="str">
        <f>IF(B668="MP-MT",VLOOKUP(C668,'COMPOSIÇÃO DE PREÇO UNITÁRIO'!A:H,8,FALSE),VLOOKUP(C668,'SINAPI_COMPOSIÇÕES 062020'!A:C,3,FALSE))</f>
        <v>UND</v>
      </c>
      <c r="F668" s="78">
        <v>4</v>
      </c>
      <c r="G668" s="79">
        <f>IF(B668="MP-MT",VLOOKUP(CONCATENATE("TOTAL DO ÍTEM - ",C668),'COMPOSIÇÃO DE PREÇO UNITÁRIO'!A:H,8,FALSE),VLOOKUP(C668,'SINAPI_COMPOSIÇÕES 062020'!A:D,4,FALSE))</f>
        <v>50.3</v>
      </c>
      <c r="H668" s="79">
        <f t="shared" si="172"/>
        <v>65.08</v>
      </c>
      <c r="I668" s="79">
        <f t="shared" si="173"/>
        <v>260.32</v>
      </c>
    </row>
    <row r="669" spans="1:9" ht="25.5" outlineLevel="2" x14ac:dyDescent="0.2">
      <c r="A669" s="45" t="s">
        <v>13816</v>
      </c>
      <c r="B669" s="45" t="s">
        <v>9</v>
      </c>
      <c r="C669" s="45">
        <v>85005</v>
      </c>
      <c r="D669" s="44" t="str">
        <f>IF(B669="MP-MT",VLOOKUP(C669,'COMPOSIÇÃO DE PREÇO UNITÁRIO'!A:B,2,FALSE),VLOOKUP(C669,'SINAPI_COMPOSIÇÕES 062020'!A:B,2,FALSE))</f>
        <v>ESPELHO CRISTAL, ESPESSURA 4MM, COM PARAFUSOS DE FIXACAO, SEM MOLDURA</v>
      </c>
      <c r="E669" s="45" t="str">
        <f>IF(B669="MP-MT",VLOOKUP(C669,'COMPOSIÇÃO DE PREÇO UNITÁRIO'!A:H,8,FALSE),VLOOKUP(C669,'SINAPI_COMPOSIÇÕES 062020'!A:C,3,FALSE))</f>
        <v>M2</v>
      </c>
      <c r="F669" s="78">
        <f>0.9*0.5*4</f>
        <v>1.8</v>
      </c>
      <c r="G669" s="79">
        <f>IF(B669="MP-MT",VLOOKUP(CONCATENATE("TOTAL DO ÍTEM - ",C669),'COMPOSIÇÃO DE PREÇO UNITÁRIO'!A:H,8,FALSE),VLOOKUP(C669,'SINAPI_COMPOSIÇÕES 062020'!A:D,4,FALSE))</f>
        <v>370</v>
      </c>
      <c r="H669" s="79">
        <f t="shared" ref="H669" si="174">TRUNC(G669*(1+$F$1),2)</f>
        <v>478.72</v>
      </c>
      <c r="I669" s="79">
        <f t="shared" ref="I669" si="175">TRUNC(H669*F669,2)</f>
        <v>861.69</v>
      </c>
    </row>
    <row r="670" spans="1:9" outlineLevel="1" x14ac:dyDescent="0.2">
      <c r="A670" s="76"/>
      <c r="B670" s="76"/>
      <c r="C670" s="76"/>
      <c r="D670" s="91" t="str">
        <f>CONCATENATE("TOTAL DO ITEM - ",A662)</f>
        <v>TOTAL DO ITEM - 39.0</v>
      </c>
      <c r="E670" s="76"/>
      <c r="F670" s="92"/>
      <c r="G670" s="93"/>
      <c r="H670" s="93"/>
      <c r="I670" s="93">
        <f>SUM(I663:I669)</f>
        <v>7738.2899999999991</v>
      </c>
    </row>
    <row r="671" spans="1:9" outlineLevel="1" x14ac:dyDescent="0.2">
      <c r="A671" s="119" t="s">
        <v>13241</v>
      </c>
      <c r="B671" s="119"/>
      <c r="C671" s="119"/>
      <c r="D671" s="88" t="s">
        <v>12556</v>
      </c>
      <c r="E671" s="119"/>
      <c r="F671" s="89"/>
      <c r="G671" s="90"/>
      <c r="H671" s="90"/>
      <c r="I671" s="90"/>
    </row>
    <row r="672" spans="1:9" outlineLevel="2" x14ac:dyDescent="0.2">
      <c r="A672" s="45" t="s">
        <v>13821</v>
      </c>
      <c r="B672" s="45" t="s">
        <v>194</v>
      </c>
      <c r="C672" s="45" t="s">
        <v>13010</v>
      </c>
      <c r="D672" s="44" t="str">
        <f>IF(B672="MP-MT",VLOOKUP(C672,'COMPOSIÇÃO DE PREÇO UNITÁRIO'!A:B,2,FALSE),VLOOKUP(C672,'SINAPI_COMPOSIÇÕES 062020'!A:B,2,FALSE))</f>
        <v>CAÇAMBA BOTA-FORA, CAPACIDADE 5M³</v>
      </c>
      <c r="E672" s="45" t="str">
        <f>IF(B672="MP-MT",VLOOKUP(C672,'COMPOSIÇÃO DE PREÇO UNITÁRIO'!A:H,8,FALSE),VLOOKUP(C672,'SINAPI_COMPOSIÇÕES 062020'!A:C,3,FALSE))</f>
        <v>UND</v>
      </c>
      <c r="F672" s="78">
        <v>2</v>
      </c>
      <c r="G672" s="79">
        <f>IF(B672="MP-MT",VLOOKUP(CONCATENATE("TOTAL DO ÍTEM - ",C672),'COMPOSIÇÃO DE PREÇO UNITÁRIO'!A:H,8,FALSE),VLOOKUP(C672,'SINAPI_COMPOSIÇÕES 062020'!A:D,4,FALSE))</f>
        <v>300</v>
      </c>
      <c r="H672" s="79">
        <f t="shared" ref="H672:H673" si="176">TRUNC(G672*(1+$F$1),2)</f>
        <v>388.15</v>
      </c>
      <c r="I672" s="79">
        <f t="shared" ref="I672:I673" si="177">TRUNC(H672*F672,2)</f>
        <v>776.3</v>
      </c>
    </row>
    <row r="673" spans="1:11" ht="25.5" outlineLevel="2" x14ac:dyDescent="0.2">
      <c r="A673" s="45" t="s">
        <v>13822</v>
      </c>
      <c r="B673" s="45" t="s">
        <v>9</v>
      </c>
      <c r="C673" s="45">
        <v>99806</v>
      </c>
      <c r="D673" s="44" t="str">
        <f>IF(B673="MP-MT",VLOOKUP(C673,'COMPOSIÇÃO DE PREÇO UNITÁRIO'!A:B,2,FALSE),VLOOKUP(C673,'SINAPI_COMPOSIÇÕES 062020'!A:B,2,FALSE))</f>
        <v>LIMPEZA DE REVESTIMENTO CERÂMICO EM PAREDE COM PANO ÚMIDO AF_04/2019</v>
      </c>
      <c r="E673" s="45" t="str">
        <f>IF(B673="MP-MT",VLOOKUP(C673,'COMPOSIÇÃO DE PREÇO UNITÁRIO'!A:H,8,FALSE),VLOOKUP(C673,'SINAPI_COMPOSIÇÕES 062020'!A:C,3,FALSE))</f>
        <v>M2</v>
      </c>
      <c r="F673" s="78">
        <v>61.03</v>
      </c>
      <c r="G673" s="79">
        <f>IF(B673="MP-MT",VLOOKUP(CONCATENATE("TOTAL DO ÍTEM - ",C673),'COMPOSIÇÃO DE PREÇO UNITÁRIO'!A:H,8,FALSE),VLOOKUP(C673,'SINAPI_COMPOSIÇÕES 062020'!A:D,4,FALSE))</f>
        <v>0.56999999999999995</v>
      </c>
      <c r="H673" s="79">
        <f t="shared" si="176"/>
        <v>0.73</v>
      </c>
      <c r="I673" s="79">
        <f t="shared" si="177"/>
        <v>44.55</v>
      </c>
    </row>
    <row r="674" spans="1:11" outlineLevel="1" x14ac:dyDescent="0.2">
      <c r="A674" s="76"/>
      <c r="B674" s="76"/>
      <c r="C674" s="76"/>
      <c r="D674" s="91" t="str">
        <f>CONCATENATE("TOTAL DO ITEM - ",A671)</f>
        <v>TOTAL DO ITEM - 40.0</v>
      </c>
      <c r="E674" s="76"/>
      <c r="F674" s="92"/>
      <c r="G674" s="93"/>
      <c r="H674" s="93"/>
      <c r="I674" s="93">
        <f>SUM(I672:I673)</f>
        <v>820.84999999999991</v>
      </c>
    </row>
    <row r="675" spans="1:11" x14ac:dyDescent="0.2">
      <c r="A675" s="76"/>
      <c r="B675" s="76"/>
      <c r="C675" s="76"/>
      <c r="D675" s="91" t="s">
        <v>12557</v>
      </c>
      <c r="E675" s="76"/>
      <c r="F675" s="92"/>
      <c r="G675" s="93"/>
      <c r="H675" s="93"/>
      <c r="I675" s="93">
        <f>I674+I670+I661+I655+I614+I601+I593+I589+I586+I581+I578+I573+I566</f>
        <v>53960.52</v>
      </c>
    </row>
    <row r="676" spans="1:11" ht="15" x14ac:dyDescent="0.2">
      <c r="A676" s="76"/>
      <c r="B676" s="76"/>
      <c r="C676" s="76"/>
      <c r="D676" s="91" t="s">
        <v>38</v>
      </c>
      <c r="E676" s="76"/>
      <c r="F676" s="92"/>
      <c r="G676" s="93"/>
      <c r="H676" s="93"/>
      <c r="I676" s="94">
        <f>I675+I556+I19+I10</f>
        <v>1710673.4100000001</v>
      </c>
      <c r="J676" s="181"/>
      <c r="K676" s="181"/>
    </row>
    <row r="677" spans="1:11" x14ac:dyDescent="0.2">
      <c r="A677" s="253" t="s">
        <v>13831</v>
      </c>
      <c r="B677" s="253"/>
      <c r="C677" s="253"/>
      <c r="D677" s="253"/>
      <c r="E677" s="253"/>
      <c r="F677" s="253"/>
      <c r="G677" s="253"/>
      <c r="H677" s="253"/>
      <c r="I677" s="253"/>
    </row>
  </sheetData>
  <mergeCells count="5">
    <mergeCell ref="A677:I677"/>
    <mergeCell ref="A557:I557"/>
    <mergeCell ref="A6:I6"/>
    <mergeCell ref="A20:I20"/>
    <mergeCell ref="B1:D1"/>
  </mergeCells>
  <phoneticPr fontId="38" type="noConversion"/>
  <pageMargins left="0.511811024" right="0.511811024" top="0.79218750000000004" bottom="0.73124999999999996" header="0.31496062000000002" footer="0.31496062000000002"/>
  <pageSetup paperSize="9" scale="65" orientation="portrait" r:id="rId1"/>
  <headerFooter>
    <oddHeader>&amp;L&amp;G&amp;R&amp;"-,Negrito"&amp;8&amp;K01+031DEPARTAMENTO DE ENGENHARIA - DENGE&amp;"-,Regular"
(65) 3613-1609 | engenharia@mpmt.mp.br
&amp;"-,Negrito"GERENCIA DE LICITAÇÕES&amp;"-,Regular"
(65) 3613-1635 | licitacoes@mpmt.mp.br</oddHeader>
    <oddFooter>&amp;L&amp;"-,Negrito"&amp;9&amp;K01+034MINISTÉRIO PÚBLICO DO ESTADO DE MATO GROSSO
&amp;"-,Regular"&amp;8PROCURADORIA GERAL DE JUSTIÇA, RUA 04, S/N,
CENTRO POLÍTICO ADMINISTRATIVO - CUIABÁ-MT&amp;C&amp;9&amp;K01+029&amp;P / &amp;N&amp;R&amp;"-,Negrito"&amp;9&amp;K01+031&amp;A</oddFooter>
  </headerFooter>
  <ignoredErrors>
    <ignoredError sqref="F34" formula="1"/>
  </ignoredError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53"/>
  <sheetViews>
    <sheetView showGridLines="0" view="pageLayout" zoomScale="55" zoomScaleNormal="70" zoomScalePageLayoutView="55" workbookViewId="0">
      <selection activeCell="A7" sqref="A7:AI7"/>
    </sheetView>
  </sheetViews>
  <sheetFormatPr defaultRowHeight="12.75" x14ac:dyDescent="0.2"/>
  <cols>
    <col min="1" max="1" width="14.140625" style="8" customWidth="1"/>
    <col min="2" max="2" width="35" style="6" customWidth="1"/>
    <col min="3" max="3" width="7.85546875" style="8" customWidth="1"/>
    <col min="4" max="4" width="16.42578125" style="33" customWidth="1"/>
    <col min="5" max="5" width="9.5703125" style="33" customWidth="1"/>
    <col min="6" max="6" width="13.140625" style="33" customWidth="1"/>
    <col min="7" max="7" width="9.5703125" style="33" customWidth="1"/>
    <col min="8" max="8" width="13.140625" style="33" customWidth="1"/>
    <col min="9" max="9" width="9.5703125" style="33" customWidth="1"/>
    <col min="10" max="10" width="13.140625" style="33" customWidth="1"/>
    <col min="11" max="11" width="9.5703125" style="33" customWidth="1"/>
    <col min="12" max="12" width="13.140625" style="33" customWidth="1"/>
    <col min="13" max="13" width="9.5703125" style="33" customWidth="1"/>
    <col min="14" max="14" width="13.140625" style="33" customWidth="1"/>
    <col min="15" max="15" width="9.5703125" style="33" customWidth="1"/>
    <col min="16" max="16" width="13.140625" style="33" customWidth="1"/>
    <col min="17" max="17" width="9.5703125" style="33" customWidth="1"/>
    <col min="18" max="18" width="13.140625" style="33" customWidth="1"/>
    <col min="19" max="19" width="9.5703125" style="33" customWidth="1"/>
    <col min="20" max="20" width="13.140625" style="33" customWidth="1"/>
    <col min="21" max="21" width="9.5703125" style="33" customWidth="1"/>
    <col min="22" max="22" width="13.140625" style="33" customWidth="1"/>
    <col min="23" max="23" width="9.5703125" style="33" customWidth="1"/>
    <col min="24" max="24" width="13.140625" style="33" customWidth="1"/>
    <col min="25" max="25" width="9.5703125" style="33" customWidth="1"/>
    <col min="26" max="26" width="13.140625" style="33" customWidth="1"/>
    <col min="27" max="27" width="9.5703125" style="33" customWidth="1"/>
    <col min="28" max="28" width="13.140625" style="33" customWidth="1"/>
    <col min="29" max="29" width="9.5703125" style="33" customWidth="1"/>
    <col min="30" max="30" width="13.140625" style="33" customWidth="1"/>
    <col min="31" max="31" width="9.5703125" style="33" customWidth="1"/>
    <col min="32" max="32" width="13.140625" style="33" customWidth="1"/>
    <col min="33" max="33" width="9.5703125" style="33" customWidth="1"/>
    <col min="34" max="34" width="13.140625" style="33" customWidth="1"/>
    <col min="35" max="35" width="10.7109375" style="33" customWidth="1"/>
    <col min="36" max="16384" width="9.140625" style="32"/>
  </cols>
  <sheetData>
    <row r="1" spans="1:35" x14ac:dyDescent="0.2">
      <c r="A1" s="14" t="s">
        <v>24</v>
      </c>
      <c r="B1" s="16" t="str">
        <f>CAPA!B10</f>
        <v>AMPLIAÇÃO E REFORMA DA SEDE DAS PROMOTORIAS DE JUSTIÇA DE CÁCERES-MT</v>
      </c>
      <c r="C1" s="15"/>
      <c r="D1" s="16"/>
      <c r="E1" s="31"/>
      <c r="F1" s="31"/>
      <c r="G1" s="31"/>
      <c r="H1" s="31"/>
      <c r="I1" s="31"/>
      <c r="J1" s="31"/>
      <c r="K1" s="31"/>
      <c r="L1" s="17" t="s">
        <v>21</v>
      </c>
      <c r="M1" s="150">
        <f>CAPA!B20</f>
        <v>0.29385092593003881</v>
      </c>
      <c r="N1" s="18"/>
      <c r="O1" s="19" t="s">
        <v>23</v>
      </c>
      <c r="P1" s="57" t="str">
        <f>CAPA!B22</f>
        <v>SINAPI / MPMT</v>
      </c>
      <c r="Q1" s="31"/>
      <c r="R1" s="31"/>
      <c r="S1" s="31"/>
      <c r="T1" s="31"/>
      <c r="U1" s="31"/>
      <c r="V1" s="31"/>
      <c r="W1" s="31"/>
      <c r="X1" s="31"/>
      <c r="Y1" s="31"/>
      <c r="Z1" s="31"/>
      <c r="AA1" s="31"/>
      <c r="AB1" s="31"/>
      <c r="AC1" s="31"/>
      <c r="AD1" s="31"/>
      <c r="AE1" s="31"/>
      <c r="AF1" s="31"/>
      <c r="AG1" s="31"/>
      <c r="AH1" s="31"/>
      <c r="AI1" s="31"/>
    </row>
    <row r="2" spans="1:35" x14ac:dyDescent="0.2">
      <c r="A2" s="7" t="s">
        <v>25</v>
      </c>
      <c r="B2" s="6" t="str">
        <f>CAPA!B11</f>
        <v>Sede das Promotorias</v>
      </c>
      <c r="D2" s="6"/>
      <c r="L2" s="11" t="s">
        <v>20</v>
      </c>
      <c r="M2" s="151">
        <f>CAPA!B21</f>
        <v>0.16323475340228599</v>
      </c>
      <c r="N2" s="10"/>
      <c r="O2" s="41" t="s">
        <v>58</v>
      </c>
      <c r="P2" s="42" t="str">
        <f>CAPA!H22</f>
        <v>DESONERADO</v>
      </c>
    </row>
    <row r="3" spans="1:35" x14ac:dyDescent="0.2">
      <c r="A3" s="7" t="s">
        <v>26</v>
      </c>
      <c r="B3" s="6" t="str">
        <f>CAPA!B12</f>
        <v>Cáceres - MT</v>
      </c>
      <c r="D3" s="6"/>
      <c r="L3" s="11" t="s">
        <v>22</v>
      </c>
      <c r="M3" s="152" t="str">
        <f>CAPA!H20</f>
        <v>Junho/2020</v>
      </c>
      <c r="N3" s="10"/>
      <c r="O3" s="41" t="s">
        <v>68</v>
      </c>
      <c r="P3" s="42">
        <f>CAPA!B23</f>
        <v>0</v>
      </c>
    </row>
    <row r="4" spans="1:35" x14ac:dyDescent="0.2">
      <c r="A4" s="7" t="s">
        <v>27</v>
      </c>
      <c r="B4" s="6" t="str">
        <f>CAPA!B13</f>
        <v>Rua dos Scaff, 28 - Bairro Cavalhada</v>
      </c>
      <c r="D4" s="6"/>
      <c r="L4" s="11" t="s">
        <v>19</v>
      </c>
      <c r="M4" s="42" t="str">
        <f>CAPA!H21</f>
        <v>15 meses</v>
      </c>
      <c r="N4" s="10"/>
    </row>
    <row r="5" spans="1:35" x14ac:dyDescent="0.2">
      <c r="A5" s="7"/>
      <c r="B5" s="8"/>
      <c r="D5" s="6"/>
      <c r="L5" s="11"/>
      <c r="M5" s="9"/>
      <c r="N5" s="10"/>
    </row>
    <row r="7" spans="1:35" ht="13.5" thickBot="1" x14ac:dyDescent="0.25">
      <c r="A7" s="266" t="s">
        <v>48</v>
      </c>
      <c r="B7" s="266"/>
      <c r="C7" s="266"/>
      <c r="D7" s="266"/>
      <c r="E7" s="266"/>
      <c r="F7" s="266"/>
      <c r="G7" s="266"/>
      <c r="H7" s="266"/>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row>
    <row r="8" spans="1:35" s="8" customFormat="1" x14ac:dyDescent="0.25">
      <c r="A8" s="261" t="s">
        <v>0</v>
      </c>
      <c r="B8" s="261" t="s">
        <v>3</v>
      </c>
      <c r="C8" s="261" t="s">
        <v>30</v>
      </c>
      <c r="D8" s="259" t="s">
        <v>7</v>
      </c>
      <c r="E8" s="265" t="s">
        <v>43</v>
      </c>
      <c r="F8" s="259"/>
      <c r="G8" s="265" t="s">
        <v>44</v>
      </c>
      <c r="H8" s="259"/>
      <c r="I8" s="265" t="s">
        <v>45</v>
      </c>
      <c r="J8" s="259"/>
      <c r="K8" s="265" t="s">
        <v>46</v>
      </c>
      <c r="L8" s="259"/>
      <c r="M8" s="265" t="s">
        <v>47</v>
      </c>
      <c r="N8" s="259"/>
      <c r="O8" s="265" t="s">
        <v>189</v>
      </c>
      <c r="P8" s="259"/>
      <c r="Q8" s="265" t="s">
        <v>190</v>
      </c>
      <c r="R8" s="259"/>
      <c r="S8" s="265" t="s">
        <v>710</v>
      </c>
      <c r="T8" s="259"/>
      <c r="U8" s="265" t="s">
        <v>711</v>
      </c>
      <c r="V8" s="259"/>
      <c r="W8" s="265" t="s">
        <v>712</v>
      </c>
      <c r="X8" s="259"/>
      <c r="Y8" s="265" t="s">
        <v>713</v>
      </c>
      <c r="Z8" s="259"/>
      <c r="AA8" s="265" t="s">
        <v>714</v>
      </c>
      <c r="AB8" s="259"/>
      <c r="AC8" s="265" t="s">
        <v>13823</v>
      </c>
      <c r="AD8" s="259"/>
      <c r="AE8" s="265" t="s">
        <v>13824</v>
      </c>
      <c r="AF8" s="259"/>
      <c r="AG8" s="265" t="s">
        <v>13825</v>
      </c>
      <c r="AH8" s="259"/>
      <c r="AI8" s="263" t="s">
        <v>51</v>
      </c>
    </row>
    <row r="9" spans="1:35" ht="13.5" thickBot="1" x14ac:dyDescent="0.25">
      <c r="A9" s="262"/>
      <c r="B9" s="262"/>
      <c r="C9" s="262"/>
      <c r="D9" s="260"/>
      <c r="E9" s="34" t="s">
        <v>30</v>
      </c>
      <c r="F9" s="35" t="s">
        <v>42</v>
      </c>
      <c r="G9" s="34" t="s">
        <v>30</v>
      </c>
      <c r="H9" s="35" t="s">
        <v>42</v>
      </c>
      <c r="I9" s="34" t="s">
        <v>30</v>
      </c>
      <c r="J9" s="35" t="s">
        <v>42</v>
      </c>
      <c r="K9" s="34" t="s">
        <v>30</v>
      </c>
      <c r="L9" s="35" t="s">
        <v>42</v>
      </c>
      <c r="M9" s="34" t="s">
        <v>30</v>
      </c>
      <c r="N9" s="35" t="s">
        <v>42</v>
      </c>
      <c r="O9" s="34" t="s">
        <v>30</v>
      </c>
      <c r="P9" s="35" t="s">
        <v>42</v>
      </c>
      <c r="Q9" s="34" t="s">
        <v>30</v>
      </c>
      <c r="R9" s="35" t="s">
        <v>42</v>
      </c>
      <c r="S9" s="34" t="s">
        <v>30</v>
      </c>
      <c r="T9" s="35" t="s">
        <v>42</v>
      </c>
      <c r="U9" s="34" t="s">
        <v>30</v>
      </c>
      <c r="V9" s="35" t="s">
        <v>42</v>
      </c>
      <c r="W9" s="34" t="s">
        <v>30</v>
      </c>
      <c r="X9" s="35" t="s">
        <v>42</v>
      </c>
      <c r="Y9" s="34" t="s">
        <v>30</v>
      </c>
      <c r="Z9" s="35" t="s">
        <v>42</v>
      </c>
      <c r="AA9" s="34" t="s">
        <v>30</v>
      </c>
      <c r="AB9" s="35" t="s">
        <v>42</v>
      </c>
      <c r="AC9" s="34" t="s">
        <v>30</v>
      </c>
      <c r="AD9" s="35" t="s">
        <v>42</v>
      </c>
      <c r="AE9" s="34" t="s">
        <v>30</v>
      </c>
      <c r="AF9" s="35" t="s">
        <v>42</v>
      </c>
      <c r="AG9" s="34" t="s">
        <v>30</v>
      </c>
      <c r="AH9" s="35" t="s">
        <v>42</v>
      </c>
      <c r="AI9" s="264"/>
    </row>
    <row r="10" spans="1:35" x14ac:dyDescent="0.2">
      <c r="A10" s="47" t="str">
        <f>'PLANILHA RESUMO'!A12</f>
        <v>1.0</v>
      </c>
      <c r="B10" s="48" t="str">
        <f>'PLANILHA RESUMO'!B12</f>
        <v>ADMINISTRAÇÃO DE OBRAS</v>
      </c>
      <c r="C10" s="49">
        <f>D10/$D$52</f>
        <v>0.11865143212812318</v>
      </c>
      <c r="D10" s="50">
        <f>'PLANILHA RESUMO'!D12</f>
        <v>202973.85</v>
      </c>
      <c r="E10" s="85">
        <v>2.5000000000000001E-2</v>
      </c>
      <c r="F10" s="86">
        <f>D10*$E10</f>
        <v>5074.3462500000005</v>
      </c>
      <c r="G10" s="85">
        <v>2.5000000000000001E-2</v>
      </c>
      <c r="H10" s="86">
        <f>G10*$D10</f>
        <v>5074.3462500000005</v>
      </c>
      <c r="I10" s="85">
        <v>0.05</v>
      </c>
      <c r="J10" s="86">
        <f>I10*$D10</f>
        <v>10148.692500000001</v>
      </c>
      <c r="K10" s="85">
        <v>0.03</v>
      </c>
      <c r="L10" s="86">
        <f>K10*$D10</f>
        <v>6089.2155000000002</v>
      </c>
      <c r="M10" s="85">
        <v>6.5000000000000002E-2</v>
      </c>
      <c r="N10" s="86">
        <f>M10*$D10</f>
        <v>13193.30025</v>
      </c>
      <c r="O10" s="85">
        <v>0.11</v>
      </c>
      <c r="P10" s="86">
        <f>O10*$D10</f>
        <v>22327.123500000002</v>
      </c>
      <c r="Q10" s="85">
        <v>0.115</v>
      </c>
      <c r="R10" s="86">
        <f>Q10*$D10</f>
        <v>23341.992750000001</v>
      </c>
      <c r="S10" s="85">
        <v>0.11</v>
      </c>
      <c r="T10" s="86">
        <f>S10*$D10</f>
        <v>22327.123500000002</v>
      </c>
      <c r="U10" s="85">
        <v>0.11</v>
      </c>
      <c r="V10" s="86">
        <f>U10*$D10</f>
        <v>22327.123500000002</v>
      </c>
      <c r="W10" s="85">
        <v>0.11</v>
      </c>
      <c r="X10" s="86">
        <f>W10*$D10</f>
        <v>22327.123500000002</v>
      </c>
      <c r="Y10" s="85">
        <v>6.5000000000000002E-2</v>
      </c>
      <c r="Z10" s="86">
        <f>Y10*$D10</f>
        <v>13193.30025</v>
      </c>
      <c r="AA10" s="85">
        <v>4.4999999999999998E-2</v>
      </c>
      <c r="AB10" s="86">
        <f>AA10*$D10</f>
        <v>9133.8232499999995</v>
      </c>
      <c r="AC10" s="85">
        <v>4.4999999999999998E-2</v>
      </c>
      <c r="AD10" s="86">
        <f>AC10*$D10</f>
        <v>9133.8232499999995</v>
      </c>
      <c r="AE10" s="85">
        <v>5.5E-2</v>
      </c>
      <c r="AF10" s="86">
        <f>AE10*$D10</f>
        <v>11163.561750000001</v>
      </c>
      <c r="AG10" s="85">
        <v>0.04</v>
      </c>
      <c r="AH10" s="86">
        <f>AG10*$D10</f>
        <v>8118.9540000000006</v>
      </c>
      <c r="AI10" s="51">
        <f>AG10+AE10+AC10+AA10+Y10+W10+U10+S10+Q10+O10+M10+K10+I10+G10+E10</f>
        <v>1</v>
      </c>
    </row>
    <row r="11" spans="1:35" ht="25.5" x14ac:dyDescent="0.2">
      <c r="A11" s="45" t="str">
        <f>'PLANILHA RESUMO'!A13</f>
        <v>2.0</v>
      </c>
      <c r="B11" s="44" t="str">
        <f>'PLANILHA RESUMO'!B13</f>
        <v>SERVIÇOS PRELIMINARES E CANTEIRO DE OBRAS</v>
      </c>
      <c r="C11" s="52">
        <f>D11/$D$52</f>
        <v>1.1121696221372849E-2</v>
      </c>
      <c r="D11" s="53">
        <f>'PLANILHA RESUMO'!D13</f>
        <v>19025.590000000004</v>
      </c>
      <c r="E11" s="83">
        <v>1</v>
      </c>
      <c r="F11" s="84">
        <f>D11*$E11</f>
        <v>19025.590000000004</v>
      </c>
      <c r="G11" s="55"/>
      <c r="H11" s="56">
        <f>G11*$D11</f>
        <v>0</v>
      </c>
      <c r="I11" s="55"/>
      <c r="J11" s="56">
        <f>I11*$D11</f>
        <v>0</v>
      </c>
      <c r="K11" s="55"/>
      <c r="L11" s="56">
        <f>K11*$D11</f>
        <v>0</v>
      </c>
      <c r="M11" s="55"/>
      <c r="N11" s="56">
        <f>M11*$D11</f>
        <v>0</v>
      </c>
      <c r="O11" s="55"/>
      <c r="P11" s="56">
        <f>O11*$D11</f>
        <v>0</v>
      </c>
      <c r="Q11" s="55"/>
      <c r="R11" s="56">
        <f>Q11*$D11</f>
        <v>0</v>
      </c>
      <c r="S11" s="55"/>
      <c r="T11" s="56">
        <f>S11*$D11</f>
        <v>0</v>
      </c>
      <c r="U11" s="55"/>
      <c r="V11" s="56">
        <f>U11*$D11</f>
        <v>0</v>
      </c>
      <c r="W11" s="55"/>
      <c r="X11" s="56">
        <f>W11*$D11</f>
        <v>0</v>
      </c>
      <c r="Y11" s="55"/>
      <c r="Z11" s="56">
        <f>Y11*$D11</f>
        <v>0</v>
      </c>
      <c r="AA11" s="55"/>
      <c r="AB11" s="56">
        <f>AA11*$D11</f>
        <v>0</v>
      </c>
      <c r="AC11" s="55"/>
      <c r="AD11" s="56">
        <f>AC11*$D11</f>
        <v>0</v>
      </c>
      <c r="AE11" s="55"/>
      <c r="AF11" s="56">
        <f>AE11*$D11</f>
        <v>0</v>
      </c>
      <c r="AG11" s="55"/>
      <c r="AH11" s="56">
        <f>AG11*$D11</f>
        <v>0</v>
      </c>
      <c r="AI11" s="54">
        <f>AG11+AE11+AC11+AA11+Y11+W11+U11+S11+Q11+O11+M11+K11+I11+G11+E11</f>
        <v>1</v>
      </c>
    </row>
    <row r="12" spans="1:35" x14ac:dyDescent="0.2">
      <c r="A12" s="255" t="str">
        <f>'PLANILHA RESUMO'!A14:D14</f>
        <v>BLOCO A (SEDE ANTIGA)</v>
      </c>
      <c r="B12" s="255"/>
      <c r="C12" s="255"/>
      <c r="D12" s="256"/>
      <c r="E12" s="98"/>
      <c r="F12" s="99"/>
      <c r="G12" s="98"/>
      <c r="H12" s="99"/>
      <c r="I12" s="98"/>
      <c r="J12" s="99"/>
      <c r="K12" s="98"/>
      <c r="L12" s="99"/>
      <c r="M12" s="98"/>
      <c r="N12" s="99"/>
      <c r="O12" s="98"/>
      <c r="P12" s="99"/>
      <c r="Q12" s="98"/>
      <c r="R12" s="99"/>
      <c r="S12" s="98"/>
      <c r="T12" s="99"/>
      <c r="U12" s="98"/>
      <c r="V12" s="99"/>
      <c r="W12" s="98"/>
      <c r="X12" s="99"/>
      <c r="Y12" s="98"/>
      <c r="Z12" s="99"/>
      <c r="AA12" s="98"/>
      <c r="AB12" s="99"/>
      <c r="AC12" s="98"/>
      <c r="AD12" s="99"/>
      <c r="AE12" s="98"/>
      <c r="AF12" s="99"/>
      <c r="AG12" s="98"/>
      <c r="AH12" s="99"/>
      <c r="AI12" s="54"/>
    </row>
    <row r="13" spans="1:35" x14ac:dyDescent="0.2">
      <c r="A13" s="45" t="str">
        <f>'PLANILHA RESUMO'!A15</f>
        <v>3.0</v>
      </c>
      <c r="B13" s="44" t="str">
        <f>'PLANILHA RESUMO'!B15</f>
        <v>DEMOLIÇÕES E RETIRADAS</v>
      </c>
      <c r="C13" s="52">
        <f>D13/$D$52</f>
        <v>2.1798129194046466E-2</v>
      </c>
      <c r="D13" s="53">
        <f>'PLANILHA RESUMO'!D15</f>
        <v>37289.48000000001</v>
      </c>
      <c r="E13" s="83">
        <v>0.3</v>
      </c>
      <c r="F13" s="84">
        <f t="shared" ref="F13:F37" si="0">D13*$E13</f>
        <v>11186.844000000003</v>
      </c>
      <c r="G13" s="83">
        <v>0.4</v>
      </c>
      <c r="H13" s="84">
        <f t="shared" ref="H13:H37" si="1">G13*$D13</f>
        <v>14915.792000000005</v>
      </c>
      <c r="I13" s="83">
        <v>0.3</v>
      </c>
      <c r="J13" s="84">
        <f t="shared" ref="J13:J37" si="2">I13*$D13</f>
        <v>11186.844000000003</v>
      </c>
      <c r="K13" s="55"/>
      <c r="L13" s="56">
        <f t="shared" ref="L13:L37" si="3">K13*$D13</f>
        <v>0</v>
      </c>
      <c r="M13" s="55"/>
      <c r="N13" s="56">
        <f t="shared" ref="N13:N37" si="4">M13*$D13</f>
        <v>0</v>
      </c>
      <c r="O13" s="55"/>
      <c r="P13" s="56">
        <f t="shared" ref="P13:P37" si="5">O13*$D13</f>
        <v>0</v>
      </c>
      <c r="Q13" s="55"/>
      <c r="R13" s="56">
        <f t="shared" ref="R13:R37" si="6">Q13*$D13</f>
        <v>0</v>
      </c>
      <c r="S13" s="55"/>
      <c r="T13" s="56">
        <f t="shared" ref="T13:T37" si="7">S13*$D13</f>
        <v>0</v>
      </c>
      <c r="U13" s="55"/>
      <c r="V13" s="56">
        <f t="shared" ref="V13:V37" si="8">U13*$D13</f>
        <v>0</v>
      </c>
      <c r="W13" s="55"/>
      <c r="X13" s="56">
        <f t="shared" ref="X13:X37" si="9">W13*$D13</f>
        <v>0</v>
      </c>
      <c r="Y13" s="55"/>
      <c r="Z13" s="56">
        <f t="shared" ref="Z13:Z37" si="10">Y13*$D13</f>
        <v>0</v>
      </c>
      <c r="AA13" s="55"/>
      <c r="AB13" s="56">
        <f t="shared" ref="AB13:AB37" si="11">AA13*$D13</f>
        <v>0</v>
      </c>
      <c r="AC13" s="55"/>
      <c r="AD13" s="56">
        <f t="shared" ref="AD13:AD37" si="12">AC13*$D13</f>
        <v>0</v>
      </c>
      <c r="AE13" s="55"/>
      <c r="AF13" s="56">
        <f t="shared" ref="AF13:AF37" si="13">AE13*$D13</f>
        <v>0</v>
      </c>
      <c r="AG13" s="55"/>
      <c r="AH13" s="56">
        <f t="shared" ref="AH13:AH37" si="14">AG13*$D13</f>
        <v>0</v>
      </c>
      <c r="AI13" s="54">
        <f t="shared" ref="AI13:AI37" si="15">AG13+AE13+AC13+AA13+Y13+W13+U13+S13+Q13+O13+M13+K13+I13+G13+E13</f>
        <v>1</v>
      </c>
    </row>
    <row r="14" spans="1:35" x14ac:dyDescent="0.2">
      <c r="A14" s="45" t="str">
        <f>'PLANILHA RESUMO'!A16</f>
        <v>4.0</v>
      </c>
      <c r="B14" s="44" t="str">
        <f>'PLANILHA RESUMO'!B16</f>
        <v>INFRAESTRUTURA</v>
      </c>
      <c r="C14" s="52">
        <f>D14/$D$52</f>
        <v>3.128824572073053E-2</v>
      </c>
      <c r="D14" s="53">
        <f>'PLANILHA RESUMO'!D16</f>
        <v>53523.969999999994</v>
      </c>
      <c r="E14" s="55"/>
      <c r="F14" s="56">
        <f t="shared" si="0"/>
        <v>0</v>
      </c>
      <c r="G14" s="83">
        <v>0.5</v>
      </c>
      <c r="H14" s="84">
        <f t="shared" si="1"/>
        <v>26761.984999999997</v>
      </c>
      <c r="I14" s="83">
        <v>0.5</v>
      </c>
      <c r="J14" s="84">
        <f t="shared" si="2"/>
        <v>26761.984999999997</v>
      </c>
      <c r="K14" s="55"/>
      <c r="L14" s="56">
        <f t="shared" si="3"/>
        <v>0</v>
      </c>
      <c r="M14" s="55"/>
      <c r="N14" s="56">
        <f t="shared" si="4"/>
        <v>0</v>
      </c>
      <c r="O14" s="55"/>
      <c r="P14" s="56">
        <f t="shared" si="5"/>
        <v>0</v>
      </c>
      <c r="Q14" s="55"/>
      <c r="R14" s="56">
        <f t="shared" si="6"/>
        <v>0</v>
      </c>
      <c r="S14" s="55"/>
      <c r="T14" s="56">
        <f t="shared" si="7"/>
        <v>0</v>
      </c>
      <c r="U14" s="55"/>
      <c r="V14" s="56">
        <f t="shared" si="8"/>
        <v>0</v>
      </c>
      <c r="W14" s="55"/>
      <c r="X14" s="56">
        <f t="shared" si="9"/>
        <v>0</v>
      </c>
      <c r="Y14" s="55"/>
      <c r="Z14" s="56">
        <f t="shared" si="10"/>
        <v>0</v>
      </c>
      <c r="AA14" s="55"/>
      <c r="AB14" s="56">
        <f t="shared" si="11"/>
        <v>0</v>
      </c>
      <c r="AC14" s="55"/>
      <c r="AD14" s="56">
        <f t="shared" si="12"/>
        <v>0</v>
      </c>
      <c r="AE14" s="55"/>
      <c r="AF14" s="56">
        <f t="shared" si="13"/>
        <v>0</v>
      </c>
      <c r="AG14" s="55"/>
      <c r="AH14" s="56">
        <f t="shared" si="14"/>
        <v>0</v>
      </c>
      <c r="AI14" s="54">
        <f t="shared" si="15"/>
        <v>1</v>
      </c>
    </row>
    <row r="15" spans="1:35" x14ac:dyDescent="0.2">
      <c r="A15" s="45" t="str">
        <f>'PLANILHA RESUMO'!A17</f>
        <v>5.0</v>
      </c>
      <c r="B15" s="44" t="str">
        <f>'PLANILHA RESUMO'!B17</f>
        <v>SUPRAESTRUTURA</v>
      </c>
      <c r="C15" s="52">
        <f>D15/$D$52</f>
        <v>6.1835578539798562E-2</v>
      </c>
      <c r="D15" s="53">
        <f>'PLANILHA RESUMO'!D17</f>
        <v>105780.48000000001</v>
      </c>
      <c r="E15" s="55"/>
      <c r="F15" s="56">
        <f t="shared" si="0"/>
        <v>0</v>
      </c>
      <c r="G15" s="55"/>
      <c r="H15" s="56">
        <f t="shared" si="1"/>
        <v>0</v>
      </c>
      <c r="I15" s="83">
        <v>0.3</v>
      </c>
      <c r="J15" s="84">
        <f t="shared" si="2"/>
        <v>31734.144</v>
      </c>
      <c r="K15" s="83">
        <v>0.4</v>
      </c>
      <c r="L15" s="84">
        <f t="shared" si="3"/>
        <v>42312.19200000001</v>
      </c>
      <c r="M15" s="83">
        <v>0.3</v>
      </c>
      <c r="N15" s="84">
        <f t="shared" si="4"/>
        <v>31734.144</v>
      </c>
      <c r="O15" s="55"/>
      <c r="P15" s="56">
        <f t="shared" si="5"/>
        <v>0</v>
      </c>
      <c r="Q15" s="55"/>
      <c r="R15" s="56">
        <f t="shared" si="6"/>
        <v>0</v>
      </c>
      <c r="S15" s="55"/>
      <c r="T15" s="56">
        <f t="shared" si="7"/>
        <v>0</v>
      </c>
      <c r="U15" s="55"/>
      <c r="V15" s="56">
        <f t="shared" si="8"/>
        <v>0</v>
      </c>
      <c r="W15" s="55"/>
      <c r="X15" s="56">
        <f t="shared" si="9"/>
        <v>0</v>
      </c>
      <c r="Y15" s="55"/>
      <c r="Z15" s="56">
        <f t="shared" si="10"/>
        <v>0</v>
      </c>
      <c r="AA15" s="55"/>
      <c r="AB15" s="56">
        <f t="shared" si="11"/>
        <v>0</v>
      </c>
      <c r="AC15" s="55"/>
      <c r="AD15" s="56">
        <f t="shared" si="12"/>
        <v>0</v>
      </c>
      <c r="AE15" s="55"/>
      <c r="AF15" s="56">
        <f t="shared" si="13"/>
        <v>0</v>
      </c>
      <c r="AG15" s="55"/>
      <c r="AH15" s="56">
        <f t="shared" si="14"/>
        <v>0</v>
      </c>
      <c r="AI15" s="54">
        <f t="shared" si="15"/>
        <v>1</v>
      </c>
    </row>
    <row r="16" spans="1:35" x14ac:dyDescent="0.2">
      <c r="A16" s="45" t="str">
        <f>'PLANILHA RESUMO'!A18</f>
        <v>6.0</v>
      </c>
      <c r="B16" s="44" t="str">
        <f>'PLANILHA RESUMO'!B18</f>
        <v>PAREDES E PAINÉIS</v>
      </c>
      <c r="C16" s="52">
        <f>D16/$D$52</f>
        <v>5.286198959507999E-2</v>
      </c>
      <c r="D16" s="53">
        <f>'PLANILHA RESUMO'!D18</f>
        <v>90429.599999999991</v>
      </c>
      <c r="E16" s="55"/>
      <c r="F16" s="56">
        <f t="shared" si="0"/>
        <v>0</v>
      </c>
      <c r="G16" s="55"/>
      <c r="H16" s="56">
        <f t="shared" si="1"/>
        <v>0</v>
      </c>
      <c r="I16" s="55"/>
      <c r="J16" s="56">
        <f t="shared" si="2"/>
        <v>0</v>
      </c>
      <c r="K16" s="55"/>
      <c r="L16" s="56">
        <f t="shared" si="3"/>
        <v>0</v>
      </c>
      <c r="M16" s="83">
        <v>0.5</v>
      </c>
      <c r="N16" s="84">
        <f t="shared" si="4"/>
        <v>45214.799999999996</v>
      </c>
      <c r="O16" s="83">
        <v>0.5</v>
      </c>
      <c r="P16" s="84">
        <f t="shared" si="5"/>
        <v>45214.799999999996</v>
      </c>
      <c r="Q16" s="55"/>
      <c r="R16" s="56">
        <f t="shared" si="6"/>
        <v>0</v>
      </c>
      <c r="S16" s="55"/>
      <c r="T16" s="56">
        <f t="shared" si="7"/>
        <v>0</v>
      </c>
      <c r="U16" s="55"/>
      <c r="V16" s="56">
        <f t="shared" si="8"/>
        <v>0</v>
      </c>
      <c r="W16" s="55"/>
      <c r="X16" s="56">
        <f t="shared" si="9"/>
        <v>0</v>
      </c>
      <c r="Y16" s="55"/>
      <c r="Z16" s="56">
        <f t="shared" si="10"/>
        <v>0</v>
      </c>
      <c r="AA16" s="55"/>
      <c r="AB16" s="56">
        <f t="shared" si="11"/>
        <v>0</v>
      </c>
      <c r="AC16" s="55"/>
      <c r="AD16" s="56">
        <f t="shared" si="12"/>
        <v>0</v>
      </c>
      <c r="AE16" s="55"/>
      <c r="AF16" s="56">
        <f t="shared" si="13"/>
        <v>0</v>
      </c>
      <c r="AG16" s="55"/>
      <c r="AH16" s="56">
        <f t="shared" si="14"/>
        <v>0</v>
      </c>
      <c r="AI16" s="54">
        <f t="shared" si="15"/>
        <v>1</v>
      </c>
    </row>
    <row r="17" spans="1:35" x14ac:dyDescent="0.2">
      <c r="A17" s="45" t="str">
        <f>'PLANILHA RESUMO'!A19</f>
        <v>7.0</v>
      </c>
      <c r="B17" s="44" t="str">
        <f>'PLANILHA RESUMO'!B19</f>
        <v>PISO E CONTRAPISO</v>
      </c>
      <c r="C17" s="52">
        <f>D17/$D$52</f>
        <v>2.5892575251988046E-2</v>
      </c>
      <c r="D17" s="53">
        <f>'PLANILHA RESUMO'!D19</f>
        <v>44293.739999999991</v>
      </c>
      <c r="E17" s="55"/>
      <c r="F17" s="56">
        <f t="shared" si="0"/>
        <v>0</v>
      </c>
      <c r="G17" s="55"/>
      <c r="H17" s="56">
        <f t="shared" si="1"/>
        <v>0</v>
      </c>
      <c r="I17" s="55"/>
      <c r="J17" s="56">
        <f t="shared" si="2"/>
        <v>0</v>
      </c>
      <c r="K17" s="55"/>
      <c r="L17" s="56">
        <f t="shared" si="3"/>
        <v>0</v>
      </c>
      <c r="M17" s="83">
        <v>0.3</v>
      </c>
      <c r="N17" s="84">
        <f t="shared" si="4"/>
        <v>13288.121999999998</v>
      </c>
      <c r="O17" s="83">
        <v>0.35</v>
      </c>
      <c r="P17" s="84">
        <f t="shared" si="5"/>
        <v>15502.808999999996</v>
      </c>
      <c r="Q17" s="83">
        <v>0.35</v>
      </c>
      <c r="R17" s="84">
        <f t="shared" si="6"/>
        <v>15502.808999999996</v>
      </c>
      <c r="S17" s="55"/>
      <c r="T17" s="56">
        <f t="shared" si="7"/>
        <v>0</v>
      </c>
      <c r="U17" s="55"/>
      <c r="V17" s="56">
        <f t="shared" si="8"/>
        <v>0</v>
      </c>
      <c r="W17" s="55"/>
      <c r="X17" s="56">
        <f t="shared" si="9"/>
        <v>0</v>
      </c>
      <c r="Y17" s="55"/>
      <c r="Z17" s="56">
        <f t="shared" si="10"/>
        <v>0</v>
      </c>
      <c r="AA17" s="55"/>
      <c r="AB17" s="56">
        <f t="shared" si="11"/>
        <v>0</v>
      </c>
      <c r="AC17" s="55"/>
      <c r="AD17" s="56">
        <f t="shared" si="12"/>
        <v>0</v>
      </c>
      <c r="AE17" s="55"/>
      <c r="AF17" s="56">
        <f t="shared" si="13"/>
        <v>0</v>
      </c>
      <c r="AG17" s="55"/>
      <c r="AH17" s="56">
        <f t="shared" si="14"/>
        <v>0</v>
      </c>
      <c r="AI17" s="54">
        <f t="shared" si="15"/>
        <v>1</v>
      </c>
    </row>
    <row r="18" spans="1:35" x14ac:dyDescent="0.2">
      <c r="A18" s="45" t="str">
        <f>'PLANILHA RESUMO'!A20</f>
        <v>8.0</v>
      </c>
      <c r="B18" s="44" t="str">
        <f>'PLANILHA RESUMO'!B20</f>
        <v>COBERTURA</v>
      </c>
      <c r="C18" s="52">
        <f>D18/$D$52</f>
        <v>9.6838864175716632E-2</v>
      </c>
      <c r="D18" s="53">
        <f>'PLANILHA RESUMO'!D20</f>
        <v>165659.66999999998</v>
      </c>
      <c r="E18" s="55"/>
      <c r="F18" s="56">
        <f t="shared" si="0"/>
        <v>0</v>
      </c>
      <c r="G18" s="55"/>
      <c r="H18" s="56">
        <f t="shared" si="1"/>
        <v>0</v>
      </c>
      <c r="I18" s="55"/>
      <c r="J18" s="56">
        <f t="shared" si="2"/>
        <v>0</v>
      </c>
      <c r="K18" s="55"/>
      <c r="L18" s="56">
        <f t="shared" si="3"/>
        <v>0</v>
      </c>
      <c r="M18" s="55"/>
      <c r="N18" s="56">
        <f t="shared" si="4"/>
        <v>0</v>
      </c>
      <c r="O18" s="83">
        <v>0.5</v>
      </c>
      <c r="P18" s="84">
        <f t="shared" si="5"/>
        <v>82829.834999999992</v>
      </c>
      <c r="Q18" s="83">
        <v>0.5</v>
      </c>
      <c r="R18" s="84">
        <f t="shared" si="6"/>
        <v>82829.834999999992</v>
      </c>
      <c r="S18" s="55"/>
      <c r="T18" s="56">
        <f t="shared" si="7"/>
        <v>0</v>
      </c>
      <c r="U18" s="55"/>
      <c r="V18" s="56">
        <f t="shared" si="8"/>
        <v>0</v>
      </c>
      <c r="W18" s="55"/>
      <c r="X18" s="56">
        <f t="shared" si="9"/>
        <v>0</v>
      </c>
      <c r="Y18" s="55"/>
      <c r="Z18" s="56">
        <f t="shared" si="10"/>
        <v>0</v>
      </c>
      <c r="AA18" s="55"/>
      <c r="AB18" s="56">
        <f t="shared" si="11"/>
        <v>0</v>
      </c>
      <c r="AC18" s="55"/>
      <c r="AD18" s="56">
        <f t="shared" si="12"/>
        <v>0</v>
      </c>
      <c r="AE18" s="55"/>
      <c r="AF18" s="56">
        <f t="shared" si="13"/>
        <v>0</v>
      </c>
      <c r="AG18" s="55"/>
      <c r="AH18" s="56">
        <f t="shared" si="14"/>
        <v>0</v>
      </c>
      <c r="AI18" s="54">
        <f t="shared" si="15"/>
        <v>1</v>
      </c>
    </row>
    <row r="19" spans="1:35" x14ac:dyDescent="0.2">
      <c r="A19" s="45" t="str">
        <f>'PLANILHA RESUMO'!A21</f>
        <v>9.0</v>
      </c>
      <c r="B19" s="44" t="str">
        <f>'PLANILHA RESUMO'!B21</f>
        <v>CHAPISCO E REBOCO</v>
      </c>
      <c r="C19" s="52">
        <f>D19/$D$52</f>
        <v>3.3925166347210607E-2</v>
      </c>
      <c r="D19" s="53">
        <f>'PLANILHA RESUMO'!D21</f>
        <v>58034.879999999997</v>
      </c>
      <c r="E19" s="55"/>
      <c r="F19" s="56">
        <f t="shared" si="0"/>
        <v>0</v>
      </c>
      <c r="G19" s="55"/>
      <c r="H19" s="56">
        <f t="shared" si="1"/>
        <v>0</v>
      </c>
      <c r="I19" s="55"/>
      <c r="J19" s="56">
        <f t="shared" si="2"/>
        <v>0</v>
      </c>
      <c r="K19" s="55"/>
      <c r="L19" s="56">
        <f t="shared" si="3"/>
        <v>0</v>
      </c>
      <c r="M19" s="55"/>
      <c r="N19" s="56">
        <f t="shared" si="4"/>
        <v>0</v>
      </c>
      <c r="O19" s="55"/>
      <c r="P19" s="56">
        <f t="shared" si="5"/>
        <v>0</v>
      </c>
      <c r="Q19" s="55"/>
      <c r="R19" s="56">
        <f t="shared" si="6"/>
        <v>0</v>
      </c>
      <c r="S19" s="55"/>
      <c r="T19" s="56">
        <f t="shared" si="7"/>
        <v>0</v>
      </c>
      <c r="U19" s="83">
        <v>0.25</v>
      </c>
      <c r="V19" s="84">
        <f t="shared" si="8"/>
        <v>14508.72</v>
      </c>
      <c r="W19" s="83">
        <v>0.25</v>
      </c>
      <c r="X19" s="84">
        <f t="shared" si="9"/>
        <v>14508.72</v>
      </c>
      <c r="Y19" s="83">
        <v>0.25</v>
      </c>
      <c r="Z19" s="84">
        <f t="shared" si="10"/>
        <v>14508.72</v>
      </c>
      <c r="AA19" s="83">
        <v>0.25</v>
      </c>
      <c r="AB19" s="84">
        <f t="shared" si="11"/>
        <v>14508.72</v>
      </c>
      <c r="AC19" s="55"/>
      <c r="AD19" s="56">
        <f t="shared" si="12"/>
        <v>0</v>
      </c>
      <c r="AE19" s="55"/>
      <c r="AF19" s="56">
        <f t="shared" si="13"/>
        <v>0</v>
      </c>
      <c r="AG19" s="55"/>
      <c r="AH19" s="56">
        <f t="shared" si="14"/>
        <v>0</v>
      </c>
      <c r="AI19" s="54">
        <f t="shared" si="15"/>
        <v>1</v>
      </c>
    </row>
    <row r="20" spans="1:35" ht="25.5" x14ac:dyDescent="0.2">
      <c r="A20" s="45" t="str">
        <f>'PLANILHA RESUMO'!A22</f>
        <v>10.0</v>
      </c>
      <c r="B20" s="44" t="str">
        <f>'PLANILHA RESUMO'!B22</f>
        <v>INSTALAÇÕES ELÉTRICAS E CABEAMENTO ESTRUTURADO</v>
      </c>
      <c r="C20" s="52">
        <f>D20/$D$52</f>
        <v>0.11960919530514007</v>
      </c>
      <c r="D20" s="53">
        <f>'PLANILHA RESUMO'!D22</f>
        <v>204612.2699999999</v>
      </c>
      <c r="E20" s="55"/>
      <c r="F20" s="56">
        <f t="shared" si="0"/>
        <v>0</v>
      </c>
      <c r="G20" s="55"/>
      <c r="H20" s="56">
        <f t="shared" si="1"/>
        <v>0</v>
      </c>
      <c r="I20" s="55"/>
      <c r="J20" s="56">
        <f t="shared" si="2"/>
        <v>0</v>
      </c>
      <c r="K20" s="55"/>
      <c r="L20" s="56">
        <f t="shared" si="3"/>
        <v>0</v>
      </c>
      <c r="M20" s="55"/>
      <c r="N20" s="56">
        <f t="shared" si="4"/>
        <v>0</v>
      </c>
      <c r="O20" s="55"/>
      <c r="P20" s="56">
        <f t="shared" si="5"/>
        <v>0</v>
      </c>
      <c r="Q20" s="83">
        <v>0.25</v>
      </c>
      <c r="R20" s="84">
        <f t="shared" si="6"/>
        <v>51153.067499999976</v>
      </c>
      <c r="S20" s="83">
        <v>0.25</v>
      </c>
      <c r="T20" s="84">
        <f t="shared" si="7"/>
        <v>51153.067499999976</v>
      </c>
      <c r="U20" s="83">
        <v>0.25</v>
      </c>
      <c r="V20" s="84">
        <f t="shared" si="8"/>
        <v>51153.067499999976</v>
      </c>
      <c r="W20" s="83">
        <v>0.25</v>
      </c>
      <c r="X20" s="84">
        <f t="shared" si="9"/>
        <v>51153.067499999976</v>
      </c>
      <c r="Y20" s="55"/>
      <c r="Z20" s="56">
        <f t="shared" si="10"/>
        <v>0</v>
      </c>
      <c r="AA20" s="55"/>
      <c r="AB20" s="56">
        <f t="shared" si="11"/>
        <v>0</v>
      </c>
      <c r="AC20" s="55"/>
      <c r="AD20" s="56">
        <f t="shared" si="12"/>
        <v>0</v>
      </c>
      <c r="AE20" s="55"/>
      <c r="AF20" s="56">
        <f t="shared" si="13"/>
        <v>0</v>
      </c>
      <c r="AG20" s="55"/>
      <c r="AH20" s="56">
        <f t="shared" si="14"/>
        <v>0</v>
      </c>
      <c r="AI20" s="54">
        <f t="shared" si="15"/>
        <v>1</v>
      </c>
    </row>
    <row r="21" spans="1:35" x14ac:dyDescent="0.2">
      <c r="A21" s="45" t="str">
        <f>'PLANILHA RESUMO'!A23</f>
        <v>11.0</v>
      </c>
      <c r="B21" s="44" t="str">
        <f>'PLANILHA RESUMO'!B23</f>
        <v>EQUIPAMENTOS DE REDE LÓGICA</v>
      </c>
      <c r="C21" s="52">
        <f>D21/$D$52</f>
        <v>2.9281942249865217E-2</v>
      </c>
      <c r="D21" s="53">
        <f>'PLANILHA RESUMO'!D23</f>
        <v>50091.839999999997</v>
      </c>
      <c r="E21" s="55"/>
      <c r="F21" s="56">
        <f t="shared" si="0"/>
        <v>0</v>
      </c>
      <c r="G21" s="55"/>
      <c r="H21" s="56">
        <f t="shared" si="1"/>
        <v>0</v>
      </c>
      <c r="I21" s="55"/>
      <c r="J21" s="56">
        <f t="shared" si="2"/>
        <v>0</v>
      </c>
      <c r="K21" s="55"/>
      <c r="L21" s="56">
        <f t="shared" si="3"/>
        <v>0</v>
      </c>
      <c r="M21" s="55"/>
      <c r="N21" s="56">
        <f t="shared" si="4"/>
        <v>0</v>
      </c>
      <c r="O21" s="55"/>
      <c r="P21" s="56">
        <f t="shared" si="5"/>
        <v>0</v>
      </c>
      <c r="Q21" s="55"/>
      <c r="R21" s="56">
        <f t="shared" si="6"/>
        <v>0</v>
      </c>
      <c r="S21" s="83">
        <v>0.5</v>
      </c>
      <c r="T21" s="84">
        <f t="shared" si="7"/>
        <v>25045.919999999998</v>
      </c>
      <c r="U21" s="83">
        <v>0.5</v>
      </c>
      <c r="V21" s="84">
        <f t="shared" si="8"/>
        <v>25045.919999999998</v>
      </c>
      <c r="W21" s="55"/>
      <c r="X21" s="56">
        <f t="shared" si="9"/>
        <v>0</v>
      </c>
      <c r="Y21" s="55"/>
      <c r="Z21" s="56">
        <f t="shared" si="10"/>
        <v>0</v>
      </c>
      <c r="AA21" s="55"/>
      <c r="AB21" s="56">
        <f t="shared" si="11"/>
        <v>0</v>
      </c>
      <c r="AC21" s="55"/>
      <c r="AD21" s="56">
        <f t="shared" si="12"/>
        <v>0</v>
      </c>
      <c r="AE21" s="55"/>
      <c r="AF21" s="56">
        <f t="shared" si="13"/>
        <v>0</v>
      </c>
      <c r="AG21" s="55"/>
      <c r="AH21" s="56">
        <f t="shared" si="14"/>
        <v>0</v>
      </c>
      <c r="AI21" s="54">
        <f t="shared" si="15"/>
        <v>1</v>
      </c>
    </row>
    <row r="22" spans="1:35" ht="25.5" x14ac:dyDescent="0.2">
      <c r="A22" s="45" t="str">
        <f>'PLANILHA RESUMO'!A24</f>
        <v>12.0</v>
      </c>
      <c r="B22" s="44" t="str">
        <f>'PLANILHA RESUMO'!B24</f>
        <v>INFRAESTRUTURA DE SONORIZAÇÃO, CONTROLE DE ACESSO E ESCUTAS</v>
      </c>
      <c r="C22" s="52">
        <f>D22/$D$52</f>
        <v>4.3668066366916881E-3</v>
      </c>
      <c r="D22" s="53">
        <f>'PLANILHA RESUMO'!D24</f>
        <v>7470.1799999999994</v>
      </c>
      <c r="E22" s="55"/>
      <c r="F22" s="56">
        <f t="shared" si="0"/>
        <v>0</v>
      </c>
      <c r="G22" s="55"/>
      <c r="H22" s="56">
        <f t="shared" si="1"/>
        <v>0</v>
      </c>
      <c r="I22" s="55"/>
      <c r="J22" s="56">
        <f t="shared" si="2"/>
        <v>0</v>
      </c>
      <c r="K22" s="55"/>
      <c r="L22" s="56">
        <f t="shared" si="3"/>
        <v>0</v>
      </c>
      <c r="M22" s="55"/>
      <c r="N22" s="56">
        <f t="shared" si="4"/>
        <v>0</v>
      </c>
      <c r="O22" s="55"/>
      <c r="P22" s="56">
        <f t="shared" si="5"/>
        <v>0</v>
      </c>
      <c r="Q22" s="55"/>
      <c r="R22" s="56">
        <f t="shared" si="6"/>
        <v>0</v>
      </c>
      <c r="S22" s="55"/>
      <c r="T22" s="56">
        <f t="shared" si="7"/>
        <v>0</v>
      </c>
      <c r="U22" s="83">
        <v>1</v>
      </c>
      <c r="V22" s="84">
        <f t="shared" si="8"/>
        <v>7470.1799999999994</v>
      </c>
      <c r="W22" s="55"/>
      <c r="X22" s="56">
        <f t="shared" si="9"/>
        <v>0</v>
      </c>
      <c r="Y22" s="55"/>
      <c r="Z22" s="56">
        <f t="shared" si="10"/>
        <v>0</v>
      </c>
      <c r="AA22" s="55"/>
      <c r="AB22" s="56">
        <f t="shared" si="11"/>
        <v>0</v>
      </c>
      <c r="AC22" s="55"/>
      <c r="AD22" s="56">
        <f t="shared" si="12"/>
        <v>0</v>
      </c>
      <c r="AE22" s="55"/>
      <c r="AF22" s="56">
        <f t="shared" si="13"/>
        <v>0</v>
      </c>
      <c r="AG22" s="55"/>
      <c r="AH22" s="56">
        <f t="shared" si="14"/>
        <v>0</v>
      </c>
      <c r="AI22" s="54">
        <f t="shared" si="15"/>
        <v>1</v>
      </c>
    </row>
    <row r="23" spans="1:35" x14ac:dyDescent="0.2">
      <c r="A23" s="45" t="str">
        <f>'PLANILHA RESUMO'!A25</f>
        <v>13.0</v>
      </c>
      <c r="B23" s="44" t="str">
        <f>'PLANILHA RESUMO'!B25</f>
        <v>INSTALAÇÕES HIDROSSANITÁRIAS</v>
      </c>
      <c r="C23" s="52">
        <f>D23/$D$52</f>
        <v>4.5930695795406096E-2</v>
      </c>
      <c r="D23" s="53">
        <f>'PLANILHA RESUMO'!D25</f>
        <v>78572.42</v>
      </c>
      <c r="E23" s="55"/>
      <c r="F23" s="56">
        <f t="shared" si="0"/>
        <v>0</v>
      </c>
      <c r="G23" s="55"/>
      <c r="H23" s="56">
        <f t="shared" si="1"/>
        <v>0</v>
      </c>
      <c r="I23" s="55"/>
      <c r="J23" s="56">
        <f t="shared" si="2"/>
        <v>0</v>
      </c>
      <c r="K23" s="55"/>
      <c r="L23" s="56">
        <f t="shared" si="3"/>
        <v>0</v>
      </c>
      <c r="M23" s="55"/>
      <c r="N23" s="56">
        <f t="shared" si="4"/>
        <v>0</v>
      </c>
      <c r="O23" s="55"/>
      <c r="P23" s="56">
        <f t="shared" si="5"/>
        <v>0</v>
      </c>
      <c r="Q23" s="83">
        <v>0.25</v>
      </c>
      <c r="R23" s="84">
        <f t="shared" si="6"/>
        <v>19643.105</v>
      </c>
      <c r="S23" s="83">
        <v>0.25</v>
      </c>
      <c r="T23" s="84">
        <f t="shared" si="7"/>
        <v>19643.105</v>
      </c>
      <c r="U23" s="83">
        <v>0.25</v>
      </c>
      <c r="V23" s="84">
        <f t="shared" si="8"/>
        <v>19643.105</v>
      </c>
      <c r="W23" s="83">
        <v>0.25</v>
      </c>
      <c r="X23" s="84">
        <f t="shared" si="9"/>
        <v>19643.105</v>
      </c>
      <c r="Y23" s="55"/>
      <c r="Z23" s="56">
        <f t="shared" si="10"/>
        <v>0</v>
      </c>
      <c r="AA23" s="55"/>
      <c r="AB23" s="56">
        <f t="shared" si="11"/>
        <v>0</v>
      </c>
      <c r="AC23" s="55"/>
      <c r="AD23" s="56">
        <f t="shared" si="12"/>
        <v>0</v>
      </c>
      <c r="AE23" s="55"/>
      <c r="AF23" s="56">
        <f t="shared" si="13"/>
        <v>0</v>
      </c>
      <c r="AG23" s="55"/>
      <c r="AH23" s="56">
        <f t="shared" si="14"/>
        <v>0</v>
      </c>
      <c r="AI23" s="54">
        <f t="shared" si="15"/>
        <v>1</v>
      </c>
    </row>
    <row r="24" spans="1:35" ht="25.5" x14ac:dyDescent="0.2">
      <c r="A24" s="45" t="str">
        <f>'PLANILHA RESUMO'!A26</f>
        <v>14.0</v>
      </c>
      <c r="B24" s="44" t="str">
        <f>'PLANILHA RESUMO'!B26</f>
        <v>INSTALAÇÕES DE PREVENÇÃO E COMBATE À INCÊNDIO E PÂNICO</v>
      </c>
      <c r="C24" s="52">
        <f>D24/$D$52</f>
        <v>1.1399341268769708E-2</v>
      </c>
      <c r="D24" s="53">
        <f>'PLANILHA RESUMO'!D26</f>
        <v>19500.55</v>
      </c>
      <c r="E24" s="55"/>
      <c r="F24" s="56">
        <f t="shared" si="0"/>
        <v>0</v>
      </c>
      <c r="G24" s="55"/>
      <c r="H24" s="56">
        <f t="shared" si="1"/>
        <v>0</v>
      </c>
      <c r="I24" s="55"/>
      <c r="J24" s="56">
        <f t="shared" si="2"/>
        <v>0</v>
      </c>
      <c r="K24" s="55"/>
      <c r="L24" s="56">
        <f t="shared" si="3"/>
        <v>0</v>
      </c>
      <c r="M24" s="55"/>
      <c r="N24" s="56">
        <f t="shared" si="4"/>
        <v>0</v>
      </c>
      <c r="O24" s="55"/>
      <c r="P24" s="56">
        <f t="shared" si="5"/>
        <v>0</v>
      </c>
      <c r="Q24" s="55"/>
      <c r="R24" s="56">
        <f t="shared" si="6"/>
        <v>0</v>
      </c>
      <c r="S24" s="55"/>
      <c r="T24" s="56">
        <f t="shared" si="7"/>
        <v>0</v>
      </c>
      <c r="U24" s="83">
        <v>0.3</v>
      </c>
      <c r="V24" s="84">
        <f t="shared" si="8"/>
        <v>5850.165</v>
      </c>
      <c r="W24" s="55"/>
      <c r="X24" s="56">
        <f t="shared" si="9"/>
        <v>0</v>
      </c>
      <c r="Y24" s="55"/>
      <c r="Z24" s="56">
        <f t="shared" si="10"/>
        <v>0</v>
      </c>
      <c r="AA24" s="55"/>
      <c r="AB24" s="56">
        <f t="shared" si="11"/>
        <v>0</v>
      </c>
      <c r="AC24" s="83">
        <v>0.35</v>
      </c>
      <c r="AD24" s="84">
        <f t="shared" si="12"/>
        <v>6825.1924999999992</v>
      </c>
      <c r="AE24" s="83">
        <v>0.3</v>
      </c>
      <c r="AF24" s="84">
        <f t="shared" si="13"/>
        <v>5850.165</v>
      </c>
      <c r="AG24" s="83">
        <v>0.05</v>
      </c>
      <c r="AH24" s="84">
        <f t="shared" si="14"/>
        <v>975.02750000000003</v>
      </c>
      <c r="AI24" s="54">
        <f t="shared" si="15"/>
        <v>1</v>
      </c>
    </row>
    <row r="25" spans="1:35" x14ac:dyDescent="0.2">
      <c r="A25" s="45" t="str">
        <f>'PLANILHA RESUMO'!A27</f>
        <v>15.0</v>
      </c>
      <c r="B25" s="44" t="str">
        <f>'PLANILHA RESUMO'!B27</f>
        <v>DRENAGEM DE ÁGUAS PLUVIAIS</v>
      </c>
      <c r="C25" s="52">
        <f>D25/$D$52</f>
        <v>1.5294094037505385E-2</v>
      </c>
      <c r="D25" s="53">
        <f>'PLANILHA RESUMO'!D27</f>
        <v>26163.200000000001</v>
      </c>
      <c r="E25" s="55"/>
      <c r="F25" s="56">
        <f t="shared" si="0"/>
        <v>0</v>
      </c>
      <c r="G25" s="55"/>
      <c r="H25" s="56">
        <f t="shared" si="1"/>
        <v>0</v>
      </c>
      <c r="I25" s="55"/>
      <c r="J25" s="56">
        <f t="shared" si="2"/>
        <v>0</v>
      </c>
      <c r="K25" s="55"/>
      <c r="L25" s="56">
        <f t="shared" si="3"/>
        <v>0</v>
      </c>
      <c r="M25" s="55"/>
      <c r="N25" s="56">
        <f t="shared" si="4"/>
        <v>0</v>
      </c>
      <c r="O25" s="55"/>
      <c r="P25" s="56">
        <f t="shared" si="5"/>
        <v>0</v>
      </c>
      <c r="Q25" s="55"/>
      <c r="R25" s="56">
        <f t="shared" si="6"/>
        <v>0</v>
      </c>
      <c r="S25" s="83">
        <v>0.35</v>
      </c>
      <c r="T25" s="84">
        <f t="shared" si="7"/>
        <v>9157.119999999999</v>
      </c>
      <c r="U25" s="83">
        <v>0.5</v>
      </c>
      <c r="V25" s="84">
        <f t="shared" si="8"/>
        <v>13081.6</v>
      </c>
      <c r="W25" s="83">
        <v>0.15</v>
      </c>
      <c r="X25" s="84">
        <f t="shared" si="9"/>
        <v>3924.48</v>
      </c>
      <c r="Y25" s="55"/>
      <c r="Z25" s="56">
        <f t="shared" si="10"/>
        <v>0</v>
      </c>
      <c r="AA25" s="55"/>
      <c r="AB25" s="56">
        <f t="shared" si="11"/>
        <v>0</v>
      </c>
      <c r="AC25" s="55"/>
      <c r="AD25" s="56">
        <f t="shared" si="12"/>
        <v>0</v>
      </c>
      <c r="AE25" s="55"/>
      <c r="AF25" s="56">
        <f t="shared" si="13"/>
        <v>0</v>
      </c>
      <c r="AG25" s="55"/>
      <c r="AH25" s="56">
        <f t="shared" si="14"/>
        <v>0</v>
      </c>
      <c r="AI25" s="54">
        <f t="shared" si="15"/>
        <v>1</v>
      </c>
    </row>
    <row r="26" spans="1:35" x14ac:dyDescent="0.2">
      <c r="A26" s="45" t="str">
        <f>'PLANILHA RESUMO'!A28</f>
        <v>16.0</v>
      </c>
      <c r="B26" s="44" t="str">
        <f>'PLANILHA RESUMO'!B28</f>
        <v>DRENAGEM DE AR-CONDICIONADO</v>
      </c>
      <c r="C26" s="52">
        <f>D26/$D$52</f>
        <v>1.8505519414135281E-3</v>
      </c>
      <c r="D26" s="53">
        <f>'PLANILHA RESUMO'!D28</f>
        <v>3165.6899999999996</v>
      </c>
      <c r="E26" s="55"/>
      <c r="F26" s="56">
        <f t="shared" si="0"/>
        <v>0</v>
      </c>
      <c r="G26" s="55"/>
      <c r="H26" s="56">
        <f t="shared" si="1"/>
        <v>0</v>
      </c>
      <c r="I26" s="55"/>
      <c r="J26" s="56">
        <f t="shared" si="2"/>
        <v>0</v>
      </c>
      <c r="K26" s="55"/>
      <c r="L26" s="56">
        <f t="shared" si="3"/>
        <v>0</v>
      </c>
      <c r="M26" s="55"/>
      <c r="N26" s="56">
        <f t="shared" si="4"/>
        <v>0</v>
      </c>
      <c r="O26" s="55"/>
      <c r="P26" s="56">
        <f t="shared" si="5"/>
        <v>0</v>
      </c>
      <c r="Q26" s="55"/>
      <c r="R26" s="56">
        <f t="shared" si="6"/>
        <v>0</v>
      </c>
      <c r="S26" s="55"/>
      <c r="T26" s="56">
        <f t="shared" si="7"/>
        <v>0</v>
      </c>
      <c r="U26" s="83">
        <v>1</v>
      </c>
      <c r="V26" s="84">
        <f t="shared" si="8"/>
        <v>3165.6899999999996</v>
      </c>
      <c r="W26" s="55"/>
      <c r="X26" s="56">
        <f t="shared" si="9"/>
        <v>0</v>
      </c>
      <c r="Y26" s="55"/>
      <c r="Z26" s="56">
        <f t="shared" si="10"/>
        <v>0</v>
      </c>
      <c r="AA26" s="55"/>
      <c r="AB26" s="56">
        <f t="shared" si="11"/>
        <v>0</v>
      </c>
      <c r="AC26" s="55"/>
      <c r="AD26" s="56">
        <f t="shared" si="12"/>
        <v>0</v>
      </c>
      <c r="AE26" s="55"/>
      <c r="AF26" s="56">
        <f t="shared" si="13"/>
        <v>0</v>
      </c>
      <c r="AG26" s="55"/>
      <c r="AH26" s="56">
        <f t="shared" si="14"/>
        <v>0</v>
      </c>
      <c r="AI26" s="54">
        <f t="shared" si="15"/>
        <v>1</v>
      </c>
    </row>
    <row r="27" spans="1:35" x14ac:dyDescent="0.2">
      <c r="A27" s="45" t="str">
        <f>'PLANILHA RESUMO'!A29</f>
        <v>17.0</v>
      </c>
      <c r="B27" s="44" t="str">
        <f>'PLANILHA RESUMO'!B29</f>
        <v>ESQUADRIAS</v>
      </c>
      <c r="C27" s="52">
        <f>D27/$D$52</f>
        <v>4.5430138532404032E-2</v>
      </c>
      <c r="D27" s="53">
        <f>'PLANILHA RESUMO'!D29</f>
        <v>77716.12999999999</v>
      </c>
      <c r="E27" s="55"/>
      <c r="F27" s="56">
        <f t="shared" si="0"/>
        <v>0</v>
      </c>
      <c r="G27" s="55"/>
      <c r="H27" s="56">
        <f t="shared" si="1"/>
        <v>0</v>
      </c>
      <c r="I27" s="55"/>
      <c r="J27" s="56">
        <f t="shared" si="2"/>
        <v>0</v>
      </c>
      <c r="K27" s="55"/>
      <c r="L27" s="56">
        <f t="shared" si="3"/>
        <v>0</v>
      </c>
      <c r="M27" s="55"/>
      <c r="N27" s="56">
        <f t="shared" si="4"/>
        <v>0</v>
      </c>
      <c r="O27" s="55"/>
      <c r="P27" s="56">
        <f t="shared" si="5"/>
        <v>0</v>
      </c>
      <c r="Q27" s="55"/>
      <c r="R27" s="56">
        <f t="shared" si="6"/>
        <v>0</v>
      </c>
      <c r="S27" s="55"/>
      <c r="T27" s="56">
        <f t="shared" si="7"/>
        <v>0</v>
      </c>
      <c r="U27" s="83">
        <v>0.3</v>
      </c>
      <c r="V27" s="84">
        <f t="shared" si="8"/>
        <v>23314.838999999996</v>
      </c>
      <c r="W27" s="83">
        <v>0.35</v>
      </c>
      <c r="X27" s="83">
        <f t="shared" si="9"/>
        <v>27200.645499999995</v>
      </c>
      <c r="Y27" s="84">
        <v>0.35</v>
      </c>
      <c r="Z27" s="83">
        <f t="shared" si="10"/>
        <v>27200.645499999995</v>
      </c>
      <c r="AA27" s="55"/>
      <c r="AB27" s="56">
        <f t="shared" si="11"/>
        <v>0</v>
      </c>
      <c r="AC27" s="55"/>
      <c r="AD27" s="56">
        <f t="shared" si="12"/>
        <v>0</v>
      </c>
      <c r="AE27" s="55"/>
      <c r="AF27" s="56">
        <f t="shared" si="13"/>
        <v>0</v>
      </c>
      <c r="AG27" s="55"/>
      <c r="AH27" s="56">
        <f t="shared" si="14"/>
        <v>0</v>
      </c>
      <c r="AI27" s="54">
        <f t="shared" si="15"/>
        <v>1</v>
      </c>
    </row>
    <row r="28" spans="1:35" x14ac:dyDescent="0.2">
      <c r="A28" s="45" t="str">
        <f>'PLANILHA RESUMO'!A30</f>
        <v>18.0</v>
      </c>
      <c r="B28" s="44" t="str">
        <f>'PLANILHA RESUMO'!B30</f>
        <v>CLIMATIZAÇÃO</v>
      </c>
      <c r="C28" s="52">
        <f>D28/$D$52</f>
        <v>4.4959996192376665E-2</v>
      </c>
      <c r="D28" s="53">
        <f>'PLANILHA RESUMO'!D30</f>
        <v>76911.87</v>
      </c>
      <c r="E28" s="55"/>
      <c r="F28" s="56">
        <f t="shared" si="0"/>
        <v>0</v>
      </c>
      <c r="G28" s="55"/>
      <c r="H28" s="56">
        <f t="shared" si="1"/>
        <v>0</v>
      </c>
      <c r="I28" s="55"/>
      <c r="J28" s="56">
        <f t="shared" si="2"/>
        <v>0</v>
      </c>
      <c r="K28" s="55"/>
      <c r="L28" s="56">
        <f t="shared" si="3"/>
        <v>0</v>
      </c>
      <c r="M28" s="55"/>
      <c r="N28" s="56">
        <f t="shared" si="4"/>
        <v>0</v>
      </c>
      <c r="O28" s="55"/>
      <c r="P28" s="56">
        <f t="shared" si="5"/>
        <v>0</v>
      </c>
      <c r="Q28" s="55"/>
      <c r="R28" s="56">
        <f t="shared" si="6"/>
        <v>0</v>
      </c>
      <c r="S28" s="83">
        <v>0.25</v>
      </c>
      <c r="T28" s="84">
        <f t="shared" si="7"/>
        <v>19227.967499999999</v>
      </c>
      <c r="U28" s="83">
        <v>0.25</v>
      </c>
      <c r="V28" s="84">
        <f t="shared" si="8"/>
        <v>19227.967499999999</v>
      </c>
      <c r="W28" s="83">
        <v>0.25</v>
      </c>
      <c r="X28" s="84">
        <f t="shared" si="9"/>
        <v>19227.967499999999</v>
      </c>
      <c r="Y28" s="55"/>
      <c r="Z28" s="56">
        <f t="shared" si="10"/>
        <v>0</v>
      </c>
      <c r="AA28" s="55"/>
      <c r="AB28" s="56">
        <f t="shared" si="11"/>
        <v>0</v>
      </c>
      <c r="AC28" s="55"/>
      <c r="AD28" s="56">
        <f t="shared" si="12"/>
        <v>0</v>
      </c>
      <c r="AE28" s="83">
        <v>0.25</v>
      </c>
      <c r="AF28" s="84">
        <f t="shared" si="13"/>
        <v>19227.967499999999</v>
      </c>
      <c r="AG28" s="55"/>
      <c r="AH28" s="56">
        <f t="shared" si="14"/>
        <v>0</v>
      </c>
      <c r="AI28" s="54">
        <f t="shared" si="15"/>
        <v>1</v>
      </c>
    </row>
    <row r="29" spans="1:35" x14ac:dyDescent="0.2">
      <c r="A29" s="45" t="str">
        <f>'PLANILHA RESUMO'!A31</f>
        <v>19.0</v>
      </c>
      <c r="B29" s="44" t="str">
        <f>'PLANILHA RESUMO'!B31</f>
        <v>REVESTIMENTO EM PAREDE</v>
      </c>
      <c r="C29" s="52">
        <f>D29/$D$52</f>
        <v>9.4370380141701043E-3</v>
      </c>
      <c r="D29" s="53">
        <f>'PLANILHA RESUMO'!D31</f>
        <v>16143.689999999999</v>
      </c>
      <c r="E29" s="55"/>
      <c r="F29" s="56">
        <f t="shared" si="0"/>
        <v>0</v>
      </c>
      <c r="G29" s="55"/>
      <c r="H29" s="56">
        <f t="shared" si="1"/>
        <v>0</v>
      </c>
      <c r="I29" s="55"/>
      <c r="J29" s="56">
        <f t="shared" si="2"/>
        <v>0</v>
      </c>
      <c r="K29" s="55"/>
      <c r="L29" s="56">
        <f t="shared" si="3"/>
        <v>0</v>
      </c>
      <c r="M29" s="55"/>
      <c r="N29" s="56">
        <f t="shared" si="4"/>
        <v>0</v>
      </c>
      <c r="O29" s="55"/>
      <c r="P29" s="56">
        <f t="shared" si="5"/>
        <v>0</v>
      </c>
      <c r="Q29" s="55"/>
      <c r="R29" s="56">
        <f t="shared" si="6"/>
        <v>0</v>
      </c>
      <c r="S29" s="55"/>
      <c r="T29" s="56">
        <f t="shared" si="7"/>
        <v>0</v>
      </c>
      <c r="U29" s="55"/>
      <c r="V29" s="56">
        <f t="shared" si="8"/>
        <v>0</v>
      </c>
      <c r="W29" s="55"/>
      <c r="X29" s="56">
        <f t="shared" si="9"/>
        <v>0</v>
      </c>
      <c r="Y29" s="83">
        <v>0.25</v>
      </c>
      <c r="Z29" s="84">
        <f t="shared" si="10"/>
        <v>4035.9224999999997</v>
      </c>
      <c r="AA29" s="83">
        <v>0.25</v>
      </c>
      <c r="AB29" s="84">
        <f t="shared" si="11"/>
        <v>4035.9224999999997</v>
      </c>
      <c r="AC29" s="83">
        <v>0.25</v>
      </c>
      <c r="AD29" s="84">
        <f t="shared" si="12"/>
        <v>4035.9224999999997</v>
      </c>
      <c r="AE29" s="83">
        <v>0.25</v>
      </c>
      <c r="AF29" s="84">
        <f t="shared" si="13"/>
        <v>4035.9224999999997</v>
      </c>
      <c r="AG29" s="55"/>
      <c r="AH29" s="56">
        <f t="shared" si="14"/>
        <v>0</v>
      </c>
      <c r="AI29" s="54">
        <f t="shared" si="15"/>
        <v>1</v>
      </c>
    </row>
    <row r="30" spans="1:35" x14ac:dyDescent="0.2">
      <c r="A30" s="45" t="str">
        <f>'PLANILHA RESUMO'!A32</f>
        <v>20.0</v>
      </c>
      <c r="B30" s="44" t="str">
        <f>'PLANILHA RESUMO'!B32</f>
        <v>REVESTIMENTO EM PISO</v>
      </c>
      <c r="C30" s="52">
        <f>D30/$D$52</f>
        <v>2.9452302061560666E-2</v>
      </c>
      <c r="D30" s="53">
        <f>'PLANILHA RESUMO'!D32</f>
        <v>50383.270000000004</v>
      </c>
      <c r="E30" s="55"/>
      <c r="F30" s="56">
        <f t="shared" si="0"/>
        <v>0</v>
      </c>
      <c r="G30" s="55"/>
      <c r="H30" s="56">
        <f t="shared" si="1"/>
        <v>0</v>
      </c>
      <c r="I30" s="55"/>
      <c r="J30" s="56">
        <f t="shared" si="2"/>
        <v>0</v>
      </c>
      <c r="K30" s="55"/>
      <c r="L30" s="56">
        <f t="shared" si="3"/>
        <v>0</v>
      </c>
      <c r="M30" s="55"/>
      <c r="N30" s="56">
        <f t="shared" si="4"/>
        <v>0</v>
      </c>
      <c r="O30" s="55"/>
      <c r="P30" s="56">
        <f t="shared" si="5"/>
        <v>0</v>
      </c>
      <c r="Q30" s="55"/>
      <c r="R30" s="56">
        <f t="shared" si="6"/>
        <v>0</v>
      </c>
      <c r="S30" s="55"/>
      <c r="T30" s="56">
        <f t="shared" si="7"/>
        <v>0</v>
      </c>
      <c r="U30" s="55"/>
      <c r="V30" s="56">
        <f t="shared" si="8"/>
        <v>0</v>
      </c>
      <c r="W30" s="55"/>
      <c r="X30" s="56">
        <f t="shared" si="9"/>
        <v>0</v>
      </c>
      <c r="Y30" s="83">
        <v>0.25</v>
      </c>
      <c r="Z30" s="84">
        <f t="shared" si="10"/>
        <v>12595.817500000001</v>
      </c>
      <c r="AA30" s="83">
        <v>0.25</v>
      </c>
      <c r="AB30" s="84">
        <f t="shared" si="11"/>
        <v>12595.817500000001</v>
      </c>
      <c r="AC30" s="83">
        <v>0.25</v>
      </c>
      <c r="AD30" s="84">
        <f t="shared" si="12"/>
        <v>12595.817500000001</v>
      </c>
      <c r="AE30" s="83">
        <v>0.25</v>
      </c>
      <c r="AF30" s="84">
        <f t="shared" si="13"/>
        <v>12595.817500000001</v>
      </c>
      <c r="AG30" s="55"/>
      <c r="AH30" s="56">
        <f t="shared" si="14"/>
        <v>0</v>
      </c>
      <c r="AI30" s="54">
        <f t="shared" si="15"/>
        <v>1</v>
      </c>
    </row>
    <row r="31" spans="1:35" x14ac:dyDescent="0.2">
      <c r="A31" s="45" t="str">
        <f>'PLANILHA RESUMO'!A33</f>
        <v>21.0</v>
      </c>
      <c r="B31" s="44" t="str">
        <f>'PLANILHA RESUMO'!B33</f>
        <v>REVESTIMENTO EM TETO</v>
      </c>
      <c r="C31" s="52">
        <f>D31/$D$52</f>
        <v>4.6875312102968858E-2</v>
      </c>
      <c r="D31" s="53">
        <f>'PLANILHA RESUMO'!D33</f>
        <v>80188.349999999991</v>
      </c>
      <c r="E31" s="55"/>
      <c r="F31" s="56">
        <f t="shared" si="0"/>
        <v>0</v>
      </c>
      <c r="G31" s="55"/>
      <c r="H31" s="56">
        <f t="shared" si="1"/>
        <v>0</v>
      </c>
      <c r="I31" s="55"/>
      <c r="J31" s="56">
        <f t="shared" si="2"/>
        <v>0</v>
      </c>
      <c r="K31" s="55"/>
      <c r="L31" s="56">
        <f t="shared" si="3"/>
        <v>0</v>
      </c>
      <c r="M31" s="55"/>
      <c r="N31" s="56">
        <f t="shared" si="4"/>
        <v>0</v>
      </c>
      <c r="O31" s="55"/>
      <c r="P31" s="56">
        <f t="shared" si="5"/>
        <v>0</v>
      </c>
      <c r="Q31" s="55"/>
      <c r="R31" s="56">
        <f t="shared" si="6"/>
        <v>0</v>
      </c>
      <c r="S31" s="55"/>
      <c r="T31" s="56">
        <f t="shared" si="7"/>
        <v>0</v>
      </c>
      <c r="U31" s="55"/>
      <c r="V31" s="56">
        <f t="shared" si="8"/>
        <v>0</v>
      </c>
      <c r="W31" s="83">
        <v>0.25</v>
      </c>
      <c r="X31" s="84">
        <f t="shared" si="9"/>
        <v>20047.087499999998</v>
      </c>
      <c r="Y31" s="83">
        <v>0.25</v>
      </c>
      <c r="Z31" s="84">
        <f t="shared" si="10"/>
        <v>20047.087499999998</v>
      </c>
      <c r="AA31" s="83">
        <v>0.25</v>
      </c>
      <c r="AB31" s="84">
        <f t="shared" si="11"/>
        <v>20047.087499999998</v>
      </c>
      <c r="AC31" s="83">
        <v>0.25</v>
      </c>
      <c r="AD31" s="84">
        <f t="shared" si="12"/>
        <v>20047.087499999998</v>
      </c>
      <c r="AE31" s="55"/>
      <c r="AF31" s="56">
        <f t="shared" si="13"/>
        <v>0</v>
      </c>
      <c r="AG31" s="55"/>
      <c r="AH31" s="56">
        <f t="shared" si="14"/>
        <v>0</v>
      </c>
      <c r="AI31" s="54">
        <f t="shared" si="15"/>
        <v>1</v>
      </c>
    </row>
    <row r="32" spans="1:35" x14ac:dyDescent="0.2">
      <c r="A32" s="45" t="str">
        <f>'PLANILHA RESUMO'!A34</f>
        <v>22.0</v>
      </c>
      <c r="B32" s="44" t="str">
        <f>'PLANILHA RESUMO'!B34</f>
        <v>PINTURA INTERNA E EXTERNA</v>
      </c>
      <c r="C32" s="52">
        <f>D32/$D$52</f>
        <v>3.4809484763079358E-2</v>
      </c>
      <c r="D32" s="53">
        <f>'PLANILHA RESUMO'!D34</f>
        <v>59547.659999999996</v>
      </c>
      <c r="E32" s="55"/>
      <c r="F32" s="56">
        <f t="shared" si="0"/>
        <v>0</v>
      </c>
      <c r="G32" s="55"/>
      <c r="H32" s="56">
        <f t="shared" si="1"/>
        <v>0</v>
      </c>
      <c r="I32" s="55"/>
      <c r="J32" s="56">
        <f t="shared" si="2"/>
        <v>0</v>
      </c>
      <c r="K32" s="55"/>
      <c r="L32" s="56">
        <f t="shared" si="3"/>
        <v>0</v>
      </c>
      <c r="M32" s="55"/>
      <c r="N32" s="56">
        <f t="shared" si="4"/>
        <v>0</v>
      </c>
      <c r="O32" s="55"/>
      <c r="P32" s="56">
        <f t="shared" si="5"/>
        <v>0</v>
      </c>
      <c r="Q32" s="55"/>
      <c r="R32" s="56">
        <f t="shared" si="6"/>
        <v>0</v>
      </c>
      <c r="S32" s="55"/>
      <c r="T32" s="56">
        <f t="shared" si="7"/>
        <v>0</v>
      </c>
      <c r="U32" s="55"/>
      <c r="V32" s="56">
        <f t="shared" si="8"/>
        <v>0</v>
      </c>
      <c r="W32" s="55"/>
      <c r="X32" s="56">
        <f t="shared" si="9"/>
        <v>0</v>
      </c>
      <c r="Y32" s="55"/>
      <c r="Z32" s="56">
        <f t="shared" si="10"/>
        <v>0</v>
      </c>
      <c r="AA32" s="83">
        <v>0.25</v>
      </c>
      <c r="AB32" s="84">
        <f t="shared" si="11"/>
        <v>14886.914999999999</v>
      </c>
      <c r="AC32" s="83">
        <v>0.25</v>
      </c>
      <c r="AD32" s="84">
        <f t="shared" si="12"/>
        <v>14886.914999999999</v>
      </c>
      <c r="AE32" s="83">
        <v>0.25</v>
      </c>
      <c r="AF32" s="84">
        <f t="shared" si="13"/>
        <v>14886.914999999999</v>
      </c>
      <c r="AG32" s="83">
        <v>0.25</v>
      </c>
      <c r="AH32" s="84">
        <f t="shared" si="14"/>
        <v>14886.914999999999</v>
      </c>
      <c r="AI32" s="54">
        <f t="shared" si="15"/>
        <v>1</v>
      </c>
    </row>
    <row r="33" spans="1:35" x14ac:dyDescent="0.2">
      <c r="A33" s="45" t="str">
        <f>'PLANILHA RESUMO'!A35</f>
        <v>23.0</v>
      </c>
      <c r="B33" s="44" t="str">
        <f>'PLANILHA RESUMO'!B35</f>
        <v>LOUÇAS, BANCADAS E METAIS</v>
      </c>
      <c r="C33" s="52">
        <f>D33/$D$52</f>
        <v>3.953269490521865E-2</v>
      </c>
      <c r="D33" s="53">
        <f>'PLANILHA RESUMO'!D35</f>
        <v>67627.53</v>
      </c>
      <c r="E33" s="55"/>
      <c r="F33" s="56">
        <f t="shared" si="0"/>
        <v>0</v>
      </c>
      <c r="G33" s="55"/>
      <c r="H33" s="56">
        <f t="shared" si="1"/>
        <v>0</v>
      </c>
      <c r="I33" s="55"/>
      <c r="J33" s="56">
        <f t="shared" si="2"/>
        <v>0</v>
      </c>
      <c r="K33" s="55"/>
      <c r="L33" s="56">
        <f t="shared" si="3"/>
        <v>0</v>
      </c>
      <c r="M33" s="55"/>
      <c r="N33" s="56">
        <f t="shared" si="4"/>
        <v>0</v>
      </c>
      <c r="O33" s="55"/>
      <c r="P33" s="56">
        <f t="shared" si="5"/>
        <v>0</v>
      </c>
      <c r="Q33" s="55"/>
      <c r="R33" s="56">
        <f t="shared" si="6"/>
        <v>0</v>
      </c>
      <c r="S33" s="55"/>
      <c r="T33" s="56">
        <f t="shared" si="7"/>
        <v>0</v>
      </c>
      <c r="U33" s="55"/>
      <c r="V33" s="56">
        <f t="shared" si="8"/>
        <v>0</v>
      </c>
      <c r="W33" s="55"/>
      <c r="X33" s="56">
        <f t="shared" si="9"/>
        <v>0</v>
      </c>
      <c r="Y33" s="55"/>
      <c r="Z33" s="56">
        <f t="shared" si="10"/>
        <v>0</v>
      </c>
      <c r="AA33" s="55"/>
      <c r="AB33" s="56">
        <f t="shared" si="11"/>
        <v>0</v>
      </c>
      <c r="AC33" s="83">
        <v>0.35</v>
      </c>
      <c r="AD33" s="84">
        <f t="shared" si="12"/>
        <v>23669.635499999997</v>
      </c>
      <c r="AE33" s="83">
        <v>0.3</v>
      </c>
      <c r="AF33" s="84">
        <f t="shared" si="13"/>
        <v>20288.258999999998</v>
      </c>
      <c r="AG33" s="83">
        <v>0.35</v>
      </c>
      <c r="AH33" s="84">
        <f t="shared" si="14"/>
        <v>23669.635499999997</v>
      </c>
      <c r="AI33" s="54">
        <f t="shared" si="15"/>
        <v>0.99999999999999989</v>
      </c>
    </row>
    <row r="34" spans="1:35" x14ac:dyDescent="0.2">
      <c r="A34" s="45" t="str">
        <f>'PLANILHA RESUMO'!A36</f>
        <v>24.0</v>
      </c>
      <c r="B34" s="44" t="str">
        <f>'PLANILHA RESUMO'!B36</f>
        <v>ACESSÓRIOS</v>
      </c>
      <c r="C34" s="52">
        <f>D34/$D$52</f>
        <v>8.5963983037533765E-3</v>
      </c>
      <c r="D34" s="53">
        <f>'PLANILHA RESUMO'!D36</f>
        <v>14705.630000000001</v>
      </c>
      <c r="E34" s="55"/>
      <c r="F34" s="56">
        <f t="shared" si="0"/>
        <v>0</v>
      </c>
      <c r="G34" s="55"/>
      <c r="H34" s="56">
        <f t="shared" si="1"/>
        <v>0</v>
      </c>
      <c r="I34" s="55"/>
      <c r="J34" s="56">
        <f t="shared" si="2"/>
        <v>0</v>
      </c>
      <c r="K34" s="55"/>
      <c r="L34" s="56">
        <f t="shared" si="3"/>
        <v>0</v>
      </c>
      <c r="M34" s="55"/>
      <c r="N34" s="56">
        <f t="shared" si="4"/>
        <v>0</v>
      </c>
      <c r="O34" s="55"/>
      <c r="P34" s="56">
        <f t="shared" si="5"/>
        <v>0</v>
      </c>
      <c r="Q34" s="55"/>
      <c r="R34" s="56">
        <f t="shared" si="6"/>
        <v>0</v>
      </c>
      <c r="S34" s="55"/>
      <c r="T34" s="56">
        <f t="shared" si="7"/>
        <v>0</v>
      </c>
      <c r="U34" s="55"/>
      <c r="V34" s="56">
        <f t="shared" si="8"/>
        <v>0</v>
      </c>
      <c r="W34" s="55"/>
      <c r="X34" s="56">
        <f t="shared" si="9"/>
        <v>0</v>
      </c>
      <c r="Y34" s="55"/>
      <c r="Z34" s="56">
        <f t="shared" si="10"/>
        <v>0</v>
      </c>
      <c r="AA34" s="55"/>
      <c r="AB34" s="56">
        <f t="shared" si="11"/>
        <v>0</v>
      </c>
      <c r="AC34" s="55"/>
      <c r="AD34" s="56">
        <f t="shared" si="12"/>
        <v>0</v>
      </c>
      <c r="AE34" s="83">
        <v>0.5</v>
      </c>
      <c r="AF34" s="84">
        <f t="shared" si="13"/>
        <v>7352.8150000000005</v>
      </c>
      <c r="AG34" s="83">
        <v>0.5</v>
      </c>
      <c r="AH34" s="84">
        <f t="shared" si="14"/>
        <v>7352.8150000000005</v>
      </c>
      <c r="AI34" s="54">
        <f t="shared" si="15"/>
        <v>1</v>
      </c>
    </row>
    <row r="35" spans="1:35" x14ac:dyDescent="0.2">
      <c r="A35" s="45" t="str">
        <f>'PLANILHA RESUMO'!A37</f>
        <v>25.0</v>
      </c>
      <c r="B35" s="44" t="str">
        <f>'PLANILHA RESUMO'!B37</f>
        <v>ELEMENTOS DE FACHADA</v>
      </c>
      <c r="C35" s="52">
        <f>D35/$D$52</f>
        <v>5.0939062646680189E-3</v>
      </c>
      <c r="D35" s="53">
        <f>'PLANILHA RESUMO'!D37</f>
        <v>8714.01</v>
      </c>
      <c r="E35" s="55"/>
      <c r="F35" s="56">
        <f t="shared" si="0"/>
        <v>0</v>
      </c>
      <c r="G35" s="55"/>
      <c r="H35" s="56">
        <f t="shared" si="1"/>
        <v>0</v>
      </c>
      <c r="I35" s="55"/>
      <c r="J35" s="56">
        <f t="shared" si="2"/>
        <v>0</v>
      </c>
      <c r="K35" s="55"/>
      <c r="L35" s="56">
        <f t="shared" si="3"/>
        <v>0</v>
      </c>
      <c r="M35" s="55"/>
      <c r="N35" s="56">
        <f t="shared" si="4"/>
        <v>0</v>
      </c>
      <c r="O35" s="55"/>
      <c r="P35" s="56">
        <f t="shared" si="5"/>
        <v>0</v>
      </c>
      <c r="Q35" s="55"/>
      <c r="R35" s="56">
        <f t="shared" si="6"/>
        <v>0</v>
      </c>
      <c r="S35" s="55"/>
      <c r="T35" s="56">
        <f t="shared" si="7"/>
        <v>0</v>
      </c>
      <c r="U35" s="55"/>
      <c r="V35" s="56">
        <f t="shared" si="8"/>
        <v>0</v>
      </c>
      <c r="W35" s="55"/>
      <c r="X35" s="56">
        <f t="shared" si="9"/>
        <v>0</v>
      </c>
      <c r="Y35" s="83">
        <v>1</v>
      </c>
      <c r="Z35" s="84">
        <f t="shared" si="10"/>
        <v>8714.01</v>
      </c>
      <c r="AA35" s="55"/>
      <c r="AB35" s="56">
        <f t="shared" si="11"/>
        <v>0</v>
      </c>
      <c r="AC35" s="55"/>
      <c r="AD35" s="56">
        <f t="shared" si="12"/>
        <v>0</v>
      </c>
      <c r="AE35" s="55"/>
      <c r="AF35" s="56">
        <f t="shared" si="13"/>
        <v>0</v>
      </c>
      <c r="AG35" s="55"/>
      <c r="AH35" s="56">
        <f t="shared" si="14"/>
        <v>0</v>
      </c>
      <c r="AI35" s="54">
        <f t="shared" si="15"/>
        <v>1</v>
      </c>
    </row>
    <row r="36" spans="1:35" x14ac:dyDescent="0.2">
      <c r="A36" s="45" t="str">
        <f>'PLANILHA RESUMO'!A38</f>
        <v>26.0</v>
      </c>
      <c r="B36" s="44" t="str">
        <f>'PLANILHA RESUMO'!B38</f>
        <v>ÁREA EXTERNA E URBANIZAÇÃO</v>
      </c>
      <c r="C36" s="52">
        <f>D36/$D$52</f>
        <v>1.8953606112343795E-2</v>
      </c>
      <c r="D36" s="53">
        <f>'PLANILHA RESUMO'!D38</f>
        <v>32423.429999999997</v>
      </c>
      <c r="E36" s="55"/>
      <c r="F36" s="56">
        <f t="shared" si="0"/>
        <v>0</v>
      </c>
      <c r="G36" s="55"/>
      <c r="H36" s="56">
        <f t="shared" si="1"/>
        <v>0</v>
      </c>
      <c r="I36" s="55"/>
      <c r="J36" s="56">
        <f t="shared" si="2"/>
        <v>0</v>
      </c>
      <c r="K36" s="55"/>
      <c r="L36" s="56">
        <f t="shared" si="3"/>
        <v>0</v>
      </c>
      <c r="M36" s="55"/>
      <c r="N36" s="56">
        <f t="shared" si="4"/>
        <v>0</v>
      </c>
      <c r="O36" s="55"/>
      <c r="P36" s="56">
        <f t="shared" si="5"/>
        <v>0</v>
      </c>
      <c r="Q36" s="55"/>
      <c r="R36" s="56">
        <f t="shared" si="6"/>
        <v>0</v>
      </c>
      <c r="S36" s="55"/>
      <c r="T36" s="56">
        <f t="shared" si="7"/>
        <v>0</v>
      </c>
      <c r="U36" s="55"/>
      <c r="V36" s="56">
        <f t="shared" si="8"/>
        <v>0</v>
      </c>
      <c r="W36" s="55"/>
      <c r="X36" s="56">
        <f t="shared" si="9"/>
        <v>0</v>
      </c>
      <c r="Y36" s="55"/>
      <c r="Z36" s="56">
        <f t="shared" si="10"/>
        <v>0</v>
      </c>
      <c r="AA36" s="55"/>
      <c r="AB36" s="56">
        <f t="shared" si="11"/>
        <v>0</v>
      </c>
      <c r="AC36" s="55"/>
      <c r="AD36" s="56">
        <f t="shared" si="12"/>
        <v>0</v>
      </c>
      <c r="AE36" s="83">
        <v>0.5</v>
      </c>
      <c r="AF36" s="84">
        <f t="shared" si="13"/>
        <v>16211.714999999998</v>
      </c>
      <c r="AG36" s="83">
        <v>0.5</v>
      </c>
      <c r="AH36" s="84">
        <f t="shared" si="14"/>
        <v>16211.714999999998</v>
      </c>
      <c r="AI36" s="54">
        <f t="shared" si="15"/>
        <v>1</v>
      </c>
    </row>
    <row r="37" spans="1:35" x14ac:dyDescent="0.2">
      <c r="A37" s="45" t="str">
        <f>'PLANILHA RESUMO'!A39</f>
        <v>27.0</v>
      </c>
      <c r="B37" s="44" t="str">
        <f>'PLANILHA RESUMO'!B39</f>
        <v>SERVIÇOS COMPLEMENTARES</v>
      </c>
      <c r="C37" s="52">
        <f>D37/$D$52</f>
        <v>3.3693807165682205E-3</v>
      </c>
      <c r="D37" s="53">
        <f>'PLANILHA RESUMO'!D39</f>
        <v>5763.91</v>
      </c>
      <c r="E37" s="55"/>
      <c r="F37" s="56">
        <f t="shared" si="0"/>
        <v>0</v>
      </c>
      <c r="G37" s="55"/>
      <c r="H37" s="56">
        <f t="shared" si="1"/>
        <v>0</v>
      </c>
      <c r="I37" s="55"/>
      <c r="J37" s="56">
        <f t="shared" si="2"/>
        <v>0</v>
      </c>
      <c r="K37" s="55"/>
      <c r="L37" s="56">
        <f t="shared" si="3"/>
        <v>0</v>
      </c>
      <c r="M37" s="55"/>
      <c r="N37" s="56">
        <f t="shared" si="4"/>
        <v>0</v>
      </c>
      <c r="O37" s="55"/>
      <c r="P37" s="56">
        <f t="shared" si="5"/>
        <v>0</v>
      </c>
      <c r="Q37" s="55"/>
      <c r="R37" s="56">
        <f t="shared" si="6"/>
        <v>0</v>
      </c>
      <c r="S37" s="55"/>
      <c r="T37" s="56">
        <f t="shared" si="7"/>
        <v>0</v>
      </c>
      <c r="U37" s="55"/>
      <c r="V37" s="56">
        <f t="shared" si="8"/>
        <v>0</v>
      </c>
      <c r="W37" s="55"/>
      <c r="X37" s="56">
        <f t="shared" si="9"/>
        <v>0</v>
      </c>
      <c r="Y37" s="55"/>
      <c r="Z37" s="56">
        <f t="shared" si="10"/>
        <v>0</v>
      </c>
      <c r="AA37" s="55"/>
      <c r="AB37" s="56">
        <f t="shared" si="11"/>
        <v>0</v>
      </c>
      <c r="AC37" s="55"/>
      <c r="AD37" s="56">
        <f t="shared" si="12"/>
        <v>0</v>
      </c>
      <c r="AE37" s="55"/>
      <c r="AF37" s="56">
        <f t="shared" si="13"/>
        <v>0</v>
      </c>
      <c r="AG37" s="83">
        <v>1</v>
      </c>
      <c r="AH37" s="84">
        <f t="shared" si="14"/>
        <v>5763.91</v>
      </c>
      <c r="AI37" s="54">
        <f t="shared" si="15"/>
        <v>1</v>
      </c>
    </row>
    <row r="38" spans="1:35" x14ac:dyDescent="0.2">
      <c r="A38" s="255" t="str">
        <f>'PLANILHA RESUMO'!A40:D40</f>
        <v>BLOCO B (SEDE NOVA)</v>
      </c>
      <c r="B38" s="255"/>
      <c r="C38" s="255"/>
      <c r="D38" s="256"/>
      <c r="E38" s="98"/>
      <c r="F38" s="99"/>
      <c r="G38" s="98"/>
      <c r="H38" s="99"/>
      <c r="I38" s="98"/>
      <c r="J38" s="99"/>
      <c r="K38" s="98"/>
      <c r="L38" s="99"/>
      <c r="M38" s="98"/>
      <c r="N38" s="99"/>
      <c r="O38" s="98"/>
      <c r="P38" s="99"/>
      <c r="Q38" s="98"/>
      <c r="R38" s="99"/>
      <c r="S38" s="98"/>
      <c r="T38" s="99"/>
      <c r="U38" s="98"/>
      <c r="V38" s="99"/>
      <c r="W38" s="98"/>
      <c r="X38" s="99"/>
      <c r="Y38" s="98"/>
      <c r="Z38" s="99"/>
      <c r="AA38" s="98"/>
      <c r="AB38" s="99"/>
      <c r="AC38" s="98"/>
      <c r="AD38" s="99"/>
      <c r="AE38" s="98"/>
      <c r="AF38" s="99"/>
      <c r="AG38" s="98"/>
      <c r="AH38" s="99"/>
      <c r="AI38" s="54"/>
    </row>
    <row r="39" spans="1:35" x14ac:dyDescent="0.2">
      <c r="A39" s="45" t="str">
        <f>'PLANILHA RESUMO'!A41</f>
        <v>28.0</v>
      </c>
      <c r="B39" s="44" t="str">
        <f>'PLANILHA RESUMO'!B41</f>
        <v>DEMOLIÇÕES E RETIRADAS</v>
      </c>
      <c r="C39" s="52">
        <f>D39/$D$52</f>
        <v>7.626411870165214E-4</v>
      </c>
      <c r="D39" s="53">
        <f>'PLANILHA RESUMO'!D41</f>
        <v>1304.6300000000001</v>
      </c>
      <c r="E39" s="83">
        <v>1</v>
      </c>
      <c r="F39" s="84">
        <f t="shared" ref="F39:F51" si="16">D39*$E39</f>
        <v>1304.6300000000001</v>
      </c>
      <c r="G39" s="55"/>
      <c r="H39" s="56">
        <f t="shared" ref="H39:H51" si="17">G39*$D39</f>
        <v>0</v>
      </c>
      <c r="I39" s="55"/>
      <c r="J39" s="56">
        <f t="shared" ref="J39:J51" si="18">I39*$D39</f>
        <v>0</v>
      </c>
      <c r="K39" s="55"/>
      <c r="L39" s="56">
        <f t="shared" ref="L39:L51" si="19">K39*$D39</f>
        <v>0</v>
      </c>
      <c r="M39" s="55"/>
      <c r="N39" s="56">
        <f t="shared" ref="N39:N51" si="20">M39*$D39</f>
        <v>0</v>
      </c>
      <c r="O39" s="55"/>
      <c r="P39" s="56">
        <f t="shared" ref="P39:P51" si="21">O39*$D39</f>
        <v>0</v>
      </c>
      <c r="Q39" s="55"/>
      <c r="R39" s="56">
        <f t="shared" ref="R39:R51" si="22">Q39*$D39</f>
        <v>0</v>
      </c>
      <c r="S39" s="55"/>
      <c r="T39" s="56">
        <f t="shared" ref="T39:T51" si="23">S39*$D39</f>
        <v>0</v>
      </c>
      <c r="U39" s="55"/>
      <c r="V39" s="56">
        <f t="shared" ref="V39:V51" si="24">U39*$D39</f>
        <v>0</v>
      </c>
      <c r="W39" s="55"/>
      <c r="X39" s="56">
        <f t="shared" ref="X39:X51" si="25">W39*$D39</f>
        <v>0</v>
      </c>
      <c r="Y39" s="55"/>
      <c r="Z39" s="56">
        <f t="shared" ref="Z39:Z51" si="26">Y39*$D39</f>
        <v>0</v>
      </c>
      <c r="AA39" s="55"/>
      <c r="AB39" s="56">
        <f t="shared" ref="AB39:AB51" si="27">AA39*$D39</f>
        <v>0</v>
      </c>
      <c r="AC39" s="55"/>
      <c r="AD39" s="56">
        <f t="shared" ref="AD39:AD51" si="28">AC39*$D39</f>
        <v>0</v>
      </c>
      <c r="AE39" s="55"/>
      <c r="AF39" s="56">
        <f t="shared" ref="AF39:AF51" si="29">AE39*$D39</f>
        <v>0</v>
      </c>
      <c r="AG39" s="55"/>
      <c r="AH39" s="56">
        <f t="shared" ref="AH39:AH51" si="30">AG39*$D39</f>
        <v>0</v>
      </c>
      <c r="AI39" s="54">
        <f t="shared" ref="AI39:AI51" si="31">AG39+AE39+AC39+AA39+Y39+W39+U39+S39+Q39+O39+M39+K39+I39+G39+E39</f>
        <v>1</v>
      </c>
    </row>
    <row r="40" spans="1:35" x14ac:dyDescent="0.2">
      <c r="A40" s="45" t="str">
        <f>'PLANILHA RESUMO'!A42</f>
        <v>29.0</v>
      </c>
      <c r="B40" s="44" t="str">
        <f>'PLANILHA RESUMO'!B42</f>
        <v>PAREDES E PAINEIS</v>
      </c>
      <c r="C40" s="52">
        <f t="shared" ref="C40:C51" si="32">D40/$D$52</f>
        <v>5.0172522410341326E-3</v>
      </c>
      <c r="D40" s="53">
        <f>'PLANILHA RESUMO'!D42</f>
        <v>8582.8799999999992</v>
      </c>
      <c r="E40" s="83">
        <v>1</v>
      </c>
      <c r="F40" s="84">
        <f t="shared" si="16"/>
        <v>8582.8799999999992</v>
      </c>
      <c r="G40" s="55"/>
      <c r="H40" s="56">
        <f t="shared" si="17"/>
        <v>0</v>
      </c>
      <c r="I40" s="55"/>
      <c r="J40" s="56">
        <f t="shared" si="18"/>
        <v>0</v>
      </c>
      <c r="K40" s="55"/>
      <c r="L40" s="56">
        <f t="shared" si="19"/>
        <v>0</v>
      </c>
      <c r="M40" s="55"/>
      <c r="N40" s="56">
        <f t="shared" si="20"/>
        <v>0</v>
      </c>
      <c r="O40" s="55"/>
      <c r="P40" s="56">
        <f t="shared" si="21"/>
        <v>0</v>
      </c>
      <c r="Q40" s="55"/>
      <c r="R40" s="56">
        <f t="shared" si="22"/>
        <v>0</v>
      </c>
      <c r="S40" s="55"/>
      <c r="T40" s="56">
        <f t="shared" si="23"/>
        <v>0</v>
      </c>
      <c r="U40" s="55"/>
      <c r="V40" s="56">
        <f t="shared" si="24"/>
        <v>0</v>
      </c>
      <c r="W40" s="55"/>
      <c r="X40" s="56">
        <f t="shared" si="25"/>
        <v>0</v>
      </c>
      <c r="Y40" s="55"/>
      <c r="Z40" s="56">
        <f t="shared" si="26"/>
        <v>0</v>
      </c>
      <c r="AA40" s="55"/>
      <c r="AB40" s="56">
        <f t="shared" si="27"/>
        <v>0</v>
      </c>
      <c r="AC40" s="55"/>
      <c r="AD40" s="56">
        <f t="shared" si="28"/>
        <v>0</v>
      </c>
      <c r="AE40" s="55"/>
      <c r="AF40" s="56">
        <f t="shared" si="29"/>
        <v>0</v>
      </c>
      <c r="AG40" s="55"/>
      <c r="AH40" s="56">
        <f t="shared" si="30"/>
        <v>0</v>
      </c>
      <c r="AI40" s="54">
        <f t="shared" si="31"/>
        <v>1</v>
      </c>
    </row>
    <row r="41" spans="1:35" x14ac:dyDescent="0.2">
      <c r="A41" s="45" t="str">
        <f>'PLANILHA RESUMO'!A43</f>
        <v>30.0</v>
      </c>
      <c r="B41" s="44" t="str">
        <f>'PLANILHA RESUMO'!B43</f>
        <v>PISO E CONTRAPISO</v>
      </c>
      <c r="C41" s="52">
        <f t="shared" si="32"/>
        <v>8.1100810469720251E-4</v>
      </c>
      <c r="D41" s="53">
        <f>'PLANILHA RESUMO'!D43</f>
        <v>1387.3700000000001</v>
      </c>
      <c r="E41" s="55"/>
      <c r="F41" s="56">
        <f t="shared" si="16"/>
        <v>0</v>
      </c>
      <c r="G41" s="83">
        <v>1</v>
      </c>
      <c r="H41" s="84">
        <f t="shared" si="17"/>
        <v>1387.3700000000001</v>
      </c>
      <c r="I41" s="55"/>
      <c r="J41" s="56">
        <f t="shared" si="18"/>
        <v>0</v>
      </c>
      <c r="K41" s="55"/>
      <c r="L41" s="56">
        <f t="shared" si="19"/>
        <v>0</v>
      </c>
      <c r="M41" s="55"/>
      <c r="N41" s="56">
        <f t="shared" si="20"/>
        <v>0</v>
      </c>
      <c r="O41" s="55"/>
      <c r="P41" s="56">
        <f t="shared" si="21"/>
        <v>0</v>
      </c>
      <c r="Q41" s="55"/>
      <c r="R41" s="56">
        <f t="shared" si="22"/>
        <v>0</v>
      </c>
      <c r="S41" s="55"/>
      <c r="T41" s="56">
        <f t="shared" si="23"/>
        <v>0</v>
      </c>
      <c r="U41" s="55"/>
      <c r="V41" s="56">
        <f t="shared" si="24"/>
        <v>0</v>
      </c>
      <c r="W41" s="55"/>
      <c r="X41" s="56">
        <f t="shared" si="25"/>
        <v>0</v>
      </c>
      <c r="Y41" s="55"/>
      <c r="Z41" s="56">
        <f t="shared" si="26"/>
        <v>0</v>
      </c>
      <c r="AA41" s="55"/>
      <c r="AB41" s="56">
        <f t="shared" si="27"/>
        <v>0</v>
      </c>
      <c r="AC41" s="55"/>
      <c r="AD41" s="56">
        <f t="shared" si="28"/>
        <v>0</v>
      </c>
      <c r="AE41" s="55"/>
      <c r="AF41" s="56">
        <f t="shared" si="29"/>
        <v>0</v>
      </c>
      <c r="AG41" s="55"/>
      <c r="AH41" s="56">
        <f t="shared" si="30"/>
        <v>0</v>
      </c>
      <c r="AI41" s="54">
        <f t="shared" si="31"/>
        <v>1</v>
      </c>
    </row>
    <row r="42" spans="1:35" x14ac:dyDescent="0.2">
      <c r="A42" s="45" t="str">
        <f>'PLANILHA RESUMO'!A44</f>
        <v>31.0</v>
      </c>
      <c r="B42" s="44" t="str">
        <f>'PLANILHA RESUMO'!B44</f>
        <v>ESQUADRIAS</v>
      </c>
      <c r="C42" s="52">
        <f t="shared" si="32"/>
        <v>2.8820696990900212E-3</v>
      </c>
      <c r="D42" s="53">
        <f>'PLANILHA RESUMO'!D44</f>
        <v>4930.28</v>
      </c>
      <c r="E42" s="55"/>
      <c r="F42" s="56">
        <f t="shared" si="16"/>
        <v>0</v>
      </c>
      <c r="G42" s="55"/>
      <c r="H42" s="56">
        <f t="shared" si="17"/>
        <v>0</v>
      </c>
      <c r="I42" s="83">
        <v>1</v>
      </c>
      <c r="J42" s="84">
        <f t="shared" si="18"/>
        <v>4930.28</v>
      </c>
      <c r="K42" s="55"/>
      <c r="L42" s="56">
        <f t="shared" si="19"/>
        <v>0</v>
      </c>
      <c r="M42" s="55"/>
      <c r="N42" s="56">
        <f t="shared" si="20"/>
        <v>0</v>
      </c>
      <c r="O42" s="55"/>
      <c r="P42" s="56">
        <f t="shared" si="21"/>
        <v>0</v>
      </c>
      <c r="Q42" s="55"/>
      <c r="R42" s="56">
        <f t="shared" si="22"/>
        <v>0</v>
      </c>
      <c r="S42" s="55"/>
      <c r="T42" s="56">
        <f t="shared" si="23"/>
        <v>0</v>
      </c>
      <c r="U42" s="55"/>
      <c r="V42" s="56">
        <f t="shared" si="24"/>
        <v>0</v>
      </c>
      <c r="W42" s="55"/>
      <c r="X42" s="56">
        <f t="shared" si="25"/>
        <v>0</v>
      </c>
      <c r="Y42" s="55"/>
      <c r="Z42" s="56">
        <f t="shared" si="26"/>
        <v>0</v>
      </c>
      <c r="AA42" s="55"/>
      <c r="AB42" s="56">
        <f t="shared" si="27"/>
        <v>0</v>
      </c>
      <c r="AC42" s="55"/>
      <c r="AD42" s="56">
        <f t="shared" si="28"/>
        <v>0</v>
      </c>
      <c r="AE42" s="55"/>
      <c r="AF42" s="56">
        <f t="shared" si="29"/>
        <v>0</v>
      </c>
      <c r="AG42" s="55"/>
      <c r="AH42" s="56">
        <f t="shared" si="30"/>
        <v>0</v>
      </c>
      <c r="AI42" s="54">
        <f t="shared" si="31"/>
        <v>1</v>
      </c>
    </row>
    <row r="43" spans="1:35" x14ac:dyDescent="0.2">
      <c r="A43" s="45" t="str">
        <f>'PLANILHA RESUMO'!A45</f>
        <v>32.0</v>
      </c>
      <c r="B43" s="44" t="str">
        <f>'PLANILHA RESUMO'!B45</f>
        <v>REVESTIMENTO DE PISO</v>
      </c>
      <c r="C43" s="52">
        <f t="shared" si="32"/>
        <v>1.7144417998523754E-3</v>
      </c>
      <c r="D43" s="53">
        <f>'PLANILHA RESUMO'!D45</f>
        <v>2932.85</v>
      </c>
      <c r="E43" s="55"/>
      <c r="F43" s="56">
        <f t="shared" si="16"/>
        <v>0</v>
      </c>
      <c r="G43" s="55"/>
      <c r="H43" s="56">
        <f t="shared" si="17"/>
        <v>0</v>
      </c>
      <c r="I43" s="83">
        <v>1</v>
      </c>
      <c r="J43" s="84">
        <f t="shared" si="18"/>
        <v>2932.85</v>
      </c>
      <c r="K43" s="55"/>
      <c r="L43" s="56">
        <f t="shared" si="19"/>
        <v>0</v>
      </c>
      <c r="M43" s="55"/>
      <c r="N43" s="56">
        <f t="shared" si="20"/>
        <v>0</v>
      </c>
      <c r="O43" s="55"/>
      <c r="P43" s="56">
        <f t="shared" si="21"/>
        <v>0</v>
      </c>
      <c r="Q43" s="55"/>
      <c r="R43" s="56">
        <f t="shared" si="22"/>
        <v>0</v>
      </c>
      <c r="S43" s="55"/>
      <c r="T43" s="56">
        <f t="shared" si="23"/>
        <v>0</v>
      </c>
      <c r="U43" s="55"/>
      <c r="V43" s="56">
        <f t="shared" si="24"/>
        <v>0</v>
      </c>
      <c r="W43" s="55"/>
      <c r="X43" s="56">
        <f t="shared" si="25"/>
        <v>0</v>
      </c>
      <c r="Y43" s="55"/>
      <c r="Z43" s="56">
        <f t="shared" si="26"/>
        <v>0</v>
      </c>
      <c r="AA43" s="55"/>
      <c r="AB43" s="56">
        <f t="shared" si="27"/>
        <v>0</v>
      </c>
      <c r="AC43" s="55"/>
      <c r="AD43" s="56">
        <f t="shared" si="28"/>
        <v>0</v>
      </c>
      <c r="AE43" s="55"/>
      <c r="AF43" s="56">
        <f t="shared" si="29"/>
        <v>0</v>
      </c>
      <c r="AG43" s="55"/>
      <c r="AH43" s="56">
        <f t="shared" si="30"/>
        <v>0</v>
      </c>
      <c r="AI43" s="54">
        <f t="shared" si="31"/>
        <v>1</v>
      </c>
    </row>
    <row r="44" spans="1:35" x14ac:dyDescent="0.2">
      <c r="A44" s="45" t="str">
        <f>'PLANILHA RESUMO'!A46</f>
        <v>33.0</v>
      </c>
      <c r="B44" s="44" t="str">
        <f>'PLANILHA RESUMO'!B46</f>
        <v>REVESTIMENTO DE PAREDES</v>
      </c>
      <c r="C44" s="52">
        <f t="shared" si="32"/>
        <v>2.077573649782749E-3</v>
      </c>
      <c r="D44" s="53">
        <f>'PLANILHA RESUMO'!D46</f>
        <v>3554.05</v>
      </c>
      <c r="E44" s="55"/>
      <c r="F44" s="56">
        <f t="shared" si="16"/>
        <v>0</v>
      </c>
      <c r="G44" s="55"/>
      <c r="H44" s="56">
        <f t="shared" si="17"/>
        <v>0</v>
      </c>
      <c r="I44" s="83">
        <v>1</v>
      </c>
      <c r="J44" s="84">
        <f t="shared" si="18"/>
        <v>3554.05</v>
      </c>
      <c r="K44" s="55"/>
      <c r="L44" s="56">
        <f t="shared" si="19"/>
        <v>0</v>
      </c>
      <c r="M44" s="55"/>
      <c r="N44" s="56">
        <f t="shared" si="20"/>
        <v>0</v>
      </c>
      <c r="O44" s="55"/>
      <c r="P44" s="56">
        <f t="shared" si="21"/>
        <v>0</v>
      </c>
      <c r="Q44" s="55"/>
      <c r="R44" s="56">
        <f t="shared" si="22"/>
        <v>0</v>
      </c>
      <c r="S44" s="55"/>
      <c r="T44" s="56">
        <f t="shared" si="23"/>
        <v>0</v>
      </c>
      <c r="U44" s="55"/>
      <c r="V44" s="56">
        <f t="shared" si="24"/>
        <v>0</v>
      </c>
      <c r="W44" s="55"/>
      <c r="X44" s="56">
        <f t="shared" si="25"/>
        <v>0</v>
      </c>
      <c r="Y44" s="55"/>
      <c r="Z44" s="56">
        <f t="shared" si="26"/>
        <v>0</v>
      </c>
      <c r="AA44" s="55"/>
      <c r="AB44" s="56">
        <f t="shared" si="27"/>
        <v>0</v>
      </c>
      <c r="AC44" s="55"/>
      <c r="AD44" s="56">
        <f t="shared" si="28"/>
        <v>0</v>
      </c>
      <c r="AE44" s="55"/>
      <c r="AF44" s="56">
        <f t="shared" si="29"/>
        <v>0</v>
      </c>
      <c r="AG44" s="55"/>
      <c r="AH44" s="56">
        <f t="shared" si="30"/>
        <v>0</v>
      </c>
      <c r="AI44" s="54">
        <f t="shared" si="31"/>
        <v>1</v>
      </c>
    </row>
    <row r="45" spans="1:35" x14ac:dyDescent="0.2">
      <c r="A45" s="45" t="s">
        <v>13235</v>
      </c>
      <c r="B45" s="44" t="str">
        <f>'PLANILHA RESUMO'!B47</f>
        <v>REVESTIMENTO EM TETO</v>
      </c>
      <c r="C45" s="52">
        <f t="shared" si="32"/>
        <v>1.0827958096338217E-3</v>
      </c>
      <c r="D45" s="53">
        <f>'PLANILHA RESUMO'!D47</f>
        <v>1852.3100000000002</v>
      </c>
      <c r="E45" s="55"/>
      <c r="F45" s="56">
        <f t="shared" si="16"/>
        <v>0</v>
      </c>
      <c r="G45" s="55"/>
      <c r="H45" s="56">
        <f t="shared" si="17"/>
        <v>0</v>
      </c>
      <c r="I45" s="55"/>
      <c r="J45" s="56">
        <f t="shared" si="18"/>
        <v>0</v>
      </c>
      <c r="K45" s="83">
        <v>1</v>
      </c>
      <c r="L45" s="84">
        <f t="shared" si="19"/>
        <v>1852.3100000000002</v>
      </c>
      <c r="M45" s="55"/>
      <c r="N45" s="56">
        <f t="shared" si="20"/>
        <v>0</v>
      </c>
      <c r="O45" s="55"/>
      <c r="P45" s="56">
        <f t="shared" si="21"/>
        <v>0</v>
      </c>
      <c r="Q45" s="55"/>
      <c r="R45" s="56">
        <f t="shared" si="22"/>
        <v>0</v>
      </c>
      <c r="S45" s="55"/>
      <c r="T45" s="56">
        <f t="shared" si="23"/>
        <v>0</v>
      </c>
      <c r="U45" s="55"/>
      <c r="V45" s="56">
        <f t="shared" si="24"/>
        <v>0</v>
      </c>
      <c r="W45" s="55"/>
      <c r="X45" s="56">
        <f t="shared" si="25"/>
        <v>0</v>
      </c>
      <c r="Y45" s="55"/>
      <c r="Z45" s="56">
        <f t="shared" si="26"/>
        <v>0</v>
      </c>
      <c r="AA45" s="55"/>
      <c r="AB45" s="56">
        <f t="shared" si="27"/>
        <v>0</v>
      </c>
      <c r="AC45" s="55"/>
      <c r="AD45" s="56">
        <f t="shared" si="28"/>
        <v>0</v>
      </c>
      <c r="AE45" s="55"/>
      <c r="AF45" s="56">
        <f t="shared" si="29"/>
        <v>0</v>
      </c>
      <c r="AG45" s="55"/>
      <c r="AH45" s="56">
        <f t="shared" si="30"/>
        <v>0</v>
      </c>
      <c r="AI45" s="54">
        <f t="shared" si="31"/>
        <v>1</v>
      </c>
    </row>
    <row r="46" spans="1:35" x14ac:dyDescent="0.2">
      <c r="A46" s="45" t="str">
        <f>'PLANILHA RESUMO'!A48</f>
        <v>35.0</v>
      </c>
      <c r="B46" s="44" t="str">
        <f>'PLANILHA RESUMO'!B48</f>
        <v>PINTURA INTERNA E EXTERNA</v>
      </c>
      <c r="C46" s="52">
        <f t="shared" si="32"/>
        <v>1.8936870013078651E-3</v>
      </c>
      <c r="D46" s="53">
        <f>'PLANILHA RESUMO'!D48</f>
        <v>3239.4799999999996</v>
      </c>
      <c r="E46" s="55"/>
      <c r="F46" s="56">
        <f t="shared" si="16"/>
        <v>0</v>
      </c>
      <c r="G46" s="55"/>
      <c r="H46" s="56">
        <f t="shared" si="17"/>
        <v>0</v>
      </c>
      <c r="I46" s="55"/>
      <c r="J46" s="56">
        <f t="shared" si="18"/>
        <v>0</v>
      </c>
      <c r="K46" s="83">
        <v>0.5</v>
      </c>
      <c r="L46" s="84">
        <f t="shared" si="19"/>
        <v>1619.7399999999998</v>
      </c>
      <c r="M46" s="83">
        <v>0.5</v>
      </c>
      <c r="N46" s="84">
        <f t="shared" si="20"/>
        <v>1619.7399999999998</v>
      </c>
      <c r="O46" s="55"/>
      <c r="P46" s="56">
        <f t="shared" si="21"/>
        <v>0</v>
      </c>
      <c r="Q46" s="55"/>
      <c r="R46" s="56">
        <f t="shared" si="22"/>
        <v>0</v>
      </c>
      <c r="S46" s="55"/>
      <c r="T46" s="56">
        <f t="shared" si="23"/>
        <v>0</v>
      </c>
      <c r="U46" s="55"/>
      <c r="V46" s="56">
        <f t="shared" si="24"/>
        <v>0</v>
      </c>
      <c r="W46" s="55"/>
      <c r="X46" s="56">
        <f t="shared" si="25"/>
        <v>0</v>
      </c>
      <c r="Y46" s="55"/>
      <c r="Z46" s="56">
        <f t="shared" si="26"/>
        <v>0</v>
      </c>
      <c r="AA46" s="55"/>
      <c r="AB46" s="56">
        <f t="shared" si="27"/>
        <v>0</v>
      </c>
      <c r="AC46" s="55"/>
      <c r="AD46" s="56">
        <f t="shared" si="28"/>
        <v>0</v>
      </c>
      <c r="AE46" s="55"/>
      <c r="AF46" s="56">
        <f t="shared" si="29"/>
        <v>0</v>
      </c>
      <c r="AG46" s="55"/>
      <c r="AH46" s="56">
        <f t="shared" si="30"/>
        <v>0</v>
      </c>
      <c r="AI46" s="54">
        <f t="shared" si="31"/>
        <v>1</v>
      </c>
    </row>
    <row r="47" spans="1:35" x14ac:dyDescent="0.2">
      <c r="A47" s="45" t="str">
        <f>'PLANILHA RESUMO'!A49</f>
        <v>36.0</v>
      </c>
      <c r="B47" s="44" t="str">
        <f>'PLANILHA RESUMO'!B49</f>
        <v>INSTALAÇÕES ELÉTRICAS</v>
      </c>
      <c r="C47" s="52">
        <f t="shared" si="32"/>
        <v>1.158929570314652E-3</v>
      </c>
      <c r="D47" s="53">
        <f>'PLANILHA RESUMO'!D49</f>
        <v>1982.5500000000002</v>
      </c>
      <c r="E47" s="55"/>
      <c r="F47" s="56">
        <f t="shared" si="16"/>
        <v>0</v>
      </c>
      <c r="G47" s="55"/>
      <c r="H47" s="56">
        <f t="shared" si="17"/>
        <v>0</v>
      </c>
      <c r="I47" s="55"/>
      <c r="J47" s="56">
        <f t="shared" si="18"/>
        <v>0</v>
      </c>
      <c r="K47" s="55"/>
      <c r="L47" s="56">
        <f t="shared" si="19"/>
        <v>0</v>
      </c>
      <c r="M47" s="83">
        <v>1</v>
      </c>
      <c r="N47" s="84">
        <f t="shared" si="20"/>
        <v>1982.5500000000002</v>
      </c>
      <c r="O47" s="55"/>
      <c r="P47" s="56">
        <f t="shared" si="21"/>
        <v>0</v>
      </c>
      <c r="Q47" s="55"/>
      <c r="R47" s="56">
        <f t="shared" si="22"/>
        <v>0</v>
      </c>
      <c r="S47" s="55"/>
      <c r="T47" s="56">
        <f t="shared" si="23"/>
        <v>0</v>
      </c>
      <c r="U47" s="55"/>
      <c r="V47" s="56">
        <f t="shared" si="24"/>
        <v>0</v>
      </c>
      <c r="W47" s="55"/>
      <c r="X47" s="56">
        <f t="shared" si="25"/>
        <v>0</v>
      </c>
      <c r="Y47" s="55"/>
      <c r="Z47" s="56">
        <f t="shared" si="26"/>
        <v>0</v>
      </c>
      <c r="AA47" s="55"/>
      <c r="AB47" s="56">
        <f t="shared" si="27"/>
        <v>0</v>
      </c>
      <c r="AC47" s="55"/>
      <c r="AD47" s="56">
        <f t="shared" si="28"/>
        <v>0</v>
      </c>
      <c r="AE47" s="55"/>
      <c r="AF47" s="56">
        <f t="shared" si="29"/>
        <v>0</v>
      </c>
      <c r="AG47" s="55"/>
      <c r="AH47" s="56">
        <f t="shared" si="30"/>
        <v>0</v>
      </c>
      <c r="AI47" s="54">
        <f t="shared" si="31"/>
        <v>1</v>
      </c>
    </row>
    <row r="48" spans="1:35" x14ac:dyDescent="0.2">
      <c r="A48" s="45" t="str">
        <f>'PLANILHA RESUMO'!A50</f>
        <v>37.0</v>
      </c>
      <c r="B48" s="44" t="str">
        <f>'PLANILHA RESUMO'!B50</f>
        <v>INSTALAÇÕES HIDROSSANITÁRIAS</v>
      </c>
      <c r="C48" s="52">
        <f t="shared" si="32"/>
        <v>2.6280527736734982E-3</v>
      </c>
      <c r="D48" s="53">
        <f>'PLANILHA RESUMO'!D50</f>
        <v>4495.7400000000007</v>
      </c>
      <c r="E48" s="55"/>
      <c r="F48" s="56">
        <f t="shared" si="16"/>
        <v>0</v>
      </c>
      <c r="G48" s="55"/>
      <c r="H48" s="56">
        <f t="shared" si="17"/>
        <v>0</v>
      </c>
      <c r="I48" s="55"/>
      <c r="J48" s="56">
        <f t="shared" si="18"/>
        <v>0</v>
      </c>
      <c r="K48" s="55"/>
      <c r="L48" s="56">
        <f t="shared" si="19"/>
        <v>0</v>
      </c>
      <c r="M48" s="83">
        <v>1</v>
      </c>
      <c r="N48" s="84">
        <f t="shared" si="20"/>
        <v>4495.7400000000007</v>
      </c>
      <c r="O48" s="55"/>
      <c r="P48" s="56">
        <f t="shared" si="21"/>
        <v>0</v>
      </c>
      <c r="Q48" s="55"/>
      <c r="R48" s="56">
        <f t="shared" si="22"/>
        <v>0</v>
      </c>
      <c r="S48" s="55"/>
      <c r="T48" s="56">
        <f t="shared" si="23"/>
        <v>0</v>
      </c>
      <c r="U48" s="55"/>
      <c r="V48" s="56">
        <f t="shared" si="24"/>
        <v>0</v>
      </c>
      <c r="W48" s="55"/>
      <c r="X48" s="56">
        <f t="shared" si="25"/>
        <v>0</v>
      </c>
      <c r="Y48" s="55"/>
      <c r="Z48" s="56">
        <f t="shared" si="26"/>
        <v>0</v>
      </c>
      <c r="AA48" s="55"/>
      <c r="AB48" s="56">
        <f t="shared" si="27"/>
        <v>0</v>
      </c>
      <c r="AC48" s="55"/>
      <c r="AD48" s="56">
        <f t="shared" si="28"/>
        <v>0</v>
      </c>
      <c r="AE48" s="55"/>
      <c r="AF48" s="56">
        <f t="shared" si="29"/>
        <v>0</v>
      </c>
      <c r="AG48" s="55"/>
      <c r="AH48" s="56">
        <f t="shared" si="30"/>
        <v>0</v>
      </c>
      <c r="AI48" s="54">
        <f t="shared" si="31"/>
        <v>1</v>
      </c>
    </row>
    <row r="49" spans="1:35" x14ac:dyDescent="0.2">
      <c r="A49" s="45" t="str">
        <f>'PLANILHA RESUMO'!A51</f>
        <v>38.0</v>
      </c>
      <c r="B49" s="44" t="str">
        <f>'PLANILHA RESUMO'!B51</f>
        <v>LOUÇAS, BANCADAS E METAIS</v>
      </c>
      <c r="C49" s="52">
        <f t="shared" si="32"/>
        <v>6.5116111204417465E-3</v>
      </c>
      <c r="D49" s="53">
        <f>'PLANILHA RESUMO'!D51</f>
        <v>11139.240000000002</v>
      </c>
      <c r="E49" s="55"/>
      <c r="F49" s="56">
        <f t="shared" si="16"/>
        <v>0</v>
      </c>
      <c r="G49" s="55"/>
      <c r="H49" s="56">
        <f t="shared" si="17"/>
        <v>0</v>
      </c>
      <c r="I49" s="55"/>
      <c r="J49" s="56">
        <f t="shared" si="18"/>
        <v>0</v>
      </c>
      <c r="K49" s="55"/>
      <c r="L49" s="56">
        <f t="shared" si="19"/>
        <v>0</v>
      </c>
      <c r="M49" s="55"/>
      <c r="N49" s="56">
        <f t="shared" si="20"/>
        <v>0</v>
      </c>
      <c r="O49" s="83">
        <v>1</v>
      </c>
      <c r="P49" s="84">
        <f t="shared" si="21"/>
        <v>11139.240000000002</v>
      </c>
      <c r="Q49" s="55"/>
      <c r="R49" s="56">
        <f t="shared" si="22"/>
        <v>0</v>
      </c>
      <c r="S49" s="55"/>
      <c r="T49" s="56">
        <f t="shared" si="23"/>
        <v>0</v>
      </c>
      <c r="U49" s="55"/>
      <c r="V49" s="56">
        <f t="shared" si="24"/>
        <v>0</v>
      </c>
      <c r="W49" s="55"/>
      <c r="X49" s="56">
        <f t="shared" si="25"/>
        <v>0</v>
      </c>
      <c r="Y49" s="55"/>
      <c r="Z49" s="56">
        <f t="shared" si="26"/>
        <v>0</v>
      </c>
      <c r="AA49" s="55"/>
      <c r="AB49" s="56">
        <f t="shared" si="27"/>
        <v>0</v>
      </c>
      <c r="AC49" s="55"/>
      <c r="AD49" s="56">
        <f t="shared" si="28"/>
        <v>0</v>
      </c>
      <c r="AE49" s="55"/>
      <c r="AF49" s="56">
        <f t="shared" si="29"/>
        <v>0</v>
      </c>
      <c r="AG49" s="55"/>
      <c r="AH49" s="56">
        <f t="shared" si="30"/>
        <v>0</v>
      </c>
      <c r="AI49" s="54">
        <f t="shared" si="31"/>
        <v>1</v>
      </c>
    </row>
    <row r="50" spans="1:35" x14ac:dyDescent="0.2">
      <c r="A50" s="45" t="str">
        <f>'PLANILHA RESUMO'!A52</f>
        <v>39.0</v>
      </c>
      <c r="B50" s="44" t="str">
        <f>'PLANILHA RESUMO'!B52</f>
        <v>ACESSÓRIOS</v>
      </c>
      <c r="C50" s="52">
        <f t="shared" si="32"/>
        <v>4.523534389886846E-3</v>
      </c>
      <c r="D50" s="53">
        <f>'PLANILHA RESUMO'!D52</f>
        <v>7738.2899999999991</v>
      </c>
      <c r="E50" s="55"/>
      <c r="F50" s="56">
        <f t="shared" si="16"/>
        <v>0</v>
      </c>
      <c r="G50" s="55"/>
      <c r="H50" s="56">
        <f t="shared" si="17"/>
        <v>0</v>
      </c>
      <c r="I50" s="55"/>
      <c r="J50" s="56">
        <f t="shared" si="18"/>
        <v>0</v>
      </c>
      <c r="K50" s="55"/>
      <c r="L50" s="56">
        <f t="shared" si="19"/>
        <v>0</v>
      </c>
      <c r="M50" s="55"/>
      <c r="N50" s="56">
        <f t="shared" si="20"/>
        <v>0</v>
      </c>
      <c r="O50" s="83">
        <v>1</v>
      </c>
      <c r="P50" s="84">
        <f t="shared" si="21"/>
        <v>7738.2899999999991</v>
      </c>
      <c r="Q50" s="55"/>
      <c r="R50" s="56">
        <f t="shared" si="22"/>
        <v>0</v>
      </c>
      <c r="S50" s="55"/>
      <c r="T50" s="56">
        <f t="shared" si="23"/>
        <v>0</v>
      </c>
      <c r="U50" s="55"/>
      <c r="V50" s="56">
        <f t="shared" si="24"/>
        <v>0</v>
      </c>
      <c r="W50" s="55"/>
      <c r="X50" s="56">
        <f t="shared" si="25"/>
        <v>0</v>
      </c>
      <c r="Y50" s="55"/>
      <c r="Z50" s="56">
        <f t="shared" si="26"/>
        <v>0</v>
      </c>
      <c r="AA50" s="55"/>
      <c r="AB50" s="56">
        <f t="shared" si="27"/>
        <v>0</v>
      </c>
      <c r="AC50" s="55"/>
      <c r="AD50" s="56">
        <f t="shared" si="28"/>
        <v>0</v>
      </c>
      <c r="AE50" s="55"/>
      <c r="AF50" s="56">
        <f t="shared" si="29"/>
        <v>0</v>
      </c>
      <c r="AG50" s="55"/>
      <c r="AH50" s="56">
        <f t="shared" si="30"/>
        <v>0</v>
      </c>
      <c r="AI50" s="54">
        <f t="shared" si="31"/>
        <v>1</v>
      </c>
    </row>
    <row r="51" spans="1:35" x14ac:dyDescent="0.2">
      <c r="A51" s="45" t="str">
        <f>'PLANILHA RESUMO'!A53</f>
        <v>40.0</v>
      </c>
      <c r="B51" s="44" t="str">
        <f>'PLANILHA RESUMO'!B53</f>
        <v>SERVIÇOS COMPLEMENTARES</v>
      </c>
      <c r="C51" s="52">
        <f t="shared" si="32"/>
        <v>4.7984027529836921E-4</v>
      </c>
      <c r="D51" s="53">
        <f>'PLANILHA RESUMO'!D53</f>
        <v>820.84999999999991</v>
      </c>
      <c r="E51" s="55"/>
      <c r="F51" s="56">
        <f t="shared" si="16"/>
        <v>0</v>
      </c>
      <c r="G51" s="55"/>
      <c r="H51" s="56">
        <f t="shared" si="17"/>
        <v>0</v>
      </c>
      <c r="I51" s="55"/>
      <c r="J51" s="56">
        <f t="shared" si="18"/>
        <v>0</v>
      </c>
      <c r="K51" s="55"/>
      <c r="L51" s="56">
        <f t="shared" si="19"/>
        <v>0</v>
      </c>
      <c r="M51" s="55"/>
      <c r="N51" s="56">
        <f t="shared" si="20"/>
        <v>0</v>
      </c>
      <c r="O51" s="83">
        <v>1</v>
      </c>
      <c r="P51" s="84">
        <f t="shared" si="21"/>
        <v>820.84999999999991</v>
      </c>
      <c r="Q51" s="55"/>
      <c r="R51" s="56">
        <f t="shared" si="22"/>
        <v>0</v>
      </c>
      <c r="S51" s="55"/>
      <c r="T51" s="56">
        <f t="shared" si="23"/>
        <v>0</v>
      </c>
      <c r="U51" s="55"/>
      <c r="V51" s="56">
        <f t="shared" si="24"/>
        <v>0</v>
      </c>
      <c r="W51" s="55"/>
      <c r="X51" s="56">
        <f t="shared" si="25"/>
        <v>0</v>
      </c>
      <c r="Y51" s="55"/>
      <c r="Z51" s="56">
        <f t="shared" si="26"/>
        <v>0</v>
      </c>
      <c r="AA51" s="55"/>
      <c r="AB51" s="56">
        <f t="shared" si="27"/>
        <v>0</v>
      </c>
      <c r="AC51" s="55"/>
      <c r="AD51" s="56">
        <f t="shared" si="28"/>
        <v>0</v>
      </c>
      <c r="AE51" s="55"/>
      <c r="AF51" s="56">
        <f t="shared" si="29"/>
        <v>0</v>
      </c>
      <c r="AG51" s="55"/>
      <c r="AH51" s="56">
        <f t="shared" si="30"/>
        <v>0</v>
      </c>
      <c r="AI51" s="54">
        <f t="shared" si="31"/>
        <v>1</v>
      </c>
    </row>
    <row r="52" spans="1:35" ht="13.5" thickBot="1" x14ac:dyDescent="0.25">
      <c r="A52" s="179"/>
      <c r="B52" s="178" t="s">
        <v>49</v>
      </c>
      <c r="C52" s="43">
        <f>SUM(C10:C51)</f>
        <v>0.99999999999999978</v>
      </c>
      <c r="D52" s="37">
        <f>SUM(D10:D51)</f>
        <v>1710673.4099999997</v>
      </c>
      <c r="E52" s="38">
        <f>F52/$D$52</f>
        <v>2.640731421084052E-2</v>
      </c>
      <c r="F52" s="37">
        <f>SUM(F10:F51)</f>
        <v>45174.290250000005</v>
      </c>
      <c r="G52" s="38">
        <f>H52/$D$52</f>
        <v>2.8140668445884136E-2</v>
      </c>
      <c r="H52" s="37">
        <f>SUM(H10:H51)</f>
        <v>48139.493250000007</v>
      </c>
      <c r="I52" s="38">
        <f>J52/$D$52</f>
        <v>5.334089193565008E-2</v>
      </c>
      <c r="J52" s="37">
        <f>SUM(J10:J51)</f>
        <v>91248.84550000001</v>
      </c>
      <c r="K52" s="38">
        <f>L52/$D$52</f>
        <v>3.0323413690050875E-2</v>
      </c>
      <c r="L52" s="37">
        <f>SUM(L10:L51)</f>
        <v>51873.457500000004</v>
      </c>
      <c r="M52" s="38">
        <f>N52/$D$52</f>
        <v>6.5195609868046067E-2</v>
      </c>
      <c r="N52" s="37">
        <f>SUM(N10:N51)</f>
        <v>111528.39625000001</v>
      </c>
      <c r="O52" s="38">
        <f>P52/$D$52</f>
        <v>0.10847947154331465</v>
      </c>
      <c r="P52" s="37">
        <f>SUM(P10:P51)</f>
        <v>185572.94750000001</v>
      </c>
      <c r="Q52" s="38">
        <f>R52/$D$52</f>
        <v>0.11251172089592484</v>
      </c>
      <c r="R52" s="37">
        <f>SUM(R10:R51)</f>
        <v>192470.80924999996</v>
      </c>
      <c r="S52" s="38">
        <f>T52/$D$52</f>
        <v>8.5670533395383761E-2</v>
      </c>
      <c r="T52" s="37">
        <f>SUM(T10:T51)</f>
        <v>146554.30349999998</v>
      </c>
      <c r="U52" s="38">
        <f>V52/$D$52</f>
        <v>0.11971214160626957</v>
      </c>
      <c r="V52" s="37">
        <f>SUM(V10:V51)</f>
        <v>204788.3775</v>
      </c>
      <c r="W52" s="38">
        <f>X52/$D$52</f>
        <v>0.10407141156183634</v>
      </c>
      <c r="X52" s="37">
        <f>SUM(X10:X51)</f>
        <v>178032.19649999996</v>
      </c>
      <c r="Y52" s="38">
        <f>Z52/$D$52</f>
        <v>5.8629252470814998E-2</v>
      </c>
      <c r="Z52" s="37">
        <f>SUM(Z10:Z51)</f>
        <v>100295.50324999999</v>
      </c>
      <c r="AA52" s="38">
        <f>AB52/$D$52</f>
        <v>4.3964140268012937E-2</v>
      </c>
      <c r="AB52" s="37">
        <f>SUM(AB10:AB51)</f>
        <v>75208.285749999995</v>
      </c>
      <c r="AC52" s="38">
        <f>AD52/$D$52</f>
        <v>5.3309061342106209E-2</v>
      </c>
      <c r="AD52" s="37">
        <f>SUM(AD10:AD51)</f>
        <v>91194.393749999988</v>
      </c>
      <c r="AE52" s="38">
        <f>AF52/$D$52</f>
        <v>6.5245147085088565E-2</v>
      </c>
      <c r="AF52" s="37">
        <f>SUM(AF10:AF51)</f>
        <v>111613.13824999999</v>
      </c>
      <c r="AG52" s="38">
        <f>AH52/$D$52</f>
        <v>4.499922168077658E-2</v>
      </c>
      <c r="AH52" s="37">
        <f>SUM(AH10:AH51)</f>
        <v>76978.971999999994</v>
      </c>
      <c r="AI52" s="257">
        <f>AH53/D52</f>
        <v>1.0000000000000002</v>
      </c>
    </row>
    <row r="53" spans="1:35" ht="13.5" thickBot="1" x14ac:dyDescent="0.25">
      <c r="A53" s="179"/>
      <c r="B53" s="178" t="s">
        <v>50</v>
      </c>
      <c r="C53" s="179"/>
      <c r="D53" s="37"/>
      <c r="E53" s="38">
        <f>E52</f>
        <v>2.640731421084052E-2</v>
      </c>
      <c r="F53" s="37">
        <f>F52</f>
        <v>45174.290250000005</v>
      </c>
      <c r="G53" s="38">
        <f t="shared" ref="G53:N53" si="33">E53+G52</f>
        <v>5.4547982656724656E-2</v>
      </c>
      <c r="H53" s="37">
        <f t="shared" si="33"/>
        <v>93313.78350000002</v>
      </c>
      <c r="I53" s="38">
        <f t="shared" si="33"/>
        <v>0.10788887459237473</v>
      </c>
      <c r="J53" s="37">
        <f t="shared" si="33"/>
        <v>184562.62900000002</v>
      </c>
      <c r="K53" s="38">
        <f t="shared" si="33"/>
        <v>0.1382122882824256</v>
      </c>
      <c r="L53" s="37">
        <f t="shared" si="33"/>
        <v>236436.08650000003</v>
      </c>
      <c r="M53" s="38">
        <f t="shared" si="33"/>
        <v>0.20340789815047167</v>
      </c>
      <c r="N53" s="37">
        <f t="shared" si="33"/>
        <v>347964.48275000002</v>
      </c>
      <c r="O53" s="38">
        <f t="shared" ref="O53" si="34">M53+O52</f>
        <v>0.31188736969378633</v>
      </c>
      <c r="P53" s="37">
        <f t="shared" ref="P53" si="35">N53+P52</f>
        <v>533537.43024999998</v>
      </c>
      <c r="Q53" s="38">
        <f t="shared" ref="Q53" si="36">O53+Q52</f>
        <v>0.42439909058971115</v>
      </c>
      <c r="R53" s="37">
        <f t="shared" ref="R53" si="37">P53+R52</f>
        <v>726008.23949999991</v>
      </c>
      <c r="S53" s="38">
        <f t="shared" ref="S53" si="38">Q53+S52</f>
        <v>0.51006962398509492</v>
      </c>
      <c r="T53" s="37">
        <f t="shared" ref="T53" si="39">R53+T52</f>
        <v>872562.54299999983</v>
      </c>
      <c r="U53" s="38">
        <f t="shared" ref="U53" si="40">S53+U52</f>
        <v>0.62978176559136445</v>
      </c>
      <c r="V53" s="37">
        <f t="shared" ref="V53" si="41">T53+V52</f>
        <v>1077350.9204999998</v>
      </c>
      <c r="W53" s="38">
        <f t="shared" ref="W53" si="42">U53+W52</f>
        <v>0.73385317715320075</v>
      </c>
      <c r="X53" s="37">
        <f t="shared" ref="X53" si="43">V53+X52</f>
        <v>1255383.1169999996</v>
      </c>
      <c r="Y53" s="38">
        <f t="shared" ref="Y53" si="44">W53+Y52</f>
        <v>0.79248242962401572</v>
      </c>
      <c r="Z53" s="37">
        <f t="shared" ref="Z53" si="45">X53+Z52</f>
        <v>1355678.6202499997</v>
      </c>
      <c r="AA53" s="38">
        <f t="shared" ref="AA53" si="46">Y53+AA52</f>
        <v>0.8364465698920287</v>
      </c>
      <c r="AB53" s="37">
        <f t="shared" ref="AB53" si="47">Z53+AB52</f>
        <v>1430886.9059999997</v>
      </c>
      <c r="AC53" s="38">
        <f t="shared" ref="AC53" si="48">AA53+AC52</f>
        <v>0.88975563123413492</v>
      </c>
      <c r="AD53" s="37">
        <f t="shared" ref="AD53" si="49">AB53+AD52</f>
        <v>1522081.2997499998</v>
      </c>
      <c r="AE53" s="38">
        <f t="shared" ref="AE53" si="50">AC53+AE52</f>
        <v>0.95500077831922348</v>
      </c>
      <c r="AF53" s="37">
        <f t="shared" ref="AF53" si="51">AD53+AF52</f>
        <v>1633694.4379999998</v>
      </c>
      <c r="AG53" s="38">
        <f t="shared" ref="AG53" si="52">AE53+AG52</f>
        <v>1</v>
      </c>
      <c r="AH53" s="37">
        <f t="shared" ref="AH53" si="53">AF53+AH52</f>
        <v>1710673.41</v>
      </c>
      <c r="AI53" s="258"/>
    </row>
  </sheetData>
  <mergeCells count="24">
    <mergeCell ref="A7:AI7"/>
    <mergeCell ref="E8:F8"/>
    <mergeCell ref="G8:H8"/>
    <mergeCell ref="I8:J8"/>
    <mergeCell ref="K8:L8"/>
    <mergeCell ref="M8:N8"/>
    <mergeCell ref="AG8:AH8"/>
    <mergeCell ref="AA8:AB8"/>
    <mergeCell ref="AC8:AD8"/>
    <mergeCell ref="AE8:AF8"/>
    <mergeCell ref="A38:D38"/>
    <mergeCell ref="A12:D12"/>
    <mergeCell ref="AI52:AI53"/>
    <mergeCell ref="D8:D9"/>
    <mergeCell ref="C8:C9"/>
    <mergeCell ref="A8:A9"/>
    <mergeCell ref="B8:B9"/>
    <mergeCell ref="AI8:AI9"/>
    <mergeCell ref="O8:P8"/>
    <mergeCell ref="Q8:R8"/>
    <mergeCell ref="S8:T8"/>
    <mergeCell ref="U8:V8"/>
    <mergeCell ref="W8:X8"/>
    <mergeCell ref="Y8:Z8"/>
  </mergeCells>
  <pageMargins left="0.511811024" right="0.511811024" top="0.82663690476190477" bottom="0.78740157499999996" header="0.31496062000000002" footer="0.31496062000000002"/>
  <pageSetup paperSize="9" scale="55" orientation="landscape" r:id="rId1"/>
  <headerFooter>
    <oddHeader>&amp;L&amp;G&amp;R&amp;"-,Negrito"&amp;K01+034DEPARTAMENTO DE ENGENHARIA - DENGE&amp;"-,Regular"
(65) 3613-1609 | engenharia@mpmt.mp.br
&amp;"-,Negrito"GERENCIA DE LICITAÇÕES&amp;"-,Regular"
(65) 3613-1635 | licitacoes@mpmt.mp.br</oddHeader>
    <oddFooter>&amp;L&amp;"-,Negrito"&amp;10&amp;K01+043MINISTÉRIO PÚBLICO DO ESTADO DE MATO GROSSO&amp;"-,Regular"
PROCURADORIA GERAL DE JUSTIÇA, RUA 04, S/N,
CENTRO POLÍTICO ADMINISTRATIVO - CUIABÁ-MT&amp;C&amp;10&amp;K01+040&amp;P / &amp;N&amp;R&amp;"-,Negrito"&amp;10&amp;K01+042&amp;A</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272"/>
  <sheetViews>
    <sheetView showGridLines="0" view="pageLayout" zoomScaleNormal="100" workbookViewId="0">
      <selection activeCell="B7" sqref="B7:G7"/>
    </sheetView>
  </sheetViews>
  <sheetFormatPr defaultRowHeight="12.75" x14ac:dyDescent="0.25"/>
  <cols>
    <col min="1" max="1" width="14.7109375" style="8" customWidth="1"/>
    <col min="2" max="2" width="11.42578125" style="8" customWidth="1"/>
    <col min="3" max="3" width="9.140625" style="8" customWidth="1"/>
    <col min="4" max="4" width="36.42578125" style="2" customWidth="1"/>
    <col min="5" max="5" width="7.140625" style="8" customWidth="1"/>
    <col min="6" max="6" width="11.42578125" style="33" customWidth="1"/>
    <col min="7" max="7" width="12.7109375" style="33" customWidth="1"/>
    <col min="8" max="8" width="14.7109375" style="33" customWidth="1"/>
    <col min="9" max="16384" width="9.140625" style="8"/>
  </cols>
  <sheetData>
    <row r="1" spans="1:8" x14ac:dyDescent="0.25">
      <c r="A1" s="14" t="s">
        <v>24</v>
      </c>
      <c r="B1" s="247" t="str">
        <f>CAPA!B10</f>
        <v>AMPLIAÇÃO E REFORMA DA SEDE DAS PROMOTORIAS DE JUSTIÇA DE CÁCERES-MT</v>
      </c>
      <c r="C1" s="247"/>
      <c r="D1" s="247"/>
      <c r="E1" s="247"/>
      <c r="F1" s="31"/>
      <c r="G1" s="17" t="s">
        <v>22</v>
      </c>
      <c r="H1" s="116" t="str">
        <f>CAPA!H20</f>
        <v>Junho/2020</v>
      </c>
    </row>
    <row r="2" spans="1:8" x14ac:dyDescent="0.25">
      <c r="A2" s="7" t="s">
        <v>25</v>
      </c>
      <c r="B2" s="6" t="str">
        <f>CAPA!B11</f>
        <v>Sede das Promotorias</v>
      </c>
      <c r="G2" s="11" t="s">
        <v>58</v>
      </c>
      <c r="H2" s="6" t="str">
        <f>CAPA!H22</f>
        <v>DESONERADO</v>
      </c>
    </row>
    <row r="3" spans="1:8" x14ac:dyDescent="0.25">
      <c r="A3" s="7" t="s">
        <v>26</v>
      </c>
      <c r="B3" s="6" t="str">
        <f>CAPA!B12</f>
        <v>Cáceres - MT</v>
      </c>
      <c r="G3" s="11" t="s">
        <v>715</v>
      </c>
      <c r="H3" s="117">
        <f>'ENCARGOS SOCIAIS'!C38</f>
        <v>0.86389999999999989</v>
      </c>
    </row>
    <row r="4" spans="1:8" x14ac:dyDescent="0.25">
      <c r="A4" s="7" t="s">
        <v>27</v>
      </c>
      <c r="B4" s="6" t="str">
        <f>CAPA!B13</f>
        <v>Rua dos Scaff, 28 - Bairro Cavalhada</v>
      </c>
      <c r="G4" s="11" t="s">
        <v>716</v>
      </c>
      <c r="H4" s="117">
        <f>'ENCARGOS SOCIAIS'!D38</f>
        <v>0.49819999999999998</v>
      </c>
    </row>
    <row r="5" spans="1:8" x14ac:dyDescent="0.25">
      <c r="G5" s="11" t="s">
        <v>717</v>
      </c>
      <c r="H5" s="6" t="s">
        <v>718</v>
      </c>
    </row>
    <row r="6" spans="1:8" ht="13.5" thickBot="1" x14ac:dyDescent="0.3">
      <c r="A6" s="26"/>
      <c r="B6" s="26"/>
      <c r="C6" s="26"/>
      <c r="D6" s="62"/>
      <c r="E6" s="26"/>
      <c r="F6" s="118"/>
      <c r="G6" s="118"/>
      <c r="H6" s="118"/>
    </row>
    <row r="7" spans="1:8" ht="25.5" x14ac:dyDescent="0.25">
      <c r="A7" s="120" t="s">
        <v>90</v>
      </c>
      <c r="B7" s="286" t="s">
        <v>91</v>
      </c>
      <c r="C7" s="287"/>
      <c r="D7" s="287"/>
      <c r="E7" s="287"/>
      <c r="F7" s="287"/>
      <c r="G7" s="288"/>
      <c r="H7" s="121" t="s">
        <v>4</v>
      </c>
    </row>
    <row r="8" spans="1:8" ht="13.5" thickBot="1" x14ac:dyDescent="0.3">
      <c r="A8" s="113" t="s">
        <v>11881</v>
      </c>
      <c r="B8" s="289" t="s">
        <v>11882</v>
      </c>
      <c r="C8" s="290"/>
      <c r="D8" s="290"/>
      <c r="E8" s="290"/>
      <c r="F8" s="290"/>
      <c r="G8" s="291"/>
      <c r="H8" s="114" t="s">
        <v>13</v>
      </c>
    </row>
    <row r="9" spans="1:8" x14ac:dyDescent="0.25">
      <c r="A9" s="273" t="s">
        <v>13834</v>
      </c>
      <c r="B9" s="275" t="s">
        <v>92</v>
      </c>
      <c r="C9" s="276"/>
      <c r="D9" s="185" t="s">
        <v>11884</v>
      </c>
      <c r="E9" s="239" t="s">
        <v>93</v>
      </c>
      <c r="F9" s="186">
        <v>0</v>
      </c>
      <c r="G9" s="277" t="s">
        <v>94</v>
      </c>
      <c r="H9" s="278"/>
    </row>
    <row r="10" spans="1:8" x14ac:dyDescent="0.25">
      <c r="A10" s="274"/>
      <c r="B10" s="281" t="s">
        <v>95</v>
      </c>
      <c r="C10" s="282"/>
      <c r="D10" s="187">
        <v>44013</v>
      </c>
      <c r="E10" s="240" t="s">
        <v>96</v>
      </c>
      <c r="F10" s="187">
        <v>44013</v>
      </c>
      <c r="G10" s="279"/>
      <c r="H10" s="280"/>
    </row>
    <row r="11" spans="1:8" x14ac:dyDescent="0.25">
      <c r="A11" s="122" t="s">
        <v>11885</v>
      </c>
      <c r="B11" s="123" t="s">
        <v>97</v>
      </c>
      <c r="C11" s="123" t="s">
        <v>98</v>
      </c>
      <c r="D11" s="123" t="s">
        <v>3</v>
      </c>
      <c r="E11" s="123" t="s">
        <v>4</v>
      </c>
      <c r="F11" s="123" t="s">
        <v>99</v>
      </c>
      <c r="G11" s="123" t="s">
        <v>100</v>
      </c>
      <c r="H11" s="124" t="s">
        <v>101</v>
      </c>
    </row>
    <row r="12" spans="1:8" ht="38.25" x14ac:dyDescent="0.25">
      <c r="A12" s="125" t="s">
        <v>398</v>
      </c>
      <c r="B12" s="115" t="s">
        <v>9</v>
      </c>
      <c r="C12" s="115">
        <v>5795</v>
      </c>
      <c r="D12" s="127" t="str">
        <f>IF(A12="COMPOSIÇÃO",VLOOKUP(C12,'SINAPI_COMPOSIÇÕES 062020'!A:B,2,FALSE),VLOOKUP(C12,'SINAPI_INSUMOS 062020'!A:B,2,FALSE))</f>
        <v>MARTELETE OU ROMPEDOR PNEUMÁTICO MANUAL, 28 KG, COM SILENCIADOR - CHP DIURNO. AF_07/2016</v>
      </c>
      <c r="E12" s="126" t="str">
        <f>IF(A12="COMPOSIÇÃO",VLOOKUP(C12,'SINAPI_COMPOSIÇÕES 062020'!A:C,3,FALSE),VLOOKUP(C12,'SINAPI_INSUMOS 062020'!A:C,3,FALSE))</f>
        <v>CHP</v>
      </c>
      <c r="F12" s="74">
        <v>1.5562</v>
      </c>
      <c r="G12" s="128">
        <f>IF(A12="COMPOSIÇÃO",VLOOKUP(C12,'SINAPI_COMPOSIÇÕES 062020'!A:D,4,FALSE),VLOOKUP(C12,'SINAPI_INSUMOS 062020'!A:D,4,FALSE))</f>
        <v>15.16</v>
      </c>
      <c r="H12" s="75">
        <f t="shared" ref="H12:H15" si="0">TRUNC(G12*F12,2)</f>
        <v>23.59</v>
      </c>
    </row>
    <row r="13" spans="1:8" ht="38.25" x14ac:dyDescent="0.25">
      <c r="A13" s="125" t="s">
        <v>398</v>
      </c>
      <c r="B13" s="115" t="s">
        <v>9</v>
      </c>
      <c r="C13" s="115">
        <v>5952</v>
      </c>
      <c r="D13" s="127" t="str">
        <f>IF(A13="COMPOSIÇÃO",VLOOKUP(C13,'SINAPI_COMPOSIÇÕES 062020'!A:B,2,FALSE),VLOOKUP(C13,'SINAPI_INSUMOS 062020'!A:B,2,FALSE))</f>
        <v>MARTELETE OU ROMPEDOR PNEUMÁTICO MANUAL, 28 KG, COM SILENCIADOR - CHI DIURNO. AF_07/2016</v>
      </c>
      <c r="E13" s="126" t="str">
        <f>IF(A13="COMPOSIÇÃO",VLOOKUP(C13,'SINAPI_COMPOSIÇÕES 062020'!A:C,3,FALSE),VLOOKUP(C13,'SINAPI_INSUMOS 062020'!A:C,3,FALSE))</f>
        <v>CHI</v>
      </c>
      <c r="F13" s="74">
        <v>0.44109999999999999</v>
      </c>
      <c r="G13" s="128">
        <f>IF(A13="COMPOSIÇÃO",VLOOKUP(C13,'SINAPI_COMPOSIÇÕES 062020'!A:D,4,FALSE),VLOOKUP(C13,'SINAPI_INSUMOS 062020'!A:D,4,FALSE))</f>
        <v>13.2</v>
      </c>
      <c r="H13" s="75">
        <f t="shared" si="0"/>
        <v>5.82</v>
      </c>
    </row>
    <row r="14" spans="1:8" ht="25.5" x14ac:dyDescent="0.25">
      <c r="A14" s="125" t="s">
        <v>398</v>
      </c>
      <c r="B14" s="115" t="s">
        <v>9</v>
      </c>
      <c r="C14" s="115">
        <v>88309</v>
      </c>
      <c r="D14" s="127" t="str">
        <f>IF(A14="COMPOSIÇÃO",VLOOKUP(C14,'SINAPI_COMPOSIÇÕES 062020'!A:B,2,FALSE),VLOOKUP(C14,'SINAPI_INSUMOS 062020'!A:B,2,FALSE))</f>
        <v>PEDREIRO COM ENCARGOS COMPLEMENTARES</v>
      </c>
      <c r="E14" s="126" t="str">
        <f>IF(A14="COMPOSIÇÃO",VLOOKUP(C14,'SINAPI_COMPOSIÇÕES 062020'!A:C,3,FALSE),VLOOKUP(C14,'SINAPI_INSUMOS 062020'!A:C,3,FALSE))</f>
        <v>H</v>
      </c>
      <c r="F14" s="74">
        <v>0.30509999999999998</v>
      </c>
      <c r="G14" s="128">
        <f>IF(A14="COMPOSIÇÃO",VLOOKUP(C14,'SINAPI_COMPOSIÇÕES 062020'!A:D,4,FALSE),VLOOKUP(C14,'SINAPI_INSUMOS 062020'!A:D,4,FALSE))</f>
        <v>17.760000000000002</v>
      </c>
      <c r="H14" s="75">
        <f t="shared" si="0"/>
        <v>5.41</v>
      </c>
    </row>
    <row r="15" spans="1:8" ht="25.5" x14ac:dyDescent="0.25">
      <c r="A15" s="125" t="s">
        <v>398</v>
      </c>
      <c r="B15" s="115" t="s">
        <v>9</v>
      </c>
      <c r="C15" s="115">
        <v>88316</v>
      </c>
      <c r="D15" s="127" t="str">
        <f>IF(A15="COMPOSIÇÃO",VLOOKUP(C15,'SINAPI_COMPOSIÇÕES 062020'!A:B,2,FALSE),VLOOKUP(C15,'SINAPI_INSUMOS 062020'!A:B,2,FALSE))</f>
        <v>SERVENTE COM ENCARGOS COMPLEMENTARES</v>
      </c>
      <c r="E15" s="126" t="str">
        <f>IF(A15="COMPOSIÇÃO",VLOOKUP(C15,'SINAPI_COMPOSIÇÕES 062020'!A:C,3,FALSE),VLOOKUP(C15,'SINAPI_INSUMOS 062020'!A:C,3,FALSE))</f>
        <v>H</v>
      </c>
      <c r="F15" s="74">
        <v>3.153</v>
      </c>
      <c r="G15" s="128">
        <f>IF(A15="COMPOSIÇÃO",VLOOKUP(C15,'SINAPI_COMPOSIÇÕES 062020'!A:D,4,FALSE),VLOOKUP(C15,'SINAPI_INSUMOS 062020'!A:D,4,FALSE))</f>
        <v>14.37</v>
      </c>
      <c r="H15" s="75">
        <f t="shared" si="0"/>
        <v>45.3</v>
      </c>
    </row>
    <row r="16" spans="1:8" ht="13.5" thickBot="1" x14ac:dyDescent="0.3">
      <c r="A16" s="267" t="str">
        <f>CONCATENATE("TOTAL DO ÍTEM - ",A8)</f>
        <v>TOTAL DO ÍTEM - MPMT-02542</v>
      </c>
      <c r="B16" s="268"/>
      <c r="C16" s="268"/>
      <c r="D16" s="268"/>
      <c r="E16" s="268"/>
      <c r="F16" s="268"/>
      <c r="G16" s="269"/>
      <c r="H16" s="188">
        <f>TRUNC(SUM(H12:H15),2)</f>
        <v>80.12</v>
      </c>
    </row>
    <row r="17" spans="1:8" ht="13.5" thickBot="1" x14ac:dyDescent="0.3">
      <c r="A17" s="302" t="s">
        <v>11886</v>
      </c>
      <c r="B17" s="303"/>
      <c r="C17" s="303"/>
      <c r="D17" s="303"/>
      <c r="E17" s="303"/>
      <c r="F17" s="303"/>
      <c r="G17" s="303"/>
      <c r="H17" s="304"/>
    </row>
    <row r="18" spans="1:8" ht="13.5" thickBot="1" x14ac:dyDescent="0.3"/>
    <row r="19" spans="1:8" ht="25.5" x14ac:dyDescent="0.25">
      <c r="A19" s="120" t="s">
        <v>90</v>
      </c>
      <c r="B19" s="286" t="s">
        <v>91</v>
      </c>
      <c r="C19" s="287"/>
      <c r="D19" s="287"/>
      <c r="E19" s="287"/>
      <c r="F19" s="287"/>
      <c r="G19" s="288"/>
      <c r="H19" s="121" t="s">
        <v>4</v>
      </c>
    </row>
    <row r="20" spans="1:8" ht="13.5" thickBot="1" x14ac:dyDescent="0.3">
      <c r="A20" s="113" t="s">
        <v>11887</v>
      </c>
      <c r="B20" s="289" t="s">
        <v>11888</v>
      </c>
      <c r="C20" s="290"/>
      <c r="D20" s="290"/>
      <c r="E20" s="290"/>
      <c r="F20" s="290"/>
      <c r="G20" s="291"/>
      <c r="H20" s="114" t="s">
        <v>8</v>
      </c>
    </row>
    <row r="21" spans="1:8" x14ac:dyDescent="0.25">
      <c r="A21" s="273" t="s">
        <v>13834</v>
      </c>
      <c r="B21" s="275" t="s">
        <v>92</v>
      </c>
      <c r="C21" s="276"/>
      <c r="D21" s="185" t="s">
        <v>11889</v>
      </c>
      <c r="E21" s="239" t="s">
        <v>93</v>
      </c>
      <c r="F21" s="186">
        <v>0</v>
      </c>
      <c r="G21" s="277" t="s">
        <v>94</v>
      </c>
      <c r="H21" s="278"/>
    </row>
    <row r="22" spans="1:8" x14ac:dyDescent="0.25">
      <c r="A22" s="274"/>
      <c r="B22" s="281" t="s">
        <v>95</v>
      </c>
      <c r="C22" s="282"/>
      <c r="D22" s="187">
        <v>43025</v>
      </c>
      <c r="E22" s="240" t="s">
        <v>96</v>
      </c>
      <c r="F22" s="187">
        <v>43025</v>
      </c>
      <c r="G22" s="279"/>
      <c r="H22" s="280"/>
    </row>
    <row r="23" spans="1:8" x14ac:dyDescent="0.25">
      <c r="A23" s="122" t="s">
        <v>11885</v>
      </c>
      <c r="B23" s="123" t="s">
        <v>97</v>
      </c>
      <c r="C23" s="123" t="s">
        <v>98</v>
      </c>
      <c r="D23" s="123" t="s">
        <v>3</v>
      </c>
      <c r="E23" s="123" t="s">
        <v>4</v>
      </c>
      <c r="F23" s="123" t="s">
        <v>99</v>
      </c>
      <c r="G23" s="123" t="s">
        <v>100</v>
      </c>
      <c r="H23" s="124" t="s">
        <v>101</v>
      </c>
    </row>
    <row r="24" spans="1:8" ht="25.5" x14ac:dyDescent="0.25">
      <c r="A24" s="125" t="s">
        <v>398</v>
      </c>
      <c r="B24" s="115" t="s">
        <v>9</v>
      </c>
      <c r="C24" s="115">
        <v>88256</v>
      </c>
      <c r="D24" s="127" t="str">
        <f>IF(A24="COMPOSIÇÃO",VLOOKUP(C24,'SINAPI_COMPOSIÇÕES 062020'!A:B,2,FALSE),VLOOKUP(C24,'SINAPI_INSUMOS 062020'!A:B,2,FALSE))</f>
        <v>AZULEJISTA OU LADRILHISTA COM ENCARGOS COMPLEMENTARES</v>
      </c>
      <c r="E24" s="126" t="str">
        <f>IF(A24="COMPOSIÇÃO",VLOOKUP(C24,'SINAPI_COMPOSIÇÕES 062020'!A:C,3,FALSE),VLOOKUP(C24,'SINAPI_INSUMOS 062020'!A:C,3,FALSE))</f>
        <v>H</v>
      </c>
      <c r="F24" s="74">
        <v>0.12</v>
      </c>
      <c r="G24" s="128">
        <f>IF(A24="COMPOSIÇÃO",VLOOKUP(C24,'SINAPI_COMPOSIÇÕES 062020'!A:D,4,FALSE),VLOOKUP(C24,'SINAPI_INSUMOS 062020'!A:D,4,FALSE))</f>
        <v>17.71</v>
      </c>
      <c r="H24" s="75">
        <f t="shared" ref="H24:H25" si="1">TRUNC(G24*F24,2)</f>
        <v>2.12</v>
      </c>
    </row>
    <row r="25" spans="1:8" ht="25.5" x14ac:dyDescent="0.25">
      <c r="A25" s="125" t="s">
        <v>398</v>
      </c>
      <c r="B25" s="115" t="s">
        <v>9</v>
      </c>
      <c r="C25" s="115">
        <v>88316</v>
      </c>
      <c r="D25" s="127" t="str">
        <f>IF(A25="COMPOSIÇÃO",VLOOKUP(C25,'SINAPI_COMPOSIÇÕES 062020'!A:B,2,FALSE),VLOOKUP(C25,'SINAPI_INSUMOS 062020'!A:B,2,FALSE))</f>
        <v>SERVENTE COM ENCARGOS COMPLEMENTARES</v>
      </c>
      <c r="E25" s="126" t="str">
        <f>IF(A25="COMPOSIÇÃO",VLOOKUP(C25,'SINAPI_COMPOSIÇÕES 062020'!A:C,3,FALSE),VLOOKUP(C25,'SINAPI_INSUMOS 062020'!A:C,3,FALSE))</f>
        <v>H</v>
      </c>
      <c r="F25" s="74">
        <v>1.2</v>
      </c>
      <c r="G25" s="128">
        <f>IF(A25="COMPOSIÇÃO",VLOOKUP(C25,'SINAPI_COMPOSIÇÕES 062020'!A:D,4,FALSE),VLOOKUP(C25,'SINAPI_INSUMOS 062020'!A:D,4,FALSE))</f>
        <v>14.37</v>
      </c>
      <c r="H25" s="75">
        <f t="shared" si="1"/>
        <v>17.239999999999998</v>
      </c>
    </row>
    <row r="26" spans="1:8" ht="13.5" thickBot="1" x14ac:dyDescent="0.3">
      <c r="A26" s="267" t="str">
        <f>CONCATENATE("TOTAL DO ÍTEM - ",A20)</f>
        <v>TOTAL DO ÍTEM - MPMT-02304</v>
      </c>
      <c r="B26" s="268"/>
      <c r="C26" s="268"/>
      <c r="D26" s="268"/>
      <c r="E26" s="268"/>
      <c r="F26" s="268"/>
      <c r="G26" s="269"/>
      <c r="H26" s="188">
        <f>TRUNC(SUM(H24:H25),2)</f>
        <v>19.36</v>
      </c>
    </row>
    <row r="27" spans="1:8" ht="13.5" thickBot="1" x14ac:dyDescent="0.3">
      <c r="A27" s="302" t="s">
        <v>11890</v>
      </c>
      <c r="B27" s="303"/>
      <c r="C27" s="303"/>
      <c r="D27" s="303"/>
      <c r="E27" s="303"/>
      <c r="F27" s="303"/>
      <c r="G27" s="303"/>
      <c r="H27" s="304"/>
    </row>
    <row r="28" spans="1:8" ht="13.5" thickBot="1" x14ac:dyDescent="0.3"/>
    <row r="29" spans="1:8" ht="25.5" x14ac:dyDescent="0.25">
      <c r="A29" s="120" t="s">
        <v>90</v>
      </c>
      <c r="B29" s="286" t="s">
        <v>91</v>
      </c>
      <c r="C29" s="287"/>
      <c r="D29" s="287"/>
      <c r="E29" s="287"/>
      <c r="F29" s="287"/>
      <c r="G29" s="288"/>
      <c r="H29" s="121" t="s">
        <v>4</v>
      </c>
    </row>
    <row r="30" spans="1:8" ht="13.5" thickBot="1" x14ac:dyDescent="0.3">
      <c r="A30" s="113" t="s">
        <v>11891</v>
      </c>
      <c r="B30" s="289" t="s">
        <v>11892</v>
      </c>
      <c r="C30" s="290"/>
      <c r="D30" s="290"/>
      <c r="E30" s="290"/>
      <c r="F30" s="290"/>
      <c r="G30" s="291"/>
      <c r="H30" s="114" t="s">
        <v>8</v>
      </c>
    </row>
    <row r="31" spans="1:8" x14ac:dyDescent="0.25">
      <c r="A31" s="273" t="s">
        <v>13834</v>
      </c>
      <c r="B31" s="275" t="s">
        <v>92</v>
      </c>
      <c r="C31" s="276"/>
      <c r="D31" s="185" t="s">
        <v>11893</v>
      </c>
      <c r="E31" s="239" t="s">
        <v>93</v>
      </c>
      <c r="F31" s="186">
        <v>0</v>
      </c>
      <c r="G31" s="277" t="s">
        <v>94</v>
      </c>
      <c r="H31" s="278"/>
    </row>
    <row r="32" spans="1:8" x14ac:dyDescent="0.25">
      <c r="A32" s="274"/>
      <c r="B32" s="281" t="s">
        <v>95</v>
      </c>
      <c r="C32" s="282"/>
      <c r="D32" s="187">
        <v>44013</v>
      </c>
      <c r="E32" s="240" t="s">
        <v>96</v>
      </c>
      <c r="F32" s="187">
        <v>44013</v>
      </c>
      <c r="G32" s="279"/>
      <c r="H32" s="280"/>
    </row>
    <row r="33" spans="1:8" x14ac:dyDescent="0.25">
      <c r="A33" s="122" t="s">
        <v>11885</v>
      </c>
      <c r="B33" s="123" t="s">
        <v>97</v>
      </c>
      <c r="C33" s="123" t="s">
        <v>98</v>
      </c>
      <c r="D33" s="123" t="s">
        <v>3</v>
      </c>
      <c r="E33" s="123" t="s">
        <v>4</v>
      </c>
      <c r="F33" s="123" t="s">
        <v>99</v>
      </c>
      <c r="G33" s="123" t="s">
        <v>100</v>
      </c>
      <c r="H33" s="124" t="s">
        <v>101</v>
      </c>
    </row>
    <row r="34" spans="1:8" ht="25.5" x14ac:dyDescent="0.25">
      <c r="A34" s="125" t="s">
        <v>398</v>
      </c>
      <c r="B34" s="115" t="s">
        <v>9</v>
      </c>
      <c r="C34" s="115">
        <v>88278</v>
      </c>
      <c r="D34" s="127" t="str">
        <f>IF(A34="COMPOSIÇÃO",VLOOKUP(C34,'SINAPI_COMPOSIÇÕES 062020'!A:B,2,FALSE),VLOOKUP(C34,'SINAPI_INSUMOS 062020'!A:B,2,FALSE))</f>
        <v>MONTADOR DE ESTRUTURA METÁLICA COM ENCARGOS COMPLEMENTARES</v>
      </c>
      <c r="E34" s="126" t="str">
        <f>IF(A34="COMPOSIÇÃO",VLOOKUP(C34,'SINAPI_COMPOSIÇÕES 062020'!A:C,3,FALSE),VLOOKUP(C34,'SINAPI_INSUMOS 062020'!A:C,3,FALSE))</f>
        <v>H</v>
      </c>
      <c r="F34" s="74">
        <v>2.58E-2</v>
      </c>
      <c r="G34" s="128">
        <f>IF(A34="COMPOSIÇÃO",VLOOKUP(C34,'SINAPI_COMPOSIÇÕES 062020'!A:D,4,FALSE),VLOOKUP(C34,'SINAPI_INSUMOS 062020'!A:D,4,FALSE))</f>
        <v>12.82</v>
      </c>
      <c r="H34" s="75">
        <f t="shared" ref="H34:H35" si="2">TRUNC(G34*F34,2)</f>
        <v>0.33</v>
      </c>
    </row>
    <row r="35" spans="1:8" ht="25.5" x14ac:dyDescent="0.25">
      <c r="A35" s="125" t="s">
        <v>398</v>
      </c>
      <c r="B35" s="115" t="s">
        <v>9</v>
      </c>
      <c r="C35" s="115">
        <v>88316</v>
      </c>
      <c r="D35" s="127" t="str">
        <f>IF(A35="COMPOSIÇÃO",VLOOKUP(C35,'SINAPI_COMPOSIÇÕES 062020'!A:B,2,FALSE),VLOOKUP(C35,'SINAPI_INSUMOS 062020'!A:B,2,FALSE))</f>
        <v>SERVENTE COM ENCARGOS COMPLEMENTARES</v>
      </c>
      <c r="E35" s="126" t="str">
        <f>IF(A35="COMPOSIÇÃO",VLOOKUP(C35,'SINAPI_COMPOSIÇÕES 062020'!A:C,3,FALSE),VLOOKUP(C35,'SINAPI_INSUMOS 062020'!A:C,3,FALSE))</f>
        <v>H</v>
      </c>
      <c r="F35" s="74">
        <v>5.0700000000000002E-2</v>
      </c>
      <c r="G35" s="128">
        <f>IF(A35="COMPOSIÇÃO",VLOOKUP(C35,'SINAPI_COMPOSIÇÕES 062020'!A:D,4,FALSE),VLOOKUP(C35,'SINAPI_INSUMOS 062020'!A:D,4,FALSE))</f>
        <v>14.37</v>
      </c>
      <c r="H35" s="75">
        <f t="shared" si="2"/>
        <v>0.72</v>
      </c>
    </row>
    <row r="36" spans="1:8" ht="13.5" thickBot="1" x14ac:dyDescent="0.3">
      <c r="A36" s="267" t="str">
        <f>CONCATENATE("TOTAL DO ÍTEM - ",A30)</f>
        <v>TOTAL DO ÍTEM - MPMT-02543</v>
      </c>
      <c r="B36" s="268"/>
      <c r="C36" s="268"/>
      <c r="D36" s="268"/>
      <c r="E36" s="268"/>
      <c r="F36" s="268"/>
      <c r="G36" s="269"/>
      <c r="H36" s="188">
        <f>TRUNC(SUM(H34:H35),2)</f>
        <v>1.05</v>
      </c>
    </row>
    <row r="37" spans="1:8" ht="13.5" thickBot="1" x14ac:dyDescent="0.3">
      <c r="A37" s="302" t="s">
        <v>11894</v>
      </c>
      <c r="B37" s="303"/>
      <c r="C37" s="303"/>
      <c r="D37" s="303"/>
      <c r="E37" s="303"/>
      <c r="F37" s="303"/>
      <c r="G37" s="303"/>
      <c r="H37" s="304"/>
    </row>
    <row r="38" spans="1:8" ht="13.5" thickBot="1" x14ac:dyDescent="0.3"/>
    <row r="39" spans="1:8" ht="25.5" x14ac:dyDescent="0.25">
      <c r="A39" s="120" t="s">
        <v>90</v>
      </c>
      <c r="B39" s="286" t="s">
        <v>91</v>
      </c>
      <c r="C39" s="287"/>
      <c r="D39" s="287"/>
      <c r="E39" s="287"/>
      <c r="F39" s="287"/>
      <c r="G39" s="288"/>
      <c r="H39" s="121" t="s">
        <v>4</v>
      </c>
    </row>
    <row r="40" spans="1:8" ht="13.5" thickBot="1" x14ac:dyDescent="0.3">
      <c r="A40" s="113" t="s">
        <v>11895</v>
      </c>
      <c r="B40" s="289" t="s">
        <v>11896</v>
      </c>
      <c r="C40" s="290"/>
      <c r="D40" s="290"/>
      <c r="E40" s="290"/>
      <c r="F40" s="290"/>
      <c r="G40" s="291"/>
      <c r="H40" s="114" t="s">
        <v>4</v>
      </c>
    </row>
    <row r="41" spans="1:8" x14ac:dyDescent="0.25">
      <c r="A41" s="273" t="s">
        <v>13834</v>
      </c>
      <c r="B41" s="275" t="s">
        <v>92</v>
      </c>
      <c r="C41" s="276"/>
      <c r="D41" s="185" t="s">
        <v>11897</v>
      </c>
      <c r="E41" s="239" t="s">
        <v>93</v>
      </c>
      <c r="F41" s="186">
        <v>0</v>
      </c>
      <c r="G41" s="277" t="s">
        <v>94</v>
      </c>
      <c r="H41" s="278"/>
    </row>
    <row r="42" spans="1:8" x14ac:dyDescent="0.25">
      <c r="A42" s="274"/>
      <c r="B42" s="281" t="s">
        <v>95</v>
      </c>
      <c r="C42" s="282"/>
      <c r="D42" s="187">
        <v>44013</v>
      </c>
      <c r="E42" s="240" t="s">
        <v>96</v>
      </c>
      <c r="F42" s="187">
        <v>44013</v>
      </c>
      <c r="G42" s="279"/>
      <c r="H42" s="280"/>
    </row>
    <row r="43" spans="1:8" x14ac:dyDescent="0.25">
      <c r="A43" s="122" t="s">
        <v>11885</v>
      </c>
      <c r="B43" s="123" t="s">
        <v>97</v>
      </c>
      <c r="C43" s="123" t="s">
        <v>98</v>
      </c>
      <c r="D43" s="123" t="s">
        <v>3</v>
      </c>
      <c r="E43" s="123" t="s">
        <v>4</v>
      </c>
      <c r="F43" s="123" t="s">
        <v>99</v>
      </c>
      <c r="G43" s="123" t="s">
        <v>100</v>
      </c>
      <c r="H43" s="124" t="s">
        <v>101</v>
      </c>
    </row>
    <row r="44" spans="1:8" ht="25.5" x14ac:dyDescent="0.25">
      <c r="A44" s="125" t="s">
        <v>398</v>
      </c>
      <c r="B44" s="115" t="s">
        <v>9</v>
      </c>
      <c r="C44" s="115">
        <v>88309</v>
      </c>
      <c r="D44" s="127" t="str">
        <f>IF(A44="COMPOSIÇÃO",VLOOKUP(C44,'SINAPI_COMPOSIÇÕES 062020'!A:B,2,FALSE),VLOOKUP(C44,'SINAPI_INSUMOS 062020'!A:B,2,FALSE))</f>
        <v>PEDREIRO COM ENCARGOS COMPLEMENTARES</v>
      </c>
      <c r="E44" s="126" t="str">
        <f>IF(A44="COMPOSIÇÃO",VLOOKUP(C44,'SINAPI_COMPOSIÇÕES 062020'!A:C,3,FALSE),VLOOKUP(C44,'SINAPI_INSUMOS 062020'!A:C,3,FALSE))</f>
        <v>H</v>
      </c>
      <c r="F44" s="74">
        <f>0.0219*1.05</f>
        <v>2.2995000000000002E-2</v>
      </c>
      <c r="G44" s="128">
        <f>IF(A44="COMPOSIÇÃO",VLOOKUP(C44,'SINAPI_COMPOSIÇÕES 062020'!A:D,4,FALSE),VLOOKUP(C44,'SINAPI_INSUMOS 062020'!A:D,4,FALSE))</f>
        <v>17.760000000000002</v>
      </c>
      <c r="H44" s="75">
        <f t="shared" ref="H44:H45" si="3">TRUNC(G44*F44,2)</f>
        <v>0.4</v>
      </c>
    </row>
    <row r="45" spans="1:8" ht="25.5" x14ac:dyDescent="0.25">
      <c r="A45" s="125" t="s">
        <v>398</v>
      </c>
      <c r="B45" s="115" t="s">
        <v>9</v>
      </c>
      <c r="C45" s="115">
        <v>88316</v>
      </c>
      <c r="D45" s="127" t="str">
        <f>IF(A45="COMPOSIÇÃO",VLOOKUP(C45,'SINAPI_COMPOSIÇÕES 062020'!A:B,2,FALSE),VLOOKUP(C45,'SINAPI_INSUMOS 062020'!A:B,2,FALSE))</f>
        <v>SERVENTE COM ENCARGOS COMPLEMENTARES</v>
      </c>
      <c r="E45" s="126" t="str">
        <f>IF(A45="COMPOSIÇÃO",VLOOKUP(C45,'SINAPI_COMPOSIÇÕES 062020'!A:C,3,FALSE),VLOOKUP(C45,'SINAPI_INSUMOS 062020'!A:C,3,FALSE))</f>
        <v>H</v>
      </c>
      <c r="F45" s="74">
        <f>0.0431*1.05</f>
        <v>4.5255000000000004E-2</v>
      </c>
      <c r="G45" s="128">
        <f>IF(A45="COMPOSIÇÃO",VLOOKUP(C45,'SINAPI_COMPOSIÇÕES 062020'!A:D,4,FALSE),VLOOKUP(C45,'SINAPI_INSUMOS 062020'!A:D,4,FALSE))</f>
        <v>14.37</v>
      </c>
      <c r="H45" s="75">
        <f t="shared" si="3"/>
        <v>0.65</v>
      </c>
    </row>
    <row r="46" spans="1:8" ht="13.5" thickBot="1" x14ac:dyDescent="0.3">
      <c r="A46" s="267" t="str">
        <f>CONCATENATE("TOTAL DO ÍTEM - ",A40)</f>
        <v>TOTAL DO ÍTEM - MPMT-02544</v>
      </c>
      <c r="B46" s="268"/>
      <c r="C46" s="268"/>
      <c r="D46" s="268"/>
      <c r="E46" s="268"/>
      <c r="F46" s="268"/>
      <c r="G46" s="269"/>
      <c r="H46" s="188">
        <f>TRUNC(SUM(H44:H45),2)</f>
        <v>1.05</v>
      </c>
    </row>
    <row r="47" spans="1:8" ht="13.5" thickBot="1" x14ac:dyDescent="0.3">
      <c r="A47" s="302" t="s">
        <v>11898</v>
      </c>
      <c r="B47" s="303"/>
      <c r="C47" s="303"/>
      <c r="D47" s="303"/>
      <c r="E47" s="303"/>
      <c r="F47" s="303"/>
      <c r="G47" s="303"/>
      <c r="H47" s="304"/>
    </row>
    <row r="48" spans="1:8" ht="13.5" thickBot="1" x14ac:dyDescent="0.3"/>
    <row r="49" spans="1:8" ht="25.5" x14ac:dyDescent="0.25">
      <c r="A49" s="120" t="s">
        <v>90</v>
      </c>
      <c r="B49" s="286" t="s">
        <v>91</v>
      </c>
      <c r="C49" s="287"/>
      <c r="D49" s="287"/>
      <c r="E49" s="287"/>
      <c r="F49" s="287"/>
      <c r="G49" s="288"/>
      <c r="H49" s="121" t="s">
        <v>4</v>
      </c>
    </row>
    <row r="50" spans="1:8" ht="13.5" thickBot="1" x14ac:dyDescent="0.3">
      <c r="A50" s="113" t="s">
        <v>11899</v>
      </c>
      <c r="B50" s="289" t="s">
        <v>11900</v>
      </c>
      <c r="C50" s="290"/>
      <c r="D50" s="290"/>
      <c r="E50" s="290"/>
      <c r="F50" s="290"/>
      <c r="G50" s="291"/>
      <c r="H50" s="114" t="s">
        <v>8</v>
      </c>
    </row>
    <row r="51" spans="1:8" x14ac:dyDescent="0.25">
      <c r="A51" s="273" t="s">
        <v>13834</v>
      </c>
      <c r="B51" s="275" t="s">
        <v>92</v>
      </c>
      <c r="C51" s="276"/>
      <c r="D51" s="185" t="s">
        <v>11901</v>
      </c>
      <c r="E51" s="239" t="s">
        <v>93</v>
      </c>
      <c r="F51" s="186">
        <v>0</v>
      </c>
      <c r="G51" s="277" t="s">
        <v>94</v>
      </c>
      <c r="H51" s="278"/>
    </row>
    <row r="52" spans="1:8" x14ac:dyDescent="0.25">
      <c r="A52" s="274"/>
      <c r="B52" s="281" t="s">
        <v>95</v>
      </c>
      <c r="C52" s="282"/>
      <c r="D52" s="187">
        <v>43012</v>
      </c>
      <c r="E52" s="240" t="s">
        <v>96</v>
      </c>
      <c r="F52" s="187">
        <v>43012</v>
      </c>
      <c r="G52" s="279"/>
      <c r="H52" s="280"/>
    </row>
    <row r="53" spans="1:8" x14ac:dyDescent="0.25">
      <c r="A53" s="122" t="s">
        <v>11885</v>
      </c>
      <c r="B53" s="123" t="s">
        <v>97</v>
      </c>
      <c r="C53" s="123" t="s">
        <v>98</v>
      </c>
      <c r="D53" s="123" t="s">
        <v>3</v>
      </c>
      <c r="E53" s="123" t="s">
        <v>4</v>
      </c>
      <c r="F53" s="123" t="s">
        <v>99</v>
      </c>
      <c r="G53" s="123" t="s">
        <v>100</v>
      </c>
      <c r="H53" s="124" t="s">
        <v>101</v>
      </c>
    </row>
    <row r="54" spans="1:8" ht="25.5" x14ac:dyDescent="0.25">
      <c r="A54" s="125" t="s">
        <v>398</v>
      </c>
      <c r="B54" s="115" t="s">
        <v>9</v>
      </c>
      <c r="C54" s="115">
        <v>88309</v>
      </c>
      <c r="D54" s="127" t="str">
        <f>IF(A54="COMPOSIÇÃO",VLOOKUP(C54,'SINAPI_COMPOSIÇÕES 062020'!A:B,2,FALSE),VLOOKUP(C54,'SINAPI_INSUMOS 062020'!A:B,2,FALSE))</f>
        <v>PEDREIRO COM ENCARGOS COMPLEMENTARES</v>
      </c>
      <c r="E54" s="126" t="str">
        <f>IF(A54="COMPOSIÇÃO",VLOOKUP(C54,'SINAPI_COMPOSIÇÕES 062020'!A:C,3,FALSE),VLOOKUP(C54,'SINAPI_INSUMOS 062020'!A:C,3,FALSE))</f>
        <v>H</v>
      </c>
      <c r="F54" s="74">
        <v>0.15</v>
      </c>
      <c r="G54" s="128">
        <f>IF(A54="COMPOSIÇÃO",VLOOKUP(C54,'SINAPI_COMPOSIÇÕES 062020'!A:D,4,FALSE),VLOOKUP(C54,'SINAPI_INSUMOS 062020'!A:D,4,FALSE))</f>
        <v>17.760000000000002</v>
      </c>
      <c r="H54" s="75">
        <f t="shared" ref="H54:H55" si="4">TRUNC(G54*F54,2)</f>
        <v>2.66</v>
      </c>
    </row>
    <row r="55" spans="1:8" ht="25.5" x14ac:dyDescent="0.25">
      <c r="A55" s="125" t="s">
        <v>398</v>
      </c>
      <c r="B55" s="115" t="s">
        <v>9</v>
      </c>
      <c r="C55" s="115">
        <v>88316</v>
      </c>
      <c r="D55" s="127" t="str">
        <f>IF(A55="COMPOSIÇÃO",VLOOKUP(C55,'SINAPI_COMPOSIÇÕES 062020'!A:B,2,FALSE),VLOOKUP(C55,'SINAPI_INSUMOS 062020'!A:B,2,FALSE))</f>
        <v>SERVENTE COM ENCARGOS COMPLEMENTARES</v>
      </c>
      <c r="E55" s="126" t="str">
        <f>IF(A55="COMPOSIÇÃO",VLOOKUP(C55,'SINAPI_COMPOSIÇÕES 062020'!A:C,3,FALSE),VLOOKUP(C55,'SINAPI_INSUMOS 062020'!A:C,3,FALSE))</f>
        <v>H</v>
      </c>
      <c r="F55" s="74">
        <v>1</v>
      </c>
      <c r="G55" s="128">
        <f>IF(A55="COMPOSIÇÃO",VLOOKUP(C55,'SINAPI_COMPOSIÇÕES 062020'!A:D,4,FALSE),VLOOKUP(C55,'SINAPI_INSUMOS 062020'!A:D,4,FALSE))</f>
        <v>14.37</v>
      </c>
      <c r="H55" s="75">
        <f t="shared" si="4"/>
        <v>14.37</v>
      </c>
    </row>
    <row r="56" spans="1:8" ht="13.5" thickBot="1" x14ac:dyDescent="0.3">
      <c r="A56" s="267" t="str">
        <f>CONCATENATE("TOTAL DO ÍTEM - ",A50)</f>
        <v>TOTAL DO ÍTEM - MPMT-02278</v>
      </c>
      <c r="B56" s="268"/>
      <c r="C56" s="268"/>
      <c r="D56" s="268"/>
      <c r="E56" s="268"/>
      <c r="F56" s="268"/>
      <c r="G56" s="269"/>
      <c r="H56" s="188">
        <f>TRUNC(SUM(H54:H55),2)</f>
        <v>17.03</v>
      </c>
    </row>
    <row r="57" spans="1:8" ht="13.5" thickBot="1" x14ac:dyDescent="0.3">
      <c r="A57" s="302" t="s">
        <v>11902</v>
      </c>
      <c r="B57" s="303"/>
      <c r="C57" s="303"/>
      <c r="D57" s="303"/>
      <c r="E57" s="303"/>
      <c r="F57" s="303"/>
      <c r="G57" s="303"/>
      <c r="H57" s="304"/>
    </row>
    <row r="58" spans="1:8" ht="13.5" thickBot="1" x14ac:dyDescent="0.3"/>
    <row r="59" spans="1:8" ht="25.5" x14ac:dyDescent="0.25">
      <c r="A59" s="120" t="s">
        <v>90</v>
      </c>
      <c r="B59" s="286" t="s">
        <v>91</v>
      </c>
      <c r="C59" s="287"/>
      <c r="D59" s="287"/>
      <c r="E59" s="287"/>
      <c r="F59" s="287"/>
      <c r="G59" s="288"/>
      <c r="H59" s="121" t="s">
        <v>4</v>
      </c>
    </row>
    <row r="60" spans="1:8" ht="13.5" thickBot="1" x14ac:dyDescent="0.3">
      <c r="A60" s="113" t="s">
        <v>11903</v>
      </c>
      <c r="B60" s="289" t="s">
        <v>11904</v>
      </c>
      <c r="C60" s="290"/>
      <c r="D60" s="290"/>
      <c r="E60" s="290"/>
      <c r="F60" s="290"/>
      <c r="G60" s="291"/>
      <c r="H60" s="114" t="s">
        <v>16</v>
      </c>
    </row>
    <row r="61" spans="1:8" x14ac:dyDescent="0.25">
      <c r="A61" s="273" t="s">
        <v>13834</v>
      </c>
      <c r="B61" s="275" t="s">
        <v>92</v>
      </c>
      <c r="C61" s="276"/>
      <c r="D61" s="185" t="s">
        <v>11905</v>
      </c>
      <c r="E61" s="239" t="s">
        <v>93</v>
      </c>
      <c r="F61" s="186">
        <v>0</v>
      </c>
      <c r="G61" s="277" t="s">
        <v>94</v>
      </c>
      <c r="H61" s="278"/>
    </row>
    <row r="62" spans="1:8" x14ac:dyDescent="0.25">
      <c r="A62" s="274"/>
      <c r="B62" s="281" t="s">
        <v>95</v>
      </c>
      <c r="C62" s="282"/>
      <c r="D62" s="187">
        <v>43235</v>
      </c>
      <c r="E62" s="240" t="s">
        <v>96</v>
      </c>
      <c r="F62" s="187">
        <v>43235</v>
      </c>
      <c r="G62" s="279"/>
      <c r="H62" s="280"/>
    </row>
    <row r="63" spans="1:8" x14ac:dyDescent="0.25">
      <c r="A63" s="122" t="s">
        <v>11885</v>
      </c>
      <c r="B63" s="123" t="s">
        <v>97</v>
      </c>
      <c r="C63" s="123" t="s">
        <v>98</v>
      </c>
      <c r="D63" s="123" t="s">
        <v>3</v>
      </c>
      <c r="E63" s="123" t="s">
        <v>4</v>
      </c>
      <c r="F63" s="123" t="s">
        <v>99</v>
      </c>
      <c r="G63" s="123" t="s">
        <v>100</v>
      </c>
      <c r="H63" s="124" t="s">
        <v>101</v>
      </c>
    </row>
    <row r="64" spans="1:8" ht="25.5" x14ac:dyDescent="0.25">
      <c r="A64" s="125" t="s">
        <v>398</v>
      </c>
      <c r="B64" s="115" t="s">
        <v>9</v>
      </c>
      <c r="C64" s="115">
        <v>88316</v>
      </c>
      <c r="D64" s="127" t="str">
        <f>IF(A64="COMPOSIÇÃO",VLOOKUP(C64,'SINAPI_COMPOSIÇÕES 062020'!A:B,2,FALSE),VLOOKUP(C64,'SINAPI_INSUMOS 062020'!A:B,2,FALSE))</f>
        <v>SERVENTE COM ENCARGOS COMPLEMENTARES</v>
      </c>
      <c r="E64" s="126" t="str">
        <f>IF(A64="COMPOSIÇÃO",VLOOKUP(C64,'SINAPI_COMPOSIÇÕES 062020'!A:C,3,FALSE),VLOOKUP(C64,'SINAPI_INSUMOS 062020'!A:C,3,FALSE))</f>
        <v>H</v>
      </c>
      <c r="F64" s="74">
        <v>0.25</v>
      </c>
      <c r="G64" s="128">
        <f>IF(A64="COMPOSIÇÃO",VLOOKUP(C64,'SINAPI_COMPOSIÇÕES 062020'!A:D,4,FALSE),VLOOKUP(C64,'SINAPI_INSUMOS 062020'!A:D,4,FALSE))</f>
        <v>14.37</v>
      </c>
      <c r="H64" s="75">
        <f t="shared" ref="H64" si="5">TRUNC(G64*F64,2)</f>
        <v>3.59</v>
      </c>
    </row>
    <row r="65" spans="1:8" ht="13.5" thickBot="1" x14ac:dyDescent="0.3">
      <c r="A65" s="267" t="str">
        <f>CONCATENATE("TOTAL DO ÍTEM - ",A60)</f>
        <v>TOTAL DO ÍTEM - MPMT-02242</v>
      </c>
      <c r="B65" s="268"/>
      <c r="C65" s="268"/>
      <c r="D65" s="268"/>
      <c r="E65" s="268"/>
      <c r="F65" s="268"/>
      <c r="G65" s="269"/>
      <c r="H65" s="188">
        <f>TRUNC(SUM(H64:H64),2)</f>
        <v>3.59</v>
      </c>
    </row>
    <row r="66" spans="1:8" ht="13.5" thickBot="1" x14ac:dyDescent="0.3">
      <c r="A66" s="302" t="s">
        <v>11906</v>
      </c>
      <c r="B66" s="303"/>
      <c r="C66" s="303"/>
      <c r="D66" s="303"/>
      <c r="E66" s="303"/>
      <c r="F66" s="303"/>
      <c r="G66" s="303"/>
      <c r="H66" s="304"/>
    </row>
    <row r="67" spans="1:8" ht="13.5" thickBot="1" x14ac:dyDescent="0.3"/>
    <row r="68" spans="1:8" ht="25.5" x14ac:dyDescent="0.25">
      <c r="A68" s="120" t="s">
        <v>90</v>
      </c>
      <c r="B68" s="286" t="s">
        <v>91</v>
      </c>
      <c r="C68" s="287"/>
      <c r="D68" s="287"/>
      <c r="E68" s="287"/>
      <c r="F68" s="287"/>
      <c r="G68" s="288"/>
      <c r="H68" s="121" t="s">
        <v>4</v>
      </c>
    </row>
    <row r="69" spans="1:8" ht="13.5" thickBot="1" x14ac:dyDescent="0.3">
      <c r="A69" s="113" t="s">
        <v>11907</v>
      </c>
      <c r="B69" s="289" t="s">
        <v>11908</v>
      </c>
      <c r="C69" s="290"/>
      <c r="D69" s="290"/>
      <c r="E69" s="290"/>
      <c r="F69" s="290"/>
      <c r="G69" s="291"/>
      <c r="H69" s="114" t="s">
        <v>4</v>
      </c>
    </row>
    <row r="70" spans="1:8" x14ac:dyDescent="0.25">
      <c r="A70" s="273" t="s">
        <v>13834</v>
      </c>
      <c r="B70" s="275" t="s">
        <v>92</v>
      </c>
      <c r="C70" s="276"/>
      <c r="D70" s="185" t="s">
        <v>11909</v>
      </c>
      <c r="E70" s="239" t="s">
        <v>93</v>
      </c>
      <c r="F70" s="186">
        <v>0</v>
      </c>
      <c r="G70" s="277" t="s">
        <v>94</v>
      </c>
      <c r="H70" s="278"/>
    </row>
    <row r="71" spans="1:8" x14ac:dyDescent="0.25">
      <c r="A71" s="274"/>
      <c r="B71" s="281" t="s">
        <v>95</v>
      </c>
      <c r="C71" s="282"/>
      <c r="D71" s="187">
        <v>44013</v>
      </c>
      <c r="E71" s="240" t="s">
        <v>96</v>
      </c>
      <c r="F71" s="187">
        <v>44013</v>
      </c>
      <c r="G71" s="279"/>
      <c r="H71" s="280"/>
    </row>
    <row r="72" spans="1:8" x14ac:dyDescent="0.25">
      <c r="A72" s="122" t="s">
        <v>11885</v>
      </c>
      <c r="B72" s="123" t="s">
        <v>97</v>
      </c>
      <c r="C72" s="123" t="s">
        <v>98</v>
      </c>
      <c r="D72" s="123" t="s">
        <v>3</v>
      </c>
      <c r="E72" s="123" t="s">
        <v>4</v>
      </c>
      <c r="F72" s="123" t="s">
        <v>99</v>
      </c>
      <c r="G72" s="123" t="s">
        <v>100</v>
      </c>
      <c r="H72" s="124" t="s">
        <v>101</v>
      </c>
    </row>
    <row r="73" spans="1:8" ht="25.5" x14ac:dyDescent="0.25">
      <c r="A73" s="125" t="s">
        <v>398</v>
      </c>
      <c r="B73" s="115" t="s">
        <v>9</v>
      </c>
      <c r="C73" s="115">
        <v>88267</v>
      </c>
      <c r="D73" s="127" t="str">
        <f>IF(A73="COMPOSIÇÃO",VLOOKUP(C73,'SINAPI_COMPOSIÇÕES 062020'!A:B,2,FALSE),VLOOKUP(C73,'SINAPI_INSUMOS 062020'!A:B,2,FALSE))</f>
        <v>ENCANADOR OU BOMBEIRO HIDRÁULICO COM ENCARGOS COMPLEMENTARES</v>
      </c>
      <c r="E73" s="126" t="str">
        <f>IF(A73="COMPOSIÇÃO",VLOOKUP(C73,'SINAPI_COMPOSIÇÕES 062020'!A:C,3,FALSE),VLOOKUP(C73,'SINAPI_INSUMOS 062020'!A:C,3,FALSE))</f>
        <v>H</v>
      </c>
      <c r="F73" s="74">
        <f>0.128*1.05</f>
        <v>0.13440000000000002</v>
      </c>
      <c r="G73" s="128">
        <f>IF(A73="COMPOSIÇÃO",VLOOKUP(C73,'SINAPI_COMPOSIÇÕES 062020'!A:D,4,FALSE),VLOOKUP(C73,'SINAPI_INSUMOS 062020'!A:D,4,FALSE))</f>
        <v>17.79</v>
      </c>
      <c r="H73" s="75">
        <f t="shared" ref="H73:H74" si="6">TRUNC(G73*F73,2)</f>
        <v>2.39</v>
      </c>
    </row>
    <row r="74" spans="1:8" ht="25.5" x14ac:dyDescent="0.25">
      <c r="A74" s="125" t="s">
        <v>398</v>
      </c>
      <c r="B74" s="115" t="s">
        <v>9</v>
      </c>
      <c r="C74" s="115">
        <v>88316</v>
      </c>
      <c r="D74" s="127" t="str">
        <f>IF(A74="COMPOSIÇÃO",VLOOKUP(C74,'SINAPI_COMPOSIÇÕES 062020'!A:B,2,FALSE),VLOOKUP(C74,'SINAPI_INSUMOS 062020'!A:B,2,FALSE))</f>
        <v>SERVENTE COM ENCARGOS COMPLEMENTARES</v>
      </c>
      <c r="E74" s="126" t="str">
        <f>IF(A74="COMPOSIÇÃO",VLOOKUP(C74,'SINAPI_COMPOSIÇÕES 062020'!A:C,3,FALSE),VLOOKUP(C74,'SINAPI_INSUMOS 062020'!A:C,3,FALSE))</f>
        <v>H</v>
      </c>
      <c r="F74" s="74">
        <f>0.2514*1.05</f>
        <v>0.26397000000000004</v>
      </c>
      <c r="G74" s="128">
        <f>IF(A74="COMPOSIÇÃO",VLOOKUP(C74,'SINAPI_COMPOSIÇÕES 062020'!A:D,4,FALSE),VLOOKUP(C74,'SINAPI_INSUMOS 062020'!A:D,4,FALSE))</f>
        <v>14.37</v>
      </c>
      <c r="H74" s="75">
        <f t="shared" si="6"/>
        <v>3.79</v>
      </c>
    </row>
    <row r="75" spans="1:8" ht="13.5" thickBot="1" x14ac:dyDescent="0.3">
      <c r="A75" s="267" t="str">
        <f>CONCATENATE("TOTAL DO ÍTEM - ",A69)</f>
        <v>TOTAL DO ÍTEM - MPMT-02545</v>
      </c>
      <c r="B75" s="268"/>
      <c r="C75" s="268"/>
      <c r="D75" s="268"/>
      <c r="E75" s="268"/>
      <c r="F75" s="268"/>
      <c r="G75" s="269"/>
      <c r="H75" s="188">
        <f>TRUNC(SUM(H73:H74),2)</f>
        <v>6.18</v>
      </c>
    </row>
    <row r="76" spans="1:8" ht="13.5" thickBot="1" x14ac:dyDescent="0.3">
      <c r="A76" s="302" t="s">
        <v>11910</v>
      </c>
      <c r="B76" s="303"/>
      <c r="C76" s="303"/>
      <c r="D76" s="303"/>
      <c r="E76" s="303"/>
      <c r="F76" s="303"/>
      <c r="G76" s="303"/>
      <c r="H76" s="304"/>
    </row>
    <row r="77" spans="1:8" ht="13.5" thickBot="1" x14ac:dyDescent="0.3">
      <c r="A77" s="189"/>
      <c r="B77" s="189"/>
      <c r="C77" s="189"/>
      <c r="D77" s="190"/>
      <c r="E77" s="189"/>
      <c r="F77" s="191"/>
      <c r="G77" s="191"/>
      <c r="H77" s="191"/>
    </row>
    <row r="78" spans="1:8" ht="25.5" x14ac:dyDescent="0.25">
      <c r="A78" s="120" t="s">
        <v>90</v>
      </c>
      <c r="B78" s="286" t="s">
        <v>91</v>
      </c>
      <c r="C78" s="287"/>
      <c r="D78" s="287"/>
      <c r="E78" s="287"/>
      <c r="F78" s="287"/>
      <c r="G78" s="288"/>
      <c r="H78" s="121" t="s">
        <v>4</v>
      </c>
    </row>
    <row r="79" spans="1:8" ht="13.5" thickBot="1" x14ac:dyDescent="0.3">
      <c r="A79" s="113" t="s">
        <v>11911</v>
      </c>
      <c r="B79" s="289" t="s">
        <v>11908</v>
      </c>
      <c r="C79" s="290"/>
      <c r="D79" s="290"/>
      <c r="E79" s="290"/>
      <c r="F79" s="290"/>
      <c r="G79" s="291"/>
      <c r="H79" s="114" t="s">
        <v>4</v>
      </c>
    </row>
    <row r="80" spans="1:8" x14ac:dyDescent="0.25">
      <c r="A80" s="273" t="s">
        <v>13834</v>
      </c>
      <c r="B80" s="275" t="s">
        <v>92</v>
      </c>
      <c r="C80" s="276"/>
      <c r="D80" s="185" t="s">
        <v>11912</v>
      </c>
      <c r="E80" s="239" t="s">
        <v>93</v>
      </c>
      <c r="F80" s="186">
        <v>0</v>
      </c>
      <c r="G80" s="277" t="s">
        <v>94</v>
      </c>
      <c r="H80" s="278"/>
    </row>
    <row r="81" spans="1:8" x14ac:dyDescent="0.25">
      <c r="A81" s="274"/>
      <c r="B81" s="281" t="s">
        <v>95</v>
      </c>
      <c r="C81" s="282"/>
      <c r="D81" s="187">
        <v>44013</v>
      </c>
      <c r="E81" s="240" t="s">
        <v>96</v>
      </c>
      <c r="F81" s="187">
        <v>44013</v>
      </c>
      <c r="G81" s="279"/>
      <c r="H81" s="280"/>
    </row>
    <row r="82" spans="1:8" x14ac:dyDescent="0.25">
      <c r="A82" s="122" t="s">
        <v>11885</v>
      </c>
      <c r="B82" s="123" t="s">
        <v>97</v>
      </c>
      <c r="C82" s="123" t="s">
        <v>98</v>
      </c>
      <c r="D82" s="123" t="s">
        <v>3</v>
      </c>
      <c r="E82" s="123" t="s">
        <v>4</v>
      </c>
      <c r="F82" s="123" t="s">
        <v>99</v>
      </c>
      <c r="G82" s="123" t="s">
        <v>100</v>
      </c>
      <c r="H82" s="124" t="s">
        <v>101</v>
      </c>
    </row>
    <row r="83" spans="1:8" ht="25.5" x14ac:dyDescent="0.25">
      <c r="A83" s="125" t="s">
        <v>398</v>
      </c>
      <c r="B83" s="115" t="s">
        <v>9</v>
      </c>
      <c r="C83" s="115">
        <v>88267</v>
      </c>
      <c r="D83" s="127" t="str">
        <f>IF(A83="COMPOSIÇÃO",VLOOKUP(C83,'SINAPI_COMPOSIÇÕES 062020'!A:B,2,FALSE),VLOOKUP(C83,'SINAPI_INSUMOS 062020'!A:B,2,FALSE))</f>
        <v>ENCANADOR OU BOMBEIRO HIDRÁULICO COM ENCARGOS COMPLEMENTARES</v>
      </c>
      <c r="E83" s="126" t="str">
        <f>IF(A83="COMPOSIÇÃO",VLOOKUP(C83,'SINAPI_COMPOSIÇÕES 062020'!A:C,3,FALSE),VLOOKUP(C83,'SINAPI_INSUMOS 062020'!A:C,3,FALSE))</f>
        <v>H</v>
      </c>
      <c r="F83" s="74">
        <f>0.1755*1.05</f>
        <v>0.18427499999999999</v>
      </c>
      <c r="G83" s="128">
        <f>IF(A83="COMPOSIÇÃO",VLOOKUP(C83,'SINAPI_COMPOSIÇÕES 062020'!A:D,4,FALSE),VLOOKUP(C83,'SINAPI_INSUMOS 062020'!A:D,4,FALSE))</f>
        <v>17.79</v>
      </c>
      <c r="H83" s="75">
        <f t="shared" ref="H83:H84" si="7">TRUNC(G83*F83,2)</f>
        <v>3.27</v>
      </c>
    </row>
    <row r="84" spans="1:8" ht="25.5" x14ac:dyDescent="0.25">
      <c r="A84" s="125" t="s">
        <v>398</v>
      </c>
      <c r="B84" s="115" t="s">
        <v>9</v>
      </c>
      <c r="C84" s="115">
        <v>88316</v>
      </c>
      <c r="D84" s="127" t="str">
        <f>IF(A84="COMPOSIÇÃO",VLOOKUP(C84,'SINAPI_COMPOSIÇÕES 062020'!A:B,2,FALSE),VLOOKUP(C84,'SINAPI_INSUMOS 062020'!A:B,2,FALSE))</f>
        <v>SERVENTE COM ENCARGOS COMPLEMENTARES</v>
      </c>
      <c r="E84" s="126" t="str">
        <f>IF(A84="COMPOSIÇÃO",VLOOKUP(C84,'SINAPI_COMPOSIÇÕES 062020'!A:C,3,FALSE),VLOOKUP(C84,'SINAPI_INSUMOS 062020'!A:C,3,FALSE))</f>
        <v>H</v>
      </c>
      <c r="F84" s="74">
        <f>0.3448*1.05</f>
        <v>0.36204000000000003</v>
      </c>
      <c r="G84" s="128">
        <f>IF(A84="COMPOSIÇÃO",VLOOKUP(C84,'SINAPI_COMPOSIÇÕES 062020'!A:D,4,FALSE),VLOOKUP(C84,'SINAPI_INSUMOS 062020'!A:D,4,FALSE))</f>
        <v>14.37</v>
      </c>
      <c r="H84" s="75">
        <f t="shared" si="7"/>
        <v>5.2</v>
      </c>
    </row>
    <row r="85" spans="1:8" ht="13.5" thickBot="1" x14ac:dyDescent="0.3">
      <c r="A85" s="267" t="str">
        <f>CONCATENATE("TOTAL DO ÍTEM - ",A79)</f>
        <v>TOTAL DO ÍTEM - MPMT-02546</v>
      </c>
      <c r="B85" s="268"/>
      <c r="C85" s="268"/>
      <c r="D85" s="268"/>
      <c r="E85" s="268"/>
      <c r="F85" s="268"/>
      <c r="G85" s="269"/>
      <c r="H85" s="188">
        <f>TRUNC(SUM(H83:H84),2)</f>
        <v>8.4700000000000006</v>
      </c>
    </row>
    <row r="86" spans="1:8" ht="13.5" thickBot="1" x14ac:dyDescent="0.3">
      <c r="A86" s="302" t="s">
        <v>11913</v>
      </c>
      <c r="B86" s="303"/>
      <c r="C86" s="303"/>
      <c r="D86" s="303"/>
      <c r="E86" s="303"/>
      <c r="F86" s="303"/>
      <c r="G86" s="303"/>
      <c r="H86" s="304"/>
    </row>
    <row r="87" spans="1:8" ht="13.5" thickBot="1" x14ac:dyDescent="0.3"/>
    <row r="88" spans="1:8" ht="25.5" x14ac:dyDescent="0.25">
      <c r="A88" s="120" t="s">
        <v>90</v>
      </c>
      <c r="B88" s="286" t="s">
        <v>91</v>
      </c>
      <c r="C88" s="287"/>
      <c r="D88" s="287"/>
      <c r="E88" s="287"/>
      <c r="F88" s="287"/>
      <c r="G88" s="288"/>
      <c r="H88" s="121" t="s">
        <v>4</v>
      </c>
    </row>
    <row r="89" spans="1:8" ht="13.5" thickBot="1" x14ac:dyDescent="0.3">
      <c r="A89" s="113" t="s">
        <v>11914</v>
      </c>
      <c r="B89" s="289" t="s">
        <v>11915</v>
      </c>
      <c r="C89" s="290"/>
      <c r="D89" s="290"/>
      <c r="E89" s="290"/>
      <c r="F89" s="290"/>
      <c r="G89" s="291"/>
      <c r="H89" s="114" t="s">
        <v>8</v>
      </c>
    </row>
    <row r="90" spans="1:8" x14ac:dyDescent="0.25">
      <c r="A90" s="273" t="s">
        <v>13834</v>
      </c>
      <c r="B90" s="275" t="s">
        <v>92</v>
      </c>
      <c r="C90" s="276"/>
      <c r="D90" s="185" t="s">
        <v>11916</v>
      </c>
      <c r="E90" s="239" t="s">
        <v>93</v>
      </c>
      <c r="F90" s="186">
        <v>0</v>
      </c>
      <c r="G90" s="277" t="s">
        <v>94</v>
      </c>
      <c r="H90" s="278"/>
    </row>
    <row r="91" spans="1:8" x14ac:dyDescent="0.25">
      <c r="A91" s="274"/>
      <c r="B91" s="281" t="s">
        <v>95</v>
      </c>
      <c r="C91" s="282"/>
      <c r="D91" s="187">
        <v>44013</v>
      </c>
      <c r="E91" s="240" t="s">
        <v>96</v>
      </c>
      <c r="F91" s="187">
        <v>44013</v>
      </c>
      <c r="G91" s="279"/>
      <c r="H91" s="280"/>
    </row>
    <row r="92" spans="1:8" x14ac:dyDescent="0.25">
      <c r="A92" s="122" t="s">
        <v>11885</v>
      </c>
      <c r="B92" s="123" t="s">
        <v>97</v>
      </c>
      <c r="C92" s="123" t="s">
        <v>98</v>
      </c>
      <c r="D92" s="123" t="s">
        <v>3</v>
      </c>
      <c r="E92" s="123" t="s">
        <v>4</v>
      </c>
      <c r="F92" s="123" t="s">
        <v>99</v>
      </c>
      <c r="G92" s="123" t="s">
        <v>100</v>
      </c>
      <c r="H92" s="124" t="s">
        <v>101</v>
      </c>
    </row>
    <row r="93" spans="1:8" ht="25.5" x14ac:dyDescent="0.25">
      <c r="A93" s="125" t="s">
        <v>398</v>
      </c>
      <c r="B93" s="115" t="s">
        <v>9</v>
      </c>
      <c r="C93" s="115">
        <v>88309</v>
      </c>
      <c r="D93" s="127" t="str">
        <f>IF(A93="COMPOSIÇÃO",VLOOKUP(C93,'SINAPI_COMPOSIÇÕES 062020'!A:B,2,FALSE),VLOOKUP(C93,'SINAPI_INSUMOS 062020'!A:B,2,FALSE))</f>
        <v>PEDREIRO COM ENCARGOS COMPLEMENTARES</v>
      </c>
      <c r="E93" s="126" t="str">
        <f>IF(A93="COMPOSIÇÃO",VLOOKUP(C93,'SINAPI_COMPOSIÇÕES 062020'!A:C,3,FALSE),VLOOKUP(C93,'SINAPI_INSUMOS 062020'!A:C,3,FALSE))</f>
        <v>H</v>
      </c>
      <c r="F93" s="74">
        <f>0.3643*1.05</f>
        <v>0.38251500000000005</v>
      </c>
      <c r="G93" s="128">
        <f>IF(A93="COMPOSIÇÃO",VLOOKUP(C93,'SINAPI_COMPOSIÇÕES 062020'!A:D,4,FALSE),VLOOKUP(C93,'SINAPI_INSUMOS 062020'!A:D,4,FALSE))</f>
        <v>17.760000000000002</v>
      </c>
      <c r="H93" s="75">
        <f t="shared" ref="H93:H95" si="8">TRUNC(G93*F93,2)</f>
        <v>6.79</v>
      </c>
    </row>
    <row r="94" spans="1:8" ht="25.5" x14ac:dyDescent="0.25">
      <c r="A94" s="125" t="s">
        <v>398</v>
      </c>
      <c r="B94" s="115" t="s">
        <v>9</v>
      </c>
      <c r="C94" s="115">
        <v>88316</v>
      </c>
      <c r="D94" s="127" t="str">
        <f>IF(A94="COMPOSIÇÃO",VLOOKUP(C94,'SINAPI_COMPOSIÇÕES 062020'!A:B,2,FALSE),VLOOKUP(C94,'SINAPI_INSUMOS 062020'!A:B,2,FALSE))</f>
        <v>SERVENTE COM ENCARGOS COMPLEMENTARES</v>
      </c>
      <c r="E94" s="126" t="str">
        <f>IF(A94="COMPOSIÇÃO",VLOOKUP(C94,'SINAPI_COMPOSIÇÕES 062020'!A:C,3,FALSE),VLOOKUP(C94,'SINAPI_INSUMOS 062020'!A:C,3,FALSE))</f>
        <v>H</v>
      </c>
      <c r="F94" s="74">
        <f>0.7156*1.05</f>
        <v>0.75138000000000005</v>
      </c>
      <c r="G94" s="128">
        <f>IF(A94="COMPOSIÇÃO",VLOOKUP(C94,'SINAPI_COMPOSIÇÕES 062020'!A:D,4,FALSE),VLOOKUP(C94,'SINAPI_INSUMOS 062020'!A:D,4,FALSE))</f>
        <v>14.37</v>
      </c>
      <c r="H94" s="75">
        <f t="shared" si="8"/>
        <v>10.79</v>
      </c>
    </row>
    <row r="95" spans="1:8" ht="38.25" x14ac:dyDescent="0.25">
      <c r="A95" s="125" t="s">
        <v>400</v>
      </c>
      <c r="B95" s="115" t="s">
        <v>9</v>
      </c>
      <c r="C95" s="115">
        <v>41954</v>
      </c>
      <c r="D95" s="127" t="str">
        <f>IF(A95="COMPOSIÇÃO",VLOOKUP(C95,'SINAPI_COMPOSIÇÕES 062020'!A:B,2,FALSE),VLOOKUP(C95,'SINAPI_INSUMOS 062020'!A:B,2,FALSE))</f>
        <v>CABO DE ACO GALVANIZADO, DIAMETRO 9,53 MM (3/8"), COM ALMA DE FIBRA 6 X 25 F</v>
      </c>
      <c r="E95" s="126" t="str">
        <f>IF(A95="COMPOSIÇÃO",VLOOKUP(C95,'SINAPI_COMPOSIÇÕES 062020'!A:C,3,FALSE),VLOOKUP(C95,'SINAPI_INSUMOS 062020'!A:C,3,FALSE))</f>
        <v xml:space="preserve">KG    </v>
      </c>
      <c r="F95" s="74">
        <v>9.8400000000000001E-2</v>
      </c>
      <c r="G95" s="128">
        <f>IF(A95="COMPOSIÇÃO",VLOOKUP(C95,'SINAPI_COMPOSIÇÕES 062020'!A:D,4,FALSE),VLOOKUP(C95,'SINAPI_INSUMOS 062020'!A:D,4,FALSE))</f>
        <v>41.76</v>
      </c>
      <c r="H95" s="75">
        <f t="shared" si="8"/>
        <v>4.0999999999999996</v>
      </c>
    </row>
    <row r="96" spans="1:8" ht="13.5" thickBot="1" x14ac:dyDescent="0.3">
      <c r="A96" s="267" t="str">
        <f>CONCATENATE("TOTAL DO ÍTEM - ",A89)</f>
        <v>TOTAL DO ÍTEM - MPMT-02547</v>
      </c>
      <c r="B96" s="268"/>
      <c r="C96" s="268"/>
      <c r="D96" s="268"/>
      <c r="E96" s="268"/>
      <c r="F96" s="268"/>
      <c r="G96" s="269"/>
      <c r="H96" s="188">
        <f>TRUNC(SUM(H93:H95),2)</f>
        <v>21.68</v>
      </c>
    </row>
    <row r="97" spans="1:8" ht="13.5" thickBot="1" x14ac:dyDescent="0.3">
      <c r="A97" s="302" t="s">
        <v>11917</v>
      </c>
      <c r="B97" s="303"/>
      <c r="C97" s="303"/>
      <c r="D97" s="303"/>
      <c r="E97" s="303"/>
      <c r="F97" s="303"/>
      <c r="G97" s="303"/>
      <c r="H97" s="304"/>
    </row>
    <row r="98" spans="1:8" ht="13.5" thickBot="1" x14ac:dyDescent="0.3"/>
    <row r="99" spans="1:8" ht="25.5" x14ac:dyDescent="0.25">
      <c r="A99" s="120" t="s">
        <v>90</v>
      </c>
      <c r="B99" s="286" t="s">
        <v>91</v>
      </c>
      <c r="C99" s="287"/>
      <c r="D99" s="287"/>
      <c r="E99" s="287"/>
      <c r="F99" s="287"/>
      <c r="G99" s="288"/>
      <c r="H99" s="121" t="s">
        <v>4</v>
      </c>
    </row>
    <row r="100" spans="1:8" ht="13.5" thickBot="1" x14ac:dyDescent="0.3">
      <c r="A100" s="113" t="s">
        <v>11918</v>
      </c>
      <c r="B100" s="289" t="s">
        <v>11915</v>
      </c>
      <c r="C100" s="290"/>
      <c r="D100" s="290"/>
      <c r="E100" s="290"/>
      <c r="F100" s="290"/>
      <c r="G100" s="291"/>
      <c r="H100" s="114" t="s">
        <v>8</v>
      </c>
    </row>
    <row r="101" spans="1:8" x14ac:dyDescent="0.25">
      <c r="A101" s="273" t="s">
        <v>13834</v>
      </c>
      <c r="B101" s="275" t="s">
        <v>92</v>
      </c>
      <c r="C101" s="276"/>
      <c r="D101" s="185" t="s">
        <v>11919</v>
      </c>
      <c r="E101" s="239" t="s">
        <v>93</v>
      </c>
      <c r="F101" s="186">
        <v>0</v>
      </c>
      <c r="G101" s="277" t="s">
        <v>94</v>
      </c>
      <c r="H101" s="278"/>
    </row>
    <row r="102" spans="1:8" x14ac:dyDescent="0.25">
      <c r="A102" s="274"/>
      <c r="B102" s="281" t="s">
        <v>95</v>
      </c>
      <c r="C102" s="282"/>
      <c r="D102" s="187">
        <v>44013</v>
      </c>
      <c r="E102" s="240" t="s">
        <v>96</v>
      </c>
      <c r="F102" s="187">
        <v>44013</v>
      </c>
      <c r="G102" s="279"/>
      <c r="H102" s="280"/>
    </row>
    <row r="103" spans="1:8" x14ac:dyDescent="0.25">
      <c r="A103" s="122" t="s">
        <v>11885</v>
      </c>
      <c r="B103" s="123" t="s">
        <v>97</v>
      </c>
      <c r="C103" s="123" t="s">
        <v>98</v>
      </c>
      <c r="D103" s="123" t="s">
        <v>3</v>
      </c>
      <c r="E103" s="123" t="s">
        <v>4</v>
      </c>
      <c r="F103" s="123" t="s">
        <v>99</v>
      </c>
      <c r="G103" s="123" t="s">
        <v>100</v>
      </c>
      <c r="H103" s="124" t="s">
        <v>101</v>
      </c>
    </row>
    <row r="104" spans="1:8" ht="25.5" x14ac:dyDescent="0.25">
      <c r="A104" s="125" t="s">
        <v>398</v>
      </c>
      <c r="B104" s="115" t="s">
        <v>9</v>
      </c>
      <c r="C104" s="115">
        <v>88309</v>
      </c>
      <c r="D104" s="127" t="str">
        <f>IF(A104="COMPOSIÇÃO",VLOOKUP(C104,'SINAPI_COMPOSIÇÕES 062020'!A:B,2,FALSE),VLOOKUP(C104,'SINAPI_INSUMOS 062020'!A:B,2,FALSE))</f>
        <v>PEDREIRO COM ENCARGOS COMPLEMENTARES</v>
      </c>
      <c r="E104" s="126" t="str">
        <f>IF(A104="COMPOSIÇÃO",VLOOKUP(C104,'SINAPI_COMPOSIÇÕES 062020'!A:C,3,FALSE),VLOOKUP(C104,'SINAPI_INSUMOS 062020'!A:C,3,FALSE))</f>
        <v>H</v>
      </c>
      <c r="F104" s="74">
        <f>0.1315*1.05</f>
        <v>0.138075</v>
      </c>
      <c r="G104" s="128">
        <f>IF(A104="COMPOSIÇÃO",VLOOKUP(C104,'SINAPI_COMPOSIÇÕES 062020'!A:D,4,FALSE),VLOOKUP(C104,'SINAPI_INSUMOS 062020'!A:D,4,FALSE))</f>
        <v>17.760000000000002</v>
      </c>
      <c r="H104" s="75">
        <f t="shared" ref="H104:H105" si="9">TRUNC(G104*F104,2)</f>
        <v>2.4500000000000002</v>
      </c>
    </row>
    <row r="105" spans="1:8" ht="25.5" x14ac:dyDescent="0.25">
      <c r="A105" s="125" t="s">
        <v>398</v>
      </c>
      <c r="B105" s="115" t="s">
        <v>9</v>
      </c>
      <c r="C105" s="115">
        <v>88316</v>
      </c>
      <c r="D105" s="127" t="str">
        <f>IF(A105="COMPOSIÇÃO",VLOOKUP(C105,'SINAPI_COMPOSIÇÕES 062020'!A:B,2,FALSE),VLOOKUP(C105,'SINAPI_INSUMOS 062020'!A:B,2,FALSE))</f>
        <v>SERVENTE COM ENCARGOS COMPLEMENTARES</v>
      </c>
      <c r="E105" s="126" t="str">
        <f>IF(A105="COMPOSIÇÃO",VLOOKUP(C105,'SINAPI_COMPOSIÇÕES 062020'!A:C,3,FALSE),VLOOKUP(C105,'SINAPI_INSUMOS 062020'!A:C,3,FALSE))</f>
        <v>H</v>
      </c>
      <c r="F105" s="74">
        <f>0.2582*1.05</f>
        <v>0.27111000000000002</v>
      </c>
      <c r="G105" s="128">
        <f>IF(A105="COMPOSIÇÃO",VLOOKUP(C105,'SINAPI_COMPOSIÇÕES 062020'!A:D,4,FALSE),VLOOKUP(C105,'SINAPI_INSUMOS 062020'!A:D,4,FALSE))</f>
        <v>14.37</v>
      </c>
      <c r="H105" s="75">
        <f t="shared" si="9"/>
        <v>3.89</v>
      </c>
    </row>
    <row r="106" spans="1:8" ht="13.5" thickBot="1" x14ac:dyDescent="0.3">
      <c r="A106" s="267" t="str">
        <f>CONCATENATE("TOTAL DO ÍTEM - ",A100)</f>
        <v>TOTAL DO ÍTEM - MPMT-02548</v>
      </c>
      <c r="B106" s="268"/>
      <c r="C106" s="268"/>
      <c r="D106" s="268"/>
      <c r="E106" s="268"/>
      <c r="F106" s="268"/>
      <c r="G106" s="269"/>
      <c r="H106" s="188">
        <f>TRUNC(SUM(H104:H105),2)</f>
        <v>6.34</v>
      </c>
    </row>
    <row r="107" spans="1:8" ht="13.5" thickBot="1" x14ac:dyDescent="0.3">
      <c r="A107" s="302" t="s">
        <v>11920</v>
      </c>
      <c r="B107" s="303"/>
      <c r="C107" s="303"/>
      <c r="D107" s="303"/>
      <c r="E107" s="303"/>
      <c r="F107" s="303"/>
      <c r="G107" s="303"/>
      <c r="H107" s="304"/>
    </row>
    <row r="108" spans="1:8" ht="13.5" thickBot="1" x14ac:dyDescent="0.3"/>
    <row r="109" spans="1:8" ht="25.5" x14ac:dyDescent="0.25">
      <c r="A109" s="120" t="s">
        <v>90</v>
      </c>
      <c r="B109" s="286" t="s">
        <v>91</v>
      </c>
      <c r="C109" s="287"/>
      <c r="D109" s="287"/>
      <c r="E109" s="287"/>
      <c r="F109" s="287"/>
      <c r="G109" s="288"/>
      <c r="H109" s="121" t="s">
        <v>4</v>
      </c>
    </row>
    <row r="110" spans="1:8" ht="13.5" thickBot="1" x14ac:dyDescent="0.3">
      <c r="A110" s="113" t="s">
        <v>11921</v>
      </c>
      <c r="B110" s="289" t="s">
        <v>11922</v>
      </c>
      <c r="C110" s="290"/>
      <c r="D110" s="290"/>
      <c r="E110" s="290"/>
      <c r="F110" s="290"/>
      <c r="G110" s="291"/>
      <c r="H110" s="114" t="s">
        <v>8</v>
      </c>
    </row>
    <row r="111" spans="1:8" x14ac:dyDescent="0.25">
      <c r="A111" s="273" t="s">
        <v>13834</v>
      </c>
      <c r="B111" s="275" t="s">
        <v>92</v>
      </c>
      <c r="C111" s="276"/>
      <c r="D111" s="185" t="s">
        <v>11923</v>
      </c>
      <c r="E111" s="239" t="s">
        <v>93</v>
      </c>
      <c r="F111" s="186">
        <v>0</v>
      </c>
      <c r="G111" s="277" t="s">
        <v>94</v>
      </c>
      <c r="H111" s="278"/>
    </row>
    <row r="112" spans="1:8" x14ac:dyDescent="0.25">
      <c r="A112" s="274"/>
      <c r="B112" s="281" t="s">
        <v>95</v>
      </c>
      <c r="C112" s="282"/>
      <c r="D112" s="187">
        <v>44013</v>
      </c>
      <c r="E112" s="240" t="s">
        <v>96</v>
      </c>
      <c r="F112" s="187">
        <v>44013</v>
      </c>
      <c r="G112" s="279"/>
      <c r="H112" s="280"/>
    </row>
    <row r="113" spans="1:8" x14ac:dyDescent="0.25">
      <c r="A113" s="122" t="s">
        <v>11885</v>
      </c>
      <c r="B113" s="123" t="s">
        <v>97</v>
      </c>
      <c r="C113" s="123" t="s">
        <v>98</v>
      </c>
      <c r="D113" s="123" t="s">
        <v>3</v>
      </c>
      <c r="E113" s="123" t="s">
        <v>4</v>
      </c>
      <c r="F113" s="123" t="s">
        <v>99</v>
      </c>
      <c r="G113" s="123" t="s">
        <v>100</v>
      </c>
      <c r="H113" s="124" t="s">
        <v>101</v>
      </c>
    </row>
    <row r="114" spans="1:8" ht="25.5" x14ac:dyDescent="0.25">
      <c r="A114" s="125" t="s">
        <v>398</v>
      </c>
      <c r="B114" s="115" t="s">
        <v>9</v>
      </c>
      <c r="C114" s="115">
        <v>88309</v>
      </c>
      <c r="D114" s="127" t="str">
        <f>IF(A114="COMPOSIÇÃO",VLOOKUP(C114,'SINAPI_COMPOSIÇÕES 062020'!A:B,2,FALSE),VLOOKUP(C114,'SINAPI_INSUMOS 062020'!A:B,2,FALSE))</f>
        <v>PEDREIRO COM ENCARGOS COMPLEMENTARES</v>
      </c>
      <c r="E114" s="126" t="str">
        <f>IF(A114="COMPOSIÇÃO",VLOOKUP(C114,'SINAPI_COMPOSIÇÕES 062020'!A:C,3,FALSE),VLOOKUP(C114,'SINAPI_INSUMOS 062020'!A:C,3,FALSE))</f>
        <v>H</v>
      </c>
      <c r="F114" s="74">
        <v>0.5</v>
      </c>
      <c r="G114" s="128">
        <f>IF(A114="COMPOSIÇÃO",VLOOKUP(C114,'SINAPI_COMPOSIÇÕES 062020'!A:D,4,FALSE),VLOOKUP(C114,'SINAPI_INSUMOS 062020'!A:D,4,FALSE))</f>
        <v>17.760000000000002</v>
      </c>
      <c r="H114" s="75">
        <f t="shared" ref="H114:H115" si="10">TRUNC(G114*F114,2)</f>
        <v>8.8800000000000008</v>
      </c>
    </row>
    <row r="115" spans="1:8" ht="25.5" x14ac:dyDescent="0.25">
      <c r="A115" s="125" t="s">
        <v>398</v>
      </c>
      <c r="B115" s="115" t="s">
        <v>9</v>
      </c>
      <c r="C115" s="115">
        <v>88316</v>
      </c>
      <c r="D115" s="127" t="str">
        <f>IF(A115="COMPOSIÇÃO",VLOOKUP(C115,'SINAPI_COMPOSIÇÕES 062020'!A:B,2,FALSE),VLOOKUP(C115,'SINAPI_INSUMOS 062020'!A:B,2,FALSE))</f>
        <v>SERVENTE COM ENCARGOS COMPLEMENTARES</v>
      </c>
      <c r="E115" s="126" t="str">
        <f>IF(A115="COMPOSIÇÃO",VLOOKUP(C115,'SINAPI_COMPOSIÇÕES 062020'!A:C,3,FALSE),VLOOKUP(C115,'SINAPI_INSUMOS 062020'!A:C,3,FALSE))</f>
        <v>H</v>
      </c>
      <c r="F115" s="74">
        <v>0.5</v>
      </c>
      <c r="G115" s="128">
        <f>IF(A115="COMPOSIÇÃO",VLOOKUP(C115,'SINAPI_COMPOSIÇÕES 062020'!A:D,4,FALSE),VLOOKUP(C115,'SINAPI_INSUMOS 062020'!A:D,4,FALSE))</f>
        <v>14.37</v>
      </c>
      <c r="H115" s="75">
        <f t="shared" si="10"/>
        <v>7.18</v>
      </c>
    </row>
    <row r="116" spans="1:8" ht="13.5" thickBot="1" x14ac:dyDescent="0.3">
      <c r="A116" s="267" t="str">
        <f>CONCATENATE("TOTAL DO ÍTEM - ",A110)</f>
        <v>TOTAL DO ÍTEM - MPMT-02549</v>
      </c>
      <c r="B116" s="268"/>
      <c r="C116" s="268"/>
      <c r="D116" s="268"/>
      <c r="E116" s="268"/>
      <c r="F116" s="268"/>
      <c r="G116" s="269"/>
      <c r="H116" s="188">
        <f>TRUNC(SUM(H114:H115),2)</f>
        <v>16.059999999999999</v>
      </c>
    </row>
    <row r="117" spans="1:8" ht="13.5" thickBot="1" x14ac:dyDescent="0.3">
      <c r="A117" s="302" t="s">
        <v>11924</v>
      </c>
      <c r="B117" s="303"/>
      <c r="C117" s="303"/>
      <c r="D117" s="303"/>
      <c r="E117" s="303"/>
      <c r="F117" s="303"/>
      <c r="G117" s="303"/>
      <c r="H117" s="304"/>
    </row>
    <row r="118" spans="1:8" ht="13.5" thickBot="1" x14ac:dyDescent="0.3"/>
    <row r="119" spans="1:8" ht="25.5" x14ac:dyDescent="0.25">
      <c r="A119" s="120" t="s">
        <v>90</v>
      </c>
      <c r="B119" s="286" t="s">
        <v>91</v>
      </c>
      <c r="C119" s="287"/>
      <c r="D119" s="287"/>
      <c r="E119" s="287"/>
      <c r="F119" s="287"/>
      <c r="G119" s="288"/>
      <c r="H119" s="121" t="s">
        <v>4</v>
      </c>
    </row>
    <row r="120" spans="1:8" ht="13.5" thickBot="1" x14ac:dyDescent="0.3">
      <c r="A120" s="113" t="s">
        <v>11925</v>
      </c>
      <c r="B120" s="289" t="s">
        <v>11926</v>
      </c>
      <c r="C120" s="290"/>
      <c r="D120" s="290"/>
      <c r="E120" s="290"/>
      <c r="F120" s="290"/>
      <c r="G120" s="291"/>
      <c r="H120" s="114" t="s">
        <v>4</v>
      </c>
    </row>
    <row r="121" spans="1:8" x14ac:dyDescent="0.25">
      <c r="A121" s="273" t="s">
        <v>13834</v>
      </c>
      <c r="B121" s="275" t="s">
        <v>92</v>
      </c>
      <c r="C121" s="276"/>
      <c r="D121" s="185" t="s">
        <v>11927</v>
      </c>
      <c r="E121" s="239" t="s">
        <v>93</v>
      </c>
      <c r="F121" s="186">
        <v>0</v>
      </c>
      <c r="G121" s="277" t="s">
        <v>94</v>
      </c>
      <c r="H121" s="278"/>
    </row>
    <row r="122" spans="1:8" x14ac:dyDescent="0.25">
      <c r="A122" s="274"/>
      <c r="B122" s="281" t="s">
        <v>95</v>
      </c>
      <c r="C122" s="282"/>
      <c r="D122" s="187">
        <v>43362</v>
      </c>
      <c r="E122" s="240" t="s">
        <v>96</v>
      </c>
      <c r="F122" s="187">
        <v>43362</v>
      </c>
      <c r="G122" s="279"/>
      <c r="H122" s="280"/>
    </row>
    <row r="123" spans="1:8" x14ac:dyDescent="0.25">
      <c r="A123" s="122" t="s">
        <v>11885</v>
      </c>
      <c r="B123" s="123" t="s">
        <v>97</v>
      </c>
      <c r="C123" s="123" t="s">
        <v>98</v>
      </c>
      <c r="D123" s="123" t="s">
        <v>3</v>
      </c>
      <c r="E123" s="123" t="s">
        <v>4</v>
      </c>
      <c r="F123" s="123" t="s">
        <v>99</v>
      </c>
      <c r="G123" s="123" t="s">
        <v>100</v>
      </c>
      <c r="H123" s="124" t="s">
        <v>101</v>
      </c>
    </row>
    <row r="124" spans="1:8" ht="25.5" x14ac:dyDescent="0.25">
      <c r="A124" s="125" t="s">
        <v>398</v>
      </c>
      <c r="B124" s="115" t="s">
        <v>9</v>
      </c>
      <c r="C124" s="115">
        <v>88264</v>
      </c>
      <c r="D124" s="127" t="str">
        <f>IF(A124="COMPOSIÇÃO",VLOOKUP(C124,'SINAPI_COMPOSIÇÕES 062020'!A:B,2,FALSE),VLOOKUP(C124,'SINAPI_INSUMOS 062020'!A:B,2,FALSE))</f>
        <v>ELETRICISTA COM ENCARGOS COMPLEMENTARES</v>
      </c>
      <c r="E124" s="126" t="str">
        <f>IF(A124="COMPOSIÇÃO",VLOOKUP(C124,'SINAPI_COMPOSIÇÕES 062020'!A:C,3,FALSE),VLOOKUP(C124,'SINAPI_INSUMOS 062020'!A:C,3,FALSE))</f>
        <v>H</v>
      </c>
      <c r="F124" s="74">
        <v>1.5</v>
      </c>
      <c r="G124" s="128">
        <f>IF(A124="COMPOSIÇÃO",VLOOKUP(C124,'SINAPI_COMPOSIÇÕES 062020'!A:D,4,FALSE),VLOOKUP(C124,'SINAPI_INSUMOS 062020'!A:D,4,FALSE))</f>
        <v>18.38</v>
      </c>
      <c r="H124" s="75">
        <f t="shared" ref="H124:H125" si="11">TRUNC(G124*F124,2)</f>
        <v>27.57</v>
      </c>
    </row>
    <row r="125" spans="1:8" ht="25.5" x14ac:dyDescent="0.25">
      <c r="A125" s="125" t="s">
        <v>398</v>
      </c>
      <c r="B125" s="115" t="s">
        <v>9</v>
      </c>
      <c r="C125" s="115">
        <v>88316</v>
      </c>
      <c r="D125" s="127" t="str">
        <f>IF(A125="COMPOSIÇÃO",VLOOKUP(C125,'SINAPI_COMPOSIÇÕES 062020'!A:B,2,FALSE),VLOOKUP(C125,'SINAPI_INSUMOS 062020'!A:B,2,FALSE))</f>
        <v>SERVENTE COM ENCARGOS COMPLEMENTARES</v>
      </c>
      <c r="E125" s="126" t="str">
        <f>IF(A125="COMPOSIÇÃO",VLOOKUP(C125,'SINAPI_COMPOSIÇÕES 062020'!A:C,3,FALSE),VLOOKUP(C125,'SINAPI_INSUMOS 062020'!A:C,3,FALSE))</f>
        <v>H</v>
      </c>
      <c r="F125" s="74">
        <v>1.5</v>
      </c>
      <c r="G125" s="128">
        <f>IF(A125="COMPOSIÇÃO",VLOOKUP(C125,'SINAPI_COMPOSIÇÕES 062020'!A:D,4,FALSE),VLOOKUP(C125,'SINAPI_INSUMOS 062020'!A:D,4,FALSE))</f>
        <v>14.37</v>
      </c>
      <c r="H125" s="75">
        <f t="shared" si="11"/>
        <v>21.55</v>
      </c>
    </row>
    <row r="126" spans="1:8" ht="13.5" thickBot="1" x14ac:dyDescent="0.3">
      <c r="A126" s="267" t="str">
        <f>CONCATENATE("TOTAL DO ÍTEM - ",A120)</f>
        <v>TOTAL DO ÍTEM - MPMT-02550</v>
      </c>
      <c r="B126" s="268"/>
      <c r="C126" s="268"/>
      <c r="D126" s="268"/>
      <c r="E126" s="268"/>
      <c r="F126" s="268"/>
      <c r="G126" s="269"/>
      <c r="H126" s="188">
        <f>TRUNC(SUM(H124:H125),2)</f>
        <v>49.12</v>
      </c>
    </row>
    <row r="127" spans="1:8" ht="13.5" thickBot="1" x14ac:dyDescent="0.3">
      <c r="A127" s="270" t="s">
        <v>11928</v>
      </c>
      <c r="B127" s="271"/>
      <c r="C127" s="271"/>
      <c r="D127" s="271"/>
      <c r="E127" s="271"/>
      <c r="F127" s="271"/>
      <c r="G127" s="271"/>
      <c r="H127" s="272"/>
    </row>
    <row r="128" spans="1:8" ht="13.5" thickBot="1" x14ac:dyDescent="0.3"/>
    <row r="129" spans="1:8" ht="25.5" x14ac:dyDescent="0.25">
      <c r="A129" s="120" t="s">
        <v>90</v>
      </c>
      <c r="B129" s="286" t="s">
        <v>91</v>
      </c>
      <c r="C129" s="287"/>
      <c r="D129" s="287"/>
      <c r="E129" s="287"/>
      <c r="F129" s="287"/>
      <c r="G129" s="288"/>
      <c r="H129" s="121" t="s">
        <v>4</v>
      </c>
    </row>
    <row r="130" spans="1:8" ht="13.5" thickBot="1" x14ac:dyDescent="0.3">
      <c r="A130" s="113" t="s">
        <v>11929</v>
      </c>
      <c r="B130" s="289" t="s">
        <v>11930</v>
      </c>
      <c r="C130" s="290"/>
      <c r="D130" s="290"/>
      <c r="E130" s="290"/>
      <c r="F130" s="290"/>
      <c r="G130" s="291"/>
      <c r="H130" s="114" t="s">
        <v>8</v>
      </c>
    </row>
    <row r="131" spans="1:8" x14ac:dyDescent="0.25">
      <c r="A131" s="273" t="s">
        <v>13834</v>
      </c>
      <c r="B131" s="275" t="s">
        <v>92</v>
      </c>
      <c r="C131" s="276"/>
      <c r="D131" s="185" t="s">
        <v>11931</v>
      </c>
      <c r="E131" s="239" t="s">
        <v>93</v>
      </c>
      <c r="F131" s="186">
        <v>0</v>
      </c>
      <c r="G131" s="277" t="s">
        <v>94</v>
      </c>
      <c r="H131" s="278"/>
    </row>
    <row r="132" spans="1:8" x14ac:dyDescent="0.25">
      <c r="A132" s="274"/>
      <c r="B132" s="281" t="s">
        <v>95</v>
      </c>
      <c r="C132" s="282"/>
      <c r="D132" s="187">
        <v>42831</v>
      </c>
      <c r="E132" s="240" t="s">
        <v>96</v>
      </c>
      <c r="F132" s="187">
        <v>42831</v>
      </c>
      <c r="G132" s="279"/>
      <c r="H132" s="280"/>
    </row>
    <row r="133" spans="1:8" x14ac:dyDescent="0.25">
      <c r="A133" s="122" t="s">
        <v>11885</v>
      </c>
      <c r="B133" s="123" t="s">
        <v>97</v>
      </c>
      <c r="C133" s="123" t="s">
        <v>98</v>
      </c>
      <c r="D133" s="123" t="s">
        <v>3</v>
      </c>
      <c r="E133" s="123" t="s">
        <v>4</v>
      </c>
      <c r="F133" s="123" t="s">
        <v>99</v>
      </c>
      <c r="G133" s="123" t="s">
        <v>100</v>
      </c>
      <c r="H133" s="124" t="s">
        <v>101</v>
      </c>
    </row>
    <row r="134" spans="1:8" ht="25.5" x14ac:dyDescent="0.25">
      <c r="A134" s="125" t="s">
        <v>398</v>
      </c>
      <c r="B134" s="115" t="s">
        <v>9</v>
      </c>
      <c r="C134" s="115">
        <v>88317</v>
      </c>
      <c r="D134" s="127" t="str">
        <f>IF(A134="COMPOSIÇÃO",VLOOKUP(C134,'SINAPI_COMPOSIÇÕES 062020'!A:B,2,FALSE),VLOOKUP(C134,'SINAPI_INSUMOS 062020'!A:B,2,FALSE))</f>
        <v>SOLDADOR COM ENCARGOS COMPLEMENTARES</v>
      </c>
      <c r="E134" s="126" t="str">
        <f>IF(A134="COMPOSIÇÃO",VLOOKUP(C134,'SINAPI_COMPOSIÇÕES 062020'!A:C,3,FALSE),VLOOKUP(C134,'SINAPI_INSUMOS 062020'!A:C,3,FALSE))</f>
        <v>H</v>
      </c>
      <c r="F134" s="74">
        <v>0.3</v>
      </c>
      <c r="G134" s="128">
        <f>IF(A134="COMPOSIÇÃO",VLOOKUP(C134,'SINAPI_COMPOSIÇÕES 062020'!A:D,4,FALSE),VLOOKUP(C134,'SINAPI_INSUMOS 062020'!A:D,4,FALSE))</f>
        <v>17.98</v>
      </c>
      <c r="H134" s="75">
        <f t="shared" ref="H134:H135" si="12">TRUNC(G134*F134,2)</f>
        <v>5.39</v>
      </c>
    </row>
    <row r="135" spans="1:8" ht="25.5" x14ac:dyDescent="0.25">
      <c r="A135" s="125" t="s">
        <v>398</v>
      </c>
      <c r="B135" s="115" t="s">
        <v>9</v>
      </c>
      <c r="C135" s="115">
        <v>88316</v>
      </c>
      <c r="D135" s="127" t="str">
        <f>IF(A135="COMPOSIÇÃO",VLOOKUP(C135,'SINAPI_COMPOSIÇÕES 062020'!A:B,2,FALSE),VLOOKUP(C135,'SINAPI_INSUMOS 062020'!A:B,2,FALSE))</f>
        <v>SERVENTE COM ENCARGOS COMPLEMENTARES</v>
      </c>
      <c r="E135" s="126" t="str">
        <f>IF(A135="COMPOSIÇÃO",VLOOKUP(C135,'SINAPI_COMPOSIÇÕES 062020'!A:C,3,FALSE),VLOOKUP(C135,'SINAPI_INSUMOS 062020'!A:C,3,FALSE))</f>
        <v>H</v>
      </c>
      <c r="F135" s="74">
        <v>1.5</v>
      </c>
      <c r="G135" s="128">
        <f>IF(A135="COMPOSIÇÃO",VLOOKUP(C135,'SINAPI_COMPOSIÇÕES 062020'!A:D,4,FALSE),VLOOKUP(C135,'SINAPI_INSUMOS 062020'!A:D,4,FALSE))</f>
        <v>14.37</v>
      </c>
      <c r="H135" s="75">
        <f t="shared" si="12"/>
        <v>21.55</v>
      </c>
    </row>
    <row r="136" spans="1:8" ht="13.5" thickBot="1" x14ac:dyDescent="0.3">
      <c r="A136" s="267" t="str">
        <f>CONCATENATE("TOTAL DO ÍTEM - ",A130)</f>
        <v>TOTAL DO ÍTEM - MPMT-02010</v>
      </c>
      <c r="B136" s="268"/>
      <c r="C136" s="268"/>
      <c r="D136" s="268"/>
      <c r="E136" s="268"/>
      <c r="F136" s="268"/>
      <c r="G136" s="269"/>
      <c r="H136" s="188">
        <f>TRUNC(SUM(H134:H135),2)</f>
        <v>26.94</v>
      </c>
    </row>
    <row r="137" spans="1:8" ht="13.5" thickBot="1" x14ac:dyDescent="0.3">
      <c r="A137" s="270" t="s">
        <v>11932</v>
      </c>
      <c r="B137" s="271"/>
      <c r="C137" s="271"/>
      <c r="D137" s="271"/>
      <c r="E137" s="271"/>
      <c r="F137" s="271"/>
      <c r="G137" s="271"/>
      <c r="H137" s="272"/>
    </row>
    <row r="138" spans="1:8" ht="13.5" thickBot="1" x14ac:dyDescent="0.3"/>
    <row r="139" spans="1:8" ht="25.5" x14ac:dyDescent="0.25">
      <c r="A139" s="120" t="s">
        <v>90</v>
      </c>
      <c r="B139" s="286" t="s">
        <v>91</v>
      </c>
      <c r="C139" s="287"/>
      <c r="D139" s="287"/>
      <c r="E139" s="287"/>
      <c r="F139" s="287"/>
      <c r="G139" s="288"/>
      <c r="H139" s="121" t="s">
        <v>4</v>
      </c>
    </row>
    <row r="140" spans="1:8" ht="13.5" thickBot="1" x14ac:dyDescent="0.3">
      <c r="A140" s="113" t="s">
        <v>11941</v>
      </c>
      <c r="B140" s="289" t="s">
        <v>11942</v>
      </c>
      <c r="C140" s="290"/>
      <c r="D140" s="290"/>
      <c r="E140" s="290"/>
      <c r="F140" s="290"/>
      <c r="G140" s="291"/>
      <c r="H140" s="114" t="s">
        <v>13</v>
      </c>
    </row>
    <row r="141" spans="1:8" x14ac:dyDescent="0.25">
      <c r="A141" s="273" t="s">
        <v>13834</v>
      </c>
      <c r="B141" s="275" t="s">
        <v>92</v>
      </c>
      <c r="C141" s="276"/>
      <c r="D141" s="185" t="s">
        <v>11943</v>
      </c>
      <c r="E141" s="239" t="s">
        <v>93</v>
      </c>
      <c r="F141" s="186">
        <v>0</v>
      </c>
      <c r="G141" s="277" t="s">
        <v>94</v>
      </c>
      <c r="H141" s="278"/>
    </row>
    <row r="142" spans="1:8" x14ac:dyDescent="0.25">
      <c r="A142" s="274"/>
      <c r="B142" s="281" t="s">
        <v>95</v>
      </c>
      <c r="C142" s="282"/>
      <c r="D142" s="187">
        <v>42980</v>
      </c>
      <c r="E142" s="240" t="s">
        <v>96</v>
      </c>
      <c r="F142" s="187">
        <v>42980</v>
      </c>
      <c r="G142" s="279"/>
      <c r="H142" s="280"/>
    </row>
    <row r="143" spans="1:8" x14ac:dyDescent="0.25">
      <c r="A143" s="122" t="s">
        <v>11885</v>
      </c>
      <c r="B143" s="123" t="s">
        <v>97</v>
      </c>
      <c r="C143" s="123" t="s">
        <v>98</v>
      </c>
      <c r="D143" s="123" t="s">
        <v>3</v>
      </c>
      <c r="E143" s="123" t="s">
        <v>4</v>
      </c>
      <c r="F143" s="123" t="s">
        <v>99</v>
      </c>
      <c r="G143" s="123" t="s">
        <v>100</v>
      </c>
      <c r="H143" s="124" t="s">
        <v>101</v>
      </c>
    </row>
    <row r="144" spans="1:8" ht="25.5" x14ac:dyDescent="0.25">
      <c r="A144" s="125" t="s">
        <v>398</v>
      </c>
      <c r="B144" s="115" t="s">
        <v>9</v>
      </c>
      <c r="C144" s="115">
        <v>88262</v>
      </c>
      <c r="D144" s="127" t="str">
        <f>IF(A144="COMPOSIÇÃO",VLOOKUP(C144,'SINAPI_COMPOSIÇÕES 062020'!A:B,2,FALSE),VLOOKUP(C144,'SINAPI_INSUMOS 062020'!A:B,2,FALSE))</f>
        <v>CARPINTEIRO DE FORMAS COM ENCARGOS COMPLEMENTARES</v>
      </c>
      <c r="E144" s="126" t="str">
        <f>IF(A144="COMPOSIÇÃO",VLOOKUP(C144,'SINAPI_COMPOSIÇÕES 062020'!A:C,3,FALSE),VLOOKUP(C144,'SINAPI_INSUMOS 062020'!A:C,3,FALSE))</f>
        <v>H</v>
      </c>
      <c r="F144" s="74">
        <v>0.19900000000000001</v>
      </c>
      <c r="G144" s="128">
        <f>IF(A144="COMPOSIÇÃO",VLOOKUP(C144,'SINAPI_COMPOSIÇÕES 062020'!A:D,4,FALSE),VLOOKUP(C144,'SINAPI_INSUMOS 062020'!A:D,4,FALSE))</f>
        <v>17.64</v>
      </c>
      <c r="H144" s="75">
        <f t="shared" ref="H144:H149" si="13">TRUNC(G144*F144,2)</f>
        <v>3.51</v>
      </c>
    </row>
    <row r="145" spans="1:8" ht="25.5" x14ac:dyDescent="0.25">
      <c r="A145" s="125" t="s">
        <v>398</v>
      </c>
      <c r="B145" s="115" t="s">
        <v>9</v>
      </c>
      <c r="C145" s="115">
        <v>88309</v>
      </c>
      <c r="D145" s="127" t="str">
        <f>IF(A145="COMPOSIÇÃO",VLOOKUP(C145,'SINAPI_COMPOSIÇÕES 062020'!A:B,2,FALSE),VLOOKUP(C145,'SINAPI_INSUMOS 062020'!A:B,2,FALSE))</f>
        <v>PEDREIRO COM ENCARGOS COMPLEMENTARES</v>
      </c>
      <c r="E145" s="126" t="str">
        <f>IF(A145="COMPOSIÇÃO",VLOOKUP(C145,'SINAPI_COMPOSIÇÕES 062020'!A:C,3,FALSE),VLOOKUP(C145,'SINAPI_INSUMOS 062020'!A:C,3,FALSE))</f>
        <v>H</v>
      </c>
      <c r="F145" s="74">
        <v>0.19900000000000001</v>
      </c>
      <c r="G145" s="128">
        <f>IF(A145="COMPOSIÇÃO",VLOOKUP(C145,'SINAPI_COMPOSIÇÕES 062020'!A:D,4,FALSE),VLOOKUP(C145,'SINAPI_INSUMOS 062020'!A:D,4,FALSE))</f>
        <v>17.760000000000002</v>
      </c>
      <c r="H145" s="75">
        <f t="shared" si="13"/>
        <v>3.53</v>
      </c>
    </row>
    <row r="146" spans="1:8" ht="25.5" x14ac:dyDescent="0.25">
      <c r="A146" s="125" t="s">
        <v>398</v>
      </c>
      <c r="B146" s="115" t="s">
        <v>9</v>
      </c>
      <c r="C146" s="115">
        <v>88316</v>
      </c>
      <c r="D146" s="127" t="str">
        <f>IF(A146="COMPOSIÇÃO",VLOOKUP(C146,'SINAPI_COMPOSIÇÕES 062020'!A:B,2,FALSE),VLOOKUP(C146,'SINAPI_INSUMOS 062020'!A:B,2,FALSE))</f>
        <v>SERVENTE COM ENCARGOS COMPLEMENTARES</v>
      </c>
      <c r="E146" s="126" t="str">
        <f>IF(A146="COMPOSIÇÃO",VLOOKUP(C146,'SINAPI_COMPOSIÇÕES 062020'!A:C,3,FALSE),VLOOKUP(C146,'SINAPI_INSUMOS 062020'!A:C,3,FALSE))</f>
        <v>H</v>
      </c>
      <c r="F146" s="74">
        <v>1.1919999999999999</v>
      </c>
      <c r="G146" s="128">
        <f>IF(A146="COMPOSIÇÃO",VLOOKUP(C146,'SINAPI_COMPOSIÇÕES 062020'!A:D,4,FALSE),VLOOKUP(C146,'SINAPI_INSUMOS 062020'!A:D,4,FALSE))</f>
        <v>14.37</v>
      </c>
      <c r="H146" s="75">
        <f t="shared" si="13"/>
        <v>17.12</v>
      </c>
    </row>
    <row r="147" spans="1:8" ht="51" x14ac:dyDescent="0.25">
      <c r="A147" s="125" t="s">
        <v>398</v>
      </c>
      <c r="B147" s="115" t="s">
        <v>9</v>
      </c>
      <c r="C147" s="115">
        <v>90586</v>
      </c>
      <c r="D147" s="127" t="str">
        <f>IF(A147="COMPOSIÇÃO",VLOOKUP(C147,'SINAPI_COMPOSIÇÕES 062020'!A:B,2,FALSE),VLOOKUP(C147,'SINAPI_INSUMOS 062020'!A:B,2,FALSE))</f>
        <v>VIBRADOR DE IMERSÃO, DIÂMETRO DE PONTEIRA 45MM, MOTOR ELÉTRICO TRIFÁSICO POTÊNCIA DE 2 CV - CHP DIURNO. AF_06/2015</v>
      </c>
      <c r="E147" s="126" t="str">
        <f>IF(A147="COMPOSIÇÃO",VLOOKUP(C147,'SINAPI_COMPOSIÇÕES 062020'!A:C,3,FALSE),VLOOKUP(C147,'SINAPI_INSUMOS 062020'!A:C,3,FALSE))</f>
        <v>CHP</v>
      </c>
      <c r="F147" s="74">
        <v>6.8000000000000005E-2</v>
      </c>
      <c r="G147" s="128">
        <f>IF(A147="COMPOSIÇÃO",VLOOKUP(C147,'SINAPI_COMPOSIÇÕES 062020'!A:D,4,FALSE),VLOOKUP(C147,'SINAPI_INSUMOS 062020'!A:D,4,FALSE))</f>
        <v>1.59</v>
      </c>
      <c r="H147" s="75">
        <f t="shared" si="13"/>
        <v>0.1</v>
      </c>
    </row>
    <row r="148" spans="1:8" ht="51" x14ac:dyDescent="0.25">
      <c r="A148" s="125" t="s">
        <v>398</v>
      </c>
      <c r="B148" s="115" t="s">
        <v>9</v>
      </c>
      <c r="C148" s="115">
        <v>90587</v>
      </c>
      <c r="D148" s="127" t="str">
        <f>IF(A148="COMPOSIÇÃO",VLOOKUP(C148,'SINAPI_COMPOSIÇÕES 062020'!A:B,2,FALSE),VLOOKUP(C148,'SINAPI_INSUMOS 062020'!A:B,2,FALSE))</f>
        <v>VIBRADOR DE IMERSÃO, DIÂMETRO DE PONTEIRA 45MM, MOTOR ELÉTRICO TRIFÁSICO POTÊNCIA DE 2 CV - CHI DIURNO. AF_06/2015</v>
      </c>
      <c r="E148" s="126" t="str">
        <f>IF(A148="COMPOSIÇÃO",VLOOKUP(C148,'SINAPI_COMPOSIÇÕES 062020'!A:C,3,FALSE),VLOOKUP(C148,'SINAPI_INSUMOS 062020'!A:C,3,FALSE))</f>
        <v>CHI</v>
      </c>
      <c r="F148" s="74">
        <v>0.13100000000000001</v>
      </c>
      <c r="G148" s="128">
        <f>IF(A148="COMPOSIÇÃO",VLOOKUP(C148,'SINAPI_COMPOSIÇÕES 062020'!A:D,4,FALSE),VLOOKUP(C148,'SINAPI_INSUMOS 062020'!A:D,4,FALSE))</f>
        <v>0.34</v>
      </c>
      <c r="H148" s="75">
        <f t="shared" si="13"/>
        <v>0.04</v>
      </c>
    </row>
    <row r="149" spans="1:8" ht="51" x14ac:dyDescent="0.25">
      <c r="A149" s="125" t="s">
        <v>400</v>
      </c>
      <c r="B149" s="115" t="s">
        <v>9</v>
      </c>
      <c r="C149" s="115">
        <v>1525</v>
      </c>
      <c r="D149" s="127" t="str">
        <f>IF(A149="COMPOSIÇÃO",VLOOKUP(C149,'SINAPI_COMPOSIÇÕES 062020'!A:B,2,FALSE),VLOOKUP(C149,'SINAPI_INSUMOS 062020'!A:B,2,FALSE))</f>
        <v>CONCRETO USINADO BOMBEAVEL, CLASSE DE RESISTENCIA C30, COM BRITA 0 E 1, SLUMP = 100 +/- 20 MM, INCLUI SERVICO DE BOMBEAMENTO (NBR 8953)</v>
      </c>
      <c r="E149" s="126" t="str">
        <f>IF(A149="COMPOSIÇÃO",VLOOKUP(C149,'SINAPI_COMPOSIÇÕES 062020'!A:C,3,FALSE),VLOOKUP(C149,'SINAPI_INSUMOS 062020'!A:C,3,FALSE))</f>
        <v xml:space="preserve">M3    </v>
      </c>
      <c r="F149" s="74">
        <v>1.103</v>
      </c>
      <c r="G149" s="128">
        <f>IF(A149="COMPOSIÇÃO",VLOOKUP(C149,'SINAPI_COMPOSIÇÕES 062020'!A:D,4,FALSE),VLOOKUP(C149,'SINAPI_INSUMOS 062020'!A:D,4,FALSE))</f>
        <v>421.14</v>
      </c>
      <c r="H149" s="75">
        <f t="shared" si="13"/>
        <v>464.51</v>
      </c>
    </row>
    <row r="150" spans="1:8" ht="13.5" thickBot="1" x14ac:dyDescent="0.3">
      <c r="A150" s="267" t="str">
        <f>CONCATENATE("TOTAL DO ÍTEM - ",A140)</f>
        <v>TOTAL DO ÍTEM - MPMT-02202</v>
      </c>
      <c r="B150" s="268"/>
      <c r="C150" s="268"/>
      <c r="D150" s="268"/>
      <c r="E150" s="268"/>
      <c r="F150" s="268"/>
      <c r="G150" s="269"/>
      <c r="H150" s="188">
        <f>TRUNC(SUM(H144:H149),2)</f>
        <v>488.81</v>
      </c>
    </row>
    <row r="151" spans="1:8" ht="13.5" thickBot="1" x14ac:dyDescent="0.3">
      <c r="A151" s="302" t="s">
        <v>11944</v>
      </c>
      <c r="B151" s="303"/>
      <c r="C151" s="303"/>
      <c r="D151" s="303"/>
      <c r="E151" s="303"/>
      <c r="F151" s="303"/>
      <c r="G151" s="303"/>
      <c r="H151" s="304"/>
    </row>
    <row r="152" spans="1:8" ht="13.5" thickBot="1" x14ac:dyDescent="0.3"/>
    <row r="153" spans="1:8" ht="25.5" x14ac:dyDescent="0.25">
      <c r="A153" s="120" t="s">
        <v>90</v>
      </c>
      <c r="B153" s="286" t="s">
        <v>91</v>
      </c>
      <c r="C153" s="287"/>
      <c r="D153" s="287"/>
      <c r="E153" s="287"/>
      <c r="F153" s="287"/>
      <c r="G153" s="288"/>
      <c r="H153" s="121" t="s">
        <v>4</v>
      </c>
    </row>
    <row r="154" spans="1:8" ht="13.5" thickBot="1" x14ac:dyDescent="0.3">
      <c r="A154" s="113" t="s">
        <v>11945</v>
      </c>
      <c r="B154" s="289" t="s">
        <v>11946</v>
      </c>
      <c r="C154" s="290"/>
      <c r="D154" s="290"/>
      <c r="E154" s="290"/>
      <c r="F154" s="290"/>
      <c r="G154" s="291"/>
      <c r="H154" s="114" t="s">
        <v>13</v>
      </c>
    </row>
    <row r="155" spans="1:8" x14ac:dyDescent="0.25">
      <c r="A155" s="273" t="s">
        <v>13834</v>
      </c>
      <c r="B155" s="275" t="s">
        <v>92</v>
      </c>
      <c r="C155" s="276"/>
      <c r="D155" s="185" t="s">
        <v>11947</v>
      </c>
      <c r="E155" s="239" t="s">
        <v>93</v>
      </c>
      <c r="F155" s="186">
        <v>0</v>
      </c>
      <c r="G155" s="277" t="s">
        <v>94</v>
      </c>
      <c r="H155" s="278"/>
    </row>
    <row r="156" spans="1:8" x14ac:dyDescent="0.25">
      <c r="A156" s="274"/>
      <c r="B156" s="281" t="s">
        <v>95</v>
      </c>
      <c r="C156" s="282"/>
      <c r="D156" s="187">
        <v>42980</v>
      </c>
      <c r="E156" s="240" t="s">
        <v>96</v>
      </c>
      <c r="F156" s="187">
        <v>42980</v>
      </c>
      <c r="G156" s="279"/>
      <c r="H156" s="280"/>
    </row>
    <row r="157" spans="1:8" x14ac:dyDescent="0.25">
      <c r="A157" s="122" t="s">
        <v>11885</v>
      </c>
      <c r="B157" s="123" t="s">
        <v>97</v>
      </c>
      <c r="C157" s="123" t="s">
        <v>98</v>
      </c>
      <c r="D157" s="123" t="s">
        <v>3</v>
      </c>
      <c r="E157" s="123" t="s">
        <v>4</v>
      </c>
      <c r="F157" s="123" t="s">
        <v>99</v>
      </c>
      <c r="G157" s="123" t="s">
        <v>100</v>
      </c>
      <c r="H157" s="124" t="s">
        <v>101</v>
      </c>
    </row>
    <row r="158" spans="1:8" ht="25.5" x14ac:dyDescent="0.25">
      <c r="A158" s="125" t="s">
        <v>398</v>
      </c>
      <c r="B158" s="115" t="s">
        <v>9</v>
      </c>
      <c r="C158" s="115">
        <v>88262</v>
      </c>
      <c r="D158" s="127" t="str">
        <f>IF(A158="COMPOSIÇÃO",VLOOKUP(C158,'SINAPI_COMPOSIÇÕES 062020'!A:B,2,FALSE),VLOOKUP(C158,'SINAPI_INSUMOS 062020'!A:B,2,FALSE))</f>
        <v>CARPINTEIRO DE FORMAS COM ENCARGOS COMPLEMENTARES</v>
      </c>
      <c r="E158" s="126" t="str">
        <f>IF(A158="COMPOSIÇÃO",VLOOKUP(C158,'SINAPI_COMPOSIÇÕES 062020'!A:C,3,FALSE),VLOOKUP(C158,'SINAPI_INSUMOS 062020'!A:C,3,FALSE))</f>
        <v>H</v>
      </c>
      <c r="F158" s="74">
        <v>8.5000000000000006E-2</v>
      </c>
      <c r="G158" s="128">
        <f>IF(A158="COMPOSIÇÃO",VLOOKUP(C158,'SINAPI_COMPOSIÇÕES 062020'!A:D,4,FALSE),VLOOKUP(C158,'SINAPI_INSUMOS 062020'!A:D,4,FALSE))</f>
        <v>17.64</v>
      </c>
      <c r="H158" s="75">
        <f t="shared" ref="H158:H163" si="14">TRUNC(G158*F158,2)</f>
        <v>1.49</v>
      </c>
    </row>
    <row r="159" spans="1:8" ht="25.5" x14ac:dyDescent="0.25">
      <c r="A159" s="125" t="s">
        <v>398</v>
      </c>
      <c r="B159" s="115" t="s">
        <v>9</v>
      </c>
      <c r="C159" s="115">
        <v>88309</v>
      </c>
      <c r="D159" s="127" t="str">
        <f>IF(A159="COMPOSIÇÃO",VLOOKUP(C159,'SINAPI_COMPOSIÇÕES 062020'!A:B,2,FALSE),VLOOKUP(C159,'SINAPI_INSUMOS 062020'!A:B,2,FALSE))</f>
        <v>PEDREIRO COM ENCARGOS COMPLEMENTARES</v>
      </c>
      <c r="E159" s="126" t="str">
        <f>IF(A159="COMPOSIÇÃO",VLOOKUP(C159,'SINAPI_COMPOSIÇÕES 062020'!A:C,3,FALSE),VLOOKUP(C159,'SINAPI_INSUMOS 062020'!A:C,3,FALSE))</f>
        <v>H</v>
      </c>
      <c r="F159" s="74">
        <v>0.51200000000000001</v>
      </c>
      <c r="G159" s="128">
        <f>IF(A159="COMPOSIÇÃO",VLOOKUP(C159,'SINAPI_COMPOSIÇÕES 062020'!A:D,4,FALSE),VLOOKUP(C159,'SINAPI_INSUMOS 062020'!A:D,4,FALSE))</f>
        <v>17.760000000000002</v>
      </c>
      <c r="H159" s="75">
        <f t="shared" si="14"/>
        <v>9.09</v>
      </c>
    </row>
    <row r="160" spans="1:8" ht="25.5" x14ac:dyDescent="0.25">
      <c r="A160" s="125" t="s">
        <v>398</v>
      </c>
      <c r="B160" s="115" t="s">
        <v>9</v>
      </c>
      <c r="C160" s="115">
        <v>88316</v>
      </c>
      <c r="D160" s="127" t="str">
        <f>IF(A160="COMPOSIÇÃO",VLOOKUP(C160,'SINAPI_COMPOSIÇÕES 062020'!A:B,2,FALSE),VLOOKUP(C160,'SINAPI_INSUMOS 062020'!A:B,2,FALSE))</f>
        <v>SERVENTE COM ENCARGOS COMPLEMENTARES</v>
      </c>
      <c r="E160" s="126" t="str">
        <f>IF(A160="COMPOSIÇÃO",VLOOKUP(C160,'SINAPI_COMPOSIÇÕES 062020'!A:C,3,FALSE),VLOOKUP(C160,'SINAPI_INSUMOS 062020'!A:C,3,FALSE))</f>
        <v>H</v>
      </c>
      <c r="F160" s="74">
        <v>0.58599999999999997</v>
      </c>
      <c r="G160" s="128">
        <f>IF(A160="COMPOSIÇÃO",VLOOKUP(C160,'SINAPI_COMPOSIÇÕES 062020'!A:D,4,FALSE),VLOOKUP(C160,'SINAPI_INSUMOS 062020'!A:D,4,FALSE))</f>
        <v>14.37</v>
      </c>
      <c r="H160" s="75">
        <f t="shared" si="14"/>
        <v>8.42</v>
      </c>
    </row>
    <row r="161" spans="1:8" ht="51" x14ac:dyDescent="0.25">
      <c r="A161" s="125" t="s">
        <v>398</v>
      </c>
      <c r="B161" s="115" t="s">
        <v>9</v>
      </c>
      <c r="C161" s="115">
        <v>90586</v>
      </c>
      <c r="D161" s="127" t="str">
        <f>IF(A161="COMPOSIÇÃO",VLOOKUP(C161,'SINAPI_COMPOSIÇÕES 062020'!A:B,2,FALSE),VLOOKUP(C161,'SINAPI_INSUMOS 062020'!A:B,2,FALSE))</f>
        <v>VIBRADOR DE IMERSÃO, DIÂMETRO DE PONTEIRA 45MM, MOTOR ELÉTRICO TRIFÁSICO POTÊNCIA DE 2 CV - CHP DIURNO. AF_06/2015</v>
      </c>
      <c r="E161" s="126" t="str">
        <f>IF(A161="COMPOSIÇÃO",VLOOKUP(C161,'SINAPI_COMPOSIÇÕES 062020'!A:C,3,FALSE),VLOOKUP(C161,'SINAPI_INSUMOS 062020'!A:C,3,FALSE))</f>
        <v>CHP</v>
      </c>
      <c r="F161" s="74">
        <v>4.3999999999999997E-2</v>
      </c>
      <c r="G161" s="128">
        <f>IF(A161="COMPOSIÇÃO",VLOOKUP(C161,'SINAPI_COMPOSIÇÕES 062020'!A:D,4,FALSE),VLOOKUP(C161,'SINAPI_INSUMOS 062020'!A:D,4,FALSE))</f>
        <v>1.59</v>
      </c>
      <c r="H161" s="75">
        <f t="shared" si="14"/>
        <v>0.06</v>
      </c>
    </row>
    <row r="162" spans="1:8" ht="51" x14ac:dyDescent="0.25">
      <c r="A162" s="125" t="s">
        <v>398</v>
      </c>
      <c r="B162" s="115" t="s">
        <v>9</v>
      </c>
      <c r="C162" s="115">
        <v>90587</v>
      </c>
      <c r="D162" s="127" t="str">
        <f>IF(A162="COMPOSIÇÃO",VLOOKUP(C162,'SINAPI_COMPOSIÇÕES 062020'!A:B,2,FALSE),VLOOKUP(C162,'SINAPI_INSUMOS 062020'!A:B,2,FALSE))</f>
        <v>VIBRADOR DE IMERSÃO, DIÂMETRO DE PONTEIRA 45MM, MOTOR ELÉTRICO TRIFÁSICO POTÊNCIA DE 2 CV - CHI DIURNO. AF_06/2015</v>
      </c>
      <c r="E162" s="126" t="str">
        <f>IF(A162="COMPOSIÇÃO",VLOOKUP(C162,'SINAPI_COMPOSIÇÕES 062020'!A:C,3,FALSE),VLOOKUP(C162,'SINAPI_INSUMOS 062020'!A:C,3,FALSE))</f>
        <v>CHI</v>
      </c>
      <c r="F162" s="74">
        <v>0.127</v>
      </c>
      <c r="G162" s="128">
        <f>IF(A162="COMPOSIÇÃO",VLOOKUP(C162,'SINAPI_COMPOSIÇÕES 062020'!A:D,4,FALSE),VLOOKUP(C162,'SINAPI_INSUMOS 062020'!A:D,4,FALSE))</f>
        <v>0.34</v>
      </c>
      <c r="H162" s="75">
        <f t="shared" si="14"/>
        <v>0.04</v>
      </c>
    </row>
    <row r="163" spans="1:8" ht="51" x14ac:dyDescent="0.25">
      <c r="A163" s="125" t="s">
        <v>400</v>
      </c>
      <c r="B163" s="115" t="s">
        <v>9</v>
      </c>
      <c r="C163" s="115">
        <v>1525</v>
      </c>
      <c r="D163" s="127" t="str">
        <f>IF(A163="COMPOSIÇÃO",VLOOKUP(C163,'SINAPI_COMPOSIÇÕES 062020'!A:B,2,FALSE),VLOOKUP(C163,'SINAPI_INSUMOS 062020'!A:B,2,FALSE))</f>
        <v>CONCRETO USINADO BOMBEAVEL, CLASSE DE RESISTENCIA C30, COM BRITA 0 E 1, SLUMP = 100 +/- 20 MM, INCLUI SERVICO DE BOMBEAMENTO (NBR 8953)</v>
      </c>
      <c r="E163" s="126" t="str">
        <f>IF(A163="COMPOSIÇÃO",VLOOKUP(C163,'SINAPI_COMPOSIÇÕES 062020'!A:C,3,FALSE),VLOOKUP(C163,'SINAPI_INSUMOS 062020'!A:C,3,FALSE))</f>
        <v xml:space="preserve">M3    </v>
      </c>
      <c r="F163" s="74">
        <v>1.103</v>
      </c>
      <c r="G163" s="128">
        <f>IF(A163="COMPOSIÇÃO",VLOOKUP(C163,'SINAPI_COMPOSIÇÕES 062020'!A:D,4,FALSE),VLOOKUP(C163,'SINAPI_INSUMOS 062020'!A:D,4,FALSE))</f>
        <v>421.14</v>
      </c>
      <c r="H163" s="75">
        <f t="shared" si="14"/>
        <v>464.51</v>
      </c>
    </row>
    <row r="164" spans="1:8" ht="13.5" thickBot="1" x14ac:dyDescent="0.3">
      <c r="A164" s="267" t="str">
        <f>CONCATENATE("TOTAL DO ÍTEM - ",A154)</f>
        <v>TOTAL DO ÍTEM - MPMT-02203</v>
      </c>
      <c r="B164" s="268"/>
      <c r="C164" s="268"/>
      <c r="D164" s="268"/>
      <c r="E164" s="268"/>
      <c r="F164" s="268"/>
      <c r="G164" s="269"/>
      <c r="H164" s="188">
        <f>TRUNC(SUM(H158:H163),2)</f>
        <v>483.61</v>
      </c>
    </row>
    <row r="165" spans="1:8" ht="13.5" thickBot="1" x14ac:dyDescent="0.3">
      <c r="A165" s="302" t="s">
        <v>11948</v>
      </c>
      <c r="B165" s="303"/>
      <c r="C165" s="303"/>
      <c r="D165" s="303"/>
      <c r="E165" s="303"/>
      <c r="F165" s="303"/>
      <c r="G165" s="303"/>
      <c r="H165" s="304"/>
    </row>
    <row r="166" spans="1:8" ht="13.5" thickBot="1" x14ac:dyDescent="0.3"/>
    <row r="167" spans="1:8" ht="25.5" x14ac:dyDescent="0.25">
      <c r="A167" s="120" t="s">
        <v>90</v>
      </c>
      <c r="B167" s="286" t="s">
        <v>91</v>
      </c>
      <c r="C167" s="287"/>
      <c r="D167" s="287"/>
      <c r="E167" s="287"/>
      <c r="F167" s="287"/>
      <c r="G167" s="288"/>
      <c r="H167" s="121" t="s">
        <v>4</v>
      </c>
    </row>
    <row r="168" spans="1:8" ht="13.5" thickBot="1" x14ac:dyDescent="0.3">
      <c r="A168" s="113" t="s">
        <v>11954</v>
      </c>
      <c r="B168" s="289" t="s">
        <v>11955</v>
      </c>
      <c r="C168" s="290"/>
      <c r="D168" s="290"/>
      <c r="E168" s="290"/>
      <c r="F168" s="290"/>
      <c r="G168" s="291"/>
      <c r="H168" s="114" t="s">
        <v>4</v>
      </c>
    </row>
    <row r="169" spans="1:8" x14ac:dyDescent="0.25">
      <c r="A169" s="273" t="s">
        <v>13834</v>
      </c>
      <c r="B169" s="275" t="s">
        <v>92</v>
      </c>
      <c r="C169" s="276"/>
      <c r="D169" s="185" t="s">
        <v>11956</v>
      </c>
      <c r="E169" s="239" t="s">
        <v>93</v>
      </c>
      <c r="F169" s="193" t="s">
        <v>11957</v>
      </c>
      <c r="G169" s="277" t="s">
        <v>94</v>
      </c>
      <c r="H169" s="278"/>
    </row>
    <row r="170" spans="1:8" x14ac:dyDescent="0.25">
      <c r="A170" s="274"/>
      <c r="B170" s="281" t="s">
        <v>95</v>
      </c>
      <c r="C170" s="282"/>
      <c r="D170" s="187">
        <v>42928</v>
      </c>
      <c r="E170" s="240" t="s">
        <v>96</v>
      </c>
      <c r="F170" s="187">
        <v>43656</v>
      </c>
      <c r="G170" s="279"/>
      <c r="H170" s="280"/>
    </row>
    <row r="171" spans="1:8" x14ac:dyDescent="0.25">
      <c r="A171" s="122" t="s">
        <v>11885</v>
      </c>
      <c r="B171" s="123" t="s">
        <v>97</v>
      </c>
      <c r="C171" s="123" t="s">
        <v>98</v>
      </c>
      <c r="D171" s="123" t="s">
        <v>3</v>
      </c>
      <c r="E171" s="123" t="s">
        <v>4</v>
      </c>
      <c r="F171" s="123" t="s">
        <v>99</v>
      </c>
      <c r="G171" s="123" t="s">
        <v>100</v>
      </c>
      <c r="H171" s="124" t="s">
        <v>101</v>
      </c>
    </row>
    <row r="172" spans="1:8" ht="25.5" x14ac:dyDescent="0.25">
      <c r="A172" s="125" t="s">
        <v>398</v>
      </c>
      <c r="B172" s="115" t="s">
        <v>9</v>
      </c>
      <c r="C172" s="115">
        <v>88267</v>
      </c>
      <c r="D172" s="127" t="str">
        <f>IF(A172="COMPOSIÇÃO",VLOOKUP(C172,'SINAPI_COMPOSIÇÕES 062020'!A:B,2,FALSE),VLOOKUP(C172,'SINAPI_INSUMOS 062020'!A:B,2,FALSE))</f>
        <v>ENCANADOR OU BOMBEIRO HIDRÁULICO COM ENCARGOS COMPLEMENTARES</v>
      </c>
      <c r="E172" s="126" t="str">
        <f>IF(A172="COMPOSIÇÃO",VLOOKUP(C172,'SINAPI_COMPOSIÇÕES 062020'!A:C,3,FALSE),VLOOKUP(C172,'SINAPI_INSUMOS 062020'!A:C,3,FALSE))</f>
        <v>H</v>
      </c>
      <c r="F172" s="74">
        <v>0.78</v>
      </c>
      <c r="G172" s="128">
        <f>IF(A172="COMPOSIÇÃO",VLOOKUP(C172,'SINAPI_COMPOSIÇÕES 062020'!A:D,4,FALSE),VLOOKUP(C172,'SINAPI_INSUMOS 062020'!A:D,4,FALSE))</f>
        <v>17.79</v>
      </c>
      <c r="H172" s="75">
        <f t="shared" ref="H172:H176" si="15">TRUNC(G172*F172,2)</f>
        <v>13.87</v>
      </c>
    </row>
    <row r="173" spans="1:8" ht="25.5" x14ac:dyDescent="0.25">
      <c r="A173" s="125" t="s">
        <v>398</v>
      </c>
      <c r="B173" s="115" t="s">
        <v>9</v>
      </c>
      <c r="C173" s="115">
        <v>88316</v>
      </c>
      <c r="D173" s="127" t="str">
        <f>IF(A173="COMPOSIÇÃO",VLOOKUP(C173,'SINAPI_COMPOSIÇÕES 062020'!A:B,2,FALSE),VLOOKUP(C173,'SINAPI_INSUMOS 062020'!A:B,2,FALSE))</f>
        <v>SERVENTE COM ENCARGOS COMPLEMENTARES</v>
      </c>
      <c r="E173" s="126" t="str">
        <f>IF(A173="COMPOSIÇÃO",VLOOKUP(C173,'SINAPI_COMPOSIÇÕES 062020'!A:C,3,FALSE),VLOOKUP(C173,'SINAPI_INSUMOS 062020'!A:C,3,FALSE))</f>
        <v>H</v>
      </c>
      <c r="F173" s="74">
        <v>0.44</v>
      </c>
      <c r="G173" s="128">
        <f>IF(A173="COMPOSIÇÃO",VLOOKUP(C173,'SINAPI_COMPOSIÇÕES 062020'!A:D,4,FALSE),VLOOKUP(C173,'SINAPI_INSUMOS 062020'!A:D,4,FALSE))</f>
        <v>14.37</v>
      </c>
      <c r="H173" s="75">
        <f t="shared" si="15"/>
        <v>6.32</v>
      </c>
    </row>
    <row r="174" spans="1:8" ht="51" x14ac:dyDescent="0.25">
      <c r="A174" s="125" t="s">
        <v>400</v>
      </c>
      <c r="B174" s="115" t="s">
        <v>9</v>
      </c>
      <c r="C174" s="115">
        <v>4384</v>
      </c>
      <c r="D174" s="127" t="str">
        <f>IF(A174="COMPOSIÇÃO",VLOOKUP(C174,'SINAPI_COMPOSIÇÕES 062020'!A:B,2,FALSE),VLOOKUP(C174,'SINAPI_INSUMOS 062020'!A:B,2,FALSE))</f>
        <v>PARAFUSO NIQUELADO COM ACABAMENTO CROMADO PARA FIXAR PECA SANITARIA, INCLUI PORCA CEGA, ARRUELA E BUCHA DE NYLON TAMANHO S-10</v>
      </c>
      <c r="E174" s="126" t="str">
        <f>IF(A174="COMPOSIÇÃO",VLOOKUP(C174,'SINAPI_COMPOSIÇÕES 062020'!A:C,3,FALSE),VLOOKUP(C174,'SINAPI_INSUMOS 062020'!A:C,3,FALSE))</f>
        <v xml:space="preserve">UN    </v>
      </c>
      <c r="F174" s="74">
        <v>2</v>
      </c>
      <c r="G174" s="128">
        <f>IF(A174="COMPOSIÇÃO",VLOOKUP(C174,'SINAPI_COMPOSIÇÕES 062020'!A:D,4,FALSE),VLOOKUP(C174,'SINAPI_INSUMOS 062020'!A:D,4,FALSE))</f>
        <v>15.58</v>
      </c>
      <c r="H174" s="75">
        <f t="shared" si="15"/>
        <v>31.16</v>
      </c>
    </row>
    <row r="175" spans="1:8" ht="25.5" x14ac:dyDescent="0.25">
      <c r="A175" s="125" t="s">
        <v>400</v>
      </c>
      <c r="B175" s="115" t="s">
        <v>9</v>
      </c>
      <c r="C175" s="115">
        <v>6138</v>
      </c>
      <c r="D175" s="127" t="str">
        <f>IF(A175="COMPOSIÇÃO",VLOOKUP(C175,'SINAPI_COMPOSIÇÕES 062020'!A:B,2,FALSE),VLOOKUP(C175,'SINAPI_INSUMOS 062020'!A:B,2,FALSE))</f>
        <v>VEDACAO PVC, 100 MM, PARA SAIDA VASO SANITARIO</v>
      </c>
      <c r="E175" s="126" t="str">
        <f>IF(A175="COMPOSIÇÃO",VLOOKUP(C175,'SINAPI_COMPOSIÇÕES 062020'!A:C,3,FALSE),VLOOKUP(C175,'SINAPI_INSUMOS 062020'!A:C,3,FALSE))</f>
        <v xml:space="preserve">UN    </v>
      </c>
      <c r="F175" s="74">
        <v>1</v>
      </c>
      <c r="G175" s="128">
        <f>IF(A175="COMPOSIÇÃO",VLOOKUP(C175,'SINAPI_COMPOSIÇÕES 062020'!A:D,4,FALSE),VLOOKUP(C175,'SINAPI_INSUMOS 062020'!A:D,4,FALSE))</f>
        <v>1.83</v>
      </c>
      <c r="H175" s="75">
        <f t="shared" si="15"/>
        <v>1.83</v>
      </c>
    </row>
    <row r="176" spans="1:8" x14ac:dyDescent="0.25">
      <c r="A176" s="125" t="s">
        <v>400</v>
      </c>
      <c r="B176" s="115" t="s">
        <v>9</v>
      </c>
      <c r="C176" s="115">
        <v>37329</v>
      </c>
      <c r="D176" s="127" t="str">
        <f>IF(A176="COMPOSIÇÃO",VLOOKUP(C176,'SINAPI_COMPOSIÇÕES 062020'!A:B,2,FALSE),VLOOKUP(C176,'SINAPI_INSUMOS 062020'!A:B,2,FALSE))</f>
        <v>REJUNTE EPOXI BRANCO</v>
      </c>
      <c r="E176" s="126" t="str">
        <f>IF(A176="COMPOSIÇÃO",VLOOKUP(C176,'SINAPI_COMPOSIÇÕES 062020'!A:C,3,FALSE),VLOOKUP(C176,'SINAPI_INSUMOS 062020'!A:C,3,FALSE))</f>
        <v xml:space="preserve">KG    </v>
      </c>
      <c r="F176" s="74">
        <v>0.1469</v>
      </c>
      <c r="G176" s="128">
        <f>IF(A176="COMPOSIÇÃO",VLOOKUP(C176,'SINAPI_COMPOSIÇÕES 062020'!A:D,4,FALSE),VLOOKUP(C176,'SINAPI_INSUMOS 062020'!A:D,4,FALSE))</f>
        <v>57.59</v>
      </c>
      <c r="H176" s="75">
        <f t="shared" si="15"/>
        <v>8.4499999999999993</v>
      </c>
    </row>
    <row r="177" spans="1:8" ht="25.5" x14ac:dyDescent="0.25">
      <c r="A177" s="125" t="s">
        <v>11958</v>
      </c>
      <c r="B177" s="115" t="s">
        <v>11959</v>
      </c>
      <c r="C177" s="115" t="s">
        <v>11960</v>
      </c>
      <c r="D177" s="194" t="str">
        <f>B183</f>
        <v>VASO SANITARIO PARA CAIXA ACOPLADA, DECA, LINHA VOGUE PLUS COD. P.505.17</v>
      </c>
      <c r="E177" s="115" t="s">
        <v>4</v>
      </c>
      <c r="F177" s="74">
        <v>1</v>
      </c>
      <c r="G177" s="195">
        <f>H188</f>
        <v>603.29</v>
      </c>
      <c r="H177" s="75">
        <f t="shared" ref="H177:H179" si="16">TRUNC(G177*F177,2)</f>
        <v>603.29</v>
      </c>
    </row>
    <row r="178" spans="1:8" ht="25.5" x14ac:dyDescent="0.25">
      <c r="A178" s="125" t="s">
        <v>11958</v>
      </c>
      <c r="B178" s="115" t="s">
        <v>11959</v>
      </c>
      <c r="C178" s="115" t="s">
        <v>11960</v>
      </c>
      <c r="D178" s="194" t="str">
        <f>B189</f>
        <v>CAIXA ACOPLADA PARA VASO SANITARIO, DECA, LINHA VOGUE PLUS COD. CD.01.17</v>
      </c>
      <c r="E178" s="115" t="s">
        <v>4</v>
      </c>
      <c r="F178" s="74">
        <v>1</v>
      </c>
      <c r="G178" s="195">
        <f>H194</f>
        <v>414.4</v>
      </c>
      <c r="H178" s="75">
        <f t="shared" si="16"/>
        <v>414.4</v>
      </c>
    </row>
    <row r="179" spans="1:8" ht="25.5" x14ac:dyDescent="0.25">
      <c r="A179" s="125" t="s">
        <v>11958</v>
      </c>
      <c r="B179" s="115" t="s">
        <v>11959</v>
      </c>
      <c r="C179" s="115" t="s">
        <v>11960</v>
      </c>
      <c r="D179" s="194" t="str">
        <f>B195</f>
        <v>ASSENTO PARA BACIA SANITARIA, DECA, TERMOFIXO LINHA VOGUE PLUS</v>
      </c>
      <c r="E179" s="115" t="s">
        <v>4</v>
      </c>
      <c r="F179" s="74">
        <v>1</v>
      </c>
      <c r="G179" s="195">
        <f>H200</f>
        <v>345.52</v>
      </c>
      <c r="H179" s="75">
        <f t="shared" si="16"/>
        <v>345.52</v>
      </c>
    </row>
    <row r="180" spans="1:8" ht="13.5" thickBot="1" x14ac:dyDescent="0.3">
      <c r="A180" s="267" t="str">
        <f>CONCATENATE("TOTAL DO ÍTEM - ",A168)</f>
        <v>TOTAL DO ÍTEM - MPMT-04128</v>
      </c>
      <c r="B180" s="268"/>
      <c r="C180" s="268"/>
      <c r="D180" s="268"/>
      <c r="E180" s="268"/>
      <c r="F180" s="268"/>
      <c r="G180" s="269"/>
      <c r="H180" s="188">
        <f>TRUNC(SUM(H172:H179),2)</f>
        <v>1424.84</v>
      </c>
    </row>
    <row r="181" spans="1:8" ht="13.5" thickBot="1" x14ac:dyDescent="0.3">
      <c r="A181" s="283" t="s">
        <v>11961</v>
      </c>
      <c r="B181" s="284"/>
      <c r="C181" s="284"/>
      <c r="D181" s="284"/>
      <c r="E181" s="284"/>
      <c r="F181" s="284"/>
      <c r="G181" s="284"/>
      <c r="H181" s="285"/>
    </row>
    <row r="182" spans="1:8" x14ac:dyDescent="0.25">
      <c r="A182" s="196"/>
      <c r="B182" s="292" t="s">
        <v>11962</v>
      </c>
      <c r="C182" s="292"/>
      <c r="D182" s="292"/>
      <c r="E182" s="292"/>
      <c r="F182" s="292"/>
      <c r="G182" s="292"/>
      <c r="H182" s="197" t="s">
        <v>11963</v>
      </c>
    </row>
    <row r="183" spans="1:8" ht="13.5" thickBot="1" x14ac:dyDescent="0.3">
      <c r="A183" s="215" t="s">
        <v>11960</v>
      </c>
      <c r="B183" s="308" t="s">
        <v>11964</v>
      </c>
      <c r="C183" s="308"/>
      <c r="D183" s="308"/>
      <c r="E183" s="308"/>
      <c r="F183" s="308"/>
      <c r="G183" s="308"/>
      <c r="H183" s="216" t="s">
        <v>4</v>
      </c>
    </row>
    <row r="184" spans="1:8" ht="25.5" x14ac:dyDescent="0.25">
      <c r="A184" s="198" t="s">
        <v>11965</v>
      </c>
      <c r="B184" s="242" t="s">
        <v>11966</v>
      </c>
      <c r="C184" s="242" t="s">
        <v>11967</v>
      </c>
      <c r="D184" s="242" t="s">
        <v>11968</v>
      </c>
      <c r="E184" s="305" t="s">
        <v>11969</v>
      </c>
      <c r="F184" s="305"/>
      <c r="G184" s="242" t="s">
        <v>4</v>
      </c>
      <c r="H184" s="199" t="s">
        <v>11970</v>
      </c>
    </row>
    <row r="185" spans="1:8" x14ac:dyDescent="0.25">
      <c r="A185" s="200">
        <v>44022</v>
      </c>
      <c r="B185" s="201" t="s">
        <v>11971</v>
      </c>
      <c r="C185" s="201" t="s">
        <v>11972</v>
      </c>
      <c r="D185" s="202" t="s">
        <v>11973</v>
      </c>
      <c r="E185" s="306" t="s">
        <v>11974</v>
      </c>
      <c r="F185" s="306"/>
      <c r="G185" s="203" t="s">
        <v>4</v>
      </c>
      <c r="H185" s="204">
        <f>3016.46/5</f>
        <v>603.29200000000003</v>
      </c>
    </row>
    <row r="186" spans="1:8" x14ac:dyDescent="0.25">
      <c r="A186" s="205">
        <v>44022</v>
      </c>
      <c r="B186" s="206" t="s">
        <v>11971</v>
      </c>
      <c r="C186" s="206" t="s">
        <v>11975</v>
      </c>
      <c r="D186" s="207" t="s">
        <v>11976</v>
      </c>
      <c r="E186" s="295" t="s">
        <v>11977</v>
      </c>
      <c r="F186" s="295"/>
      <c r="G186" s="115" t="s">
        <v>4</v>
      </c>
      <c r="H186" s="208">
        <f>8988.31/14</f>
        <v>642.02214285714285</v>
      </c>
    </row>
    <row r="187" spans="1:8" x14ac:dyDescent="0.25">
      <c r="A187" s="205">
        <v>44022</v>
      </c>
      <c r="B187" s="209" t="s">
        <v>11971</v>
      </c>
      <c r="C187" s="209" t="s">
        <v>11978</v>
      </c>
      <c r="D187" s="210" t="s">
        <v>11979</v>
      </c>
      <c r="E187" s="307" t="s">
        <v>11980</v>
      </c>
      <c r="F187" s="307"/>
      <c r="G187" s="211" t="s">
        <v>4</v>
      </c>
      <c r="H187" s="212">
        <f>7916.87/14</f>
        <v>565.49071428571426</v>
      </c>
    </row>
    <row r="188" spans="1:8" ht="13.5" thickBot="1" x14ac:dyDescent="0.3">
      <c r="A188" s="296" t="s">
        <v>11981</v>
      </c>
      <c r="B188" s="297"/>
      <c r="C188" s="297"/>
      <c r="D188" s="297"/>
      <c r="E188" s="297"/>
      <c r="F188" s="297"/>
      <c r="G188" s="298"/>
      <c r="H188" s="188">
        <f>TRUNC(MEDIAN(H185:H187),2)</f>
        <v>603.29</v>
      </c>
    </row>
    <row r="189" spans="1:8" ht="13.5" thickBot="1" x14ac:dyDescent="0.3">
      <c r="A189" s="215" t="s">
        <v>11960</v>
      </c>
      <c r="B189" s="308" t="s">
        <v>11982</v>
      </c>
      <c r="C189" s="308"/>
      <c r="D189" s="308"/>
      <c r="E189" s="308"/>
      <c r="F189" s="308"/>
      <c r="G189" s="308"/>
      <c r="H189" s="216" t="s">
        <v>4</v>
      </c>
    </row>
    <row r="190" spans="1:8" ht="25.5" x14ac:dyDescent="0.25">
      <c r="A190" s="213" t="s">
        <v>11965</v>
      </c>
      <c r="B190" s="241" t="s">
        <v>11966</v>
      </c>
      <c r="C190" s="241" t="s">
        <v>11967</v>
      </c>
      <c r="D190" s="241" t="s">
        <v>11968</v>
      </c>
      <c r="E190" s="294" t="s">
        <v>11969</v>
      </c>
      <c r="F190" s="294"/>
      <c r="G190" s="241" t="s">
        <v>4</v>
      </c>
      <c r="H190" s="214" t="s">
        <v>11970</v>
      </c>
    </row>
    <row r="191" spans="1:8" x14ac:dyDescent="0.25">
      <c r="A191" s="205">
        <v>44022</v>
      </c>
      <c r="B191" s="206" t="s">
        <v>11971</v>
      </c>
      <c r="C191" s="206" t="s">
        <v>11983</v>
      </c>
      <c r="D191" s="207" t="s">
        <v>11984</v>
      </c>
      <c r="E191" s="295" t="s">
        <v>11985</v>
      </c>
      <c r="F191" s="295"/>
      <c r="G191" s="115" t="s">
        <v>4</v>
      </c>
      <c r="H191" s="208">
        <f>4794.44/14</f>
        <v>342.46</v>
      </c>
    </row>
    <row r="192" spans="1:8" x14ac:dyDescent="0.25">
      <c r="A192" s="205">
        <v>44022</v>
      </c>
      <c r="B192" s="206" t="s">
        <v>11971</v>
      </c>
      <c r="C192" s="206" t="s">
        <v>11975</v>
      </c>
      <c r="D192" s="207" t="s">
        <v>11976</v>
      </c>
      <c r="E192" s="295" t="s">
        <v>11977</v>
      </c>
      <c r="F192" s="295"/>
      <c r="G192" s="115" t="s">
        <v>4</v>
      </c>
      <c r="H192" s="208">
        <f>3991.5/8</f>
        <v>498.9375</v>
      </c>
    </row>
    <row r="193" spans="1:8" x14ac:dyDescent="0.25">
      <c r="A193" s="205">
        <v>44022</v>
      </c>
      <c r="B193" s="209" t="s">
        <v>11971</v>
      </c>
      <c r="C193" s="209" t="s">
        <v>11978</v>
      </c>
      <c r="D193" s="210" t="s">
        <v>11979</v>
      </c>
      <c r="E193" s="307" t="s">
        <v>11980</v>
      </c>
      <c r="F193" s="307"/>
      <c r="G193" s="211" t="s">
        <v>4</v>
      </c>
      <c r="H193" s="212">
        <f>5801.63/14</f>
        <v>414.40214285714285</v>
      </c>
    </row>
    <row r="194" spans="1:8" ht="13.5" thickBot="1" x14ac:dyDescent="0.3">
      <c r="A194" s="296" t="s">
        <v>11981</v>
      </c>
      <c r="B194" s="297"/>
      <c r="C194" s="297"/>
      <c r="D194" s="297"/>
      <c r="E194" s="297"/>
      <c r="F194" s="297"/>
      <c r="G194" s="298"/>
      <c r="H194" s="188">
        <f>TRUNC(MEDIAN(H191:H193),2)</f>
        <v>414.4</v>
      </c>
    </row>
    <row r="195" spans="1:8" ht="13.5" thickBot="1" x14ac:dyDescent="0.3">
      <c r="A195" s="215" t="s">
        <v>11960</v>
      </c>
      <c r="B195" s="308" t="s">
        <v>11986</v>
      </c>
      <c r="C195" s="308"/>
      <c r="D195" s="308"/>
      <c r="E195" s="308"/>
      <c r="F195" s="308"/>
      <c r="G195" s="308"/>
      <c r="H195" s="216" t="s">
        <v>4</v>
      </c>
    </row>
    <row r="196" spans="1:8" ht="25.5" x14ac:dyDescent="0.25">
      <c r="A196" s="213" t="s">
        <v>11965</v>
      </c>
      <c r="B196" s="241" t="s">
        <v>11966</v>
      </c>
      <c r="C196" s="241" t="s">
        <v>11967</v>
      </c>
      <c r="D196" s="241" t="s">
        <v>11968</v>
      </c>
      <c r="E196" s="294" t="s">
        <v>11969</v>
      </c>
      <c r="F196" s="294"/>
      <c r="G196" s="241" t="s">
        <v>4</v>
      </c>
      <c r="H196" s="214" t="s">
        <v>11970</v>
      </c>
    </row>
    <row r="197" spans="1:8" x14ac:dyDescent="0.25">
      <c r="A197" s="205">
        <v>44022</v>
      </c>
      <c r="B197" s="206" t="s">
        <v>11971</v>
      </c>
      <c r="C197" s="206" t="s">
        <v>11983</v>
      </c>
      <c r="D197" s="207" t="s">
        <v>11984</v>
      </c>
      <c r="E197" s="295" t="s">
        <v>11985</v>
      </c>
      <c r="F197" s="295"/>
      <c r="G197" s="115" t="s">
        <v>4</v>
      </c>
      <c r="H197" s="208">
        <f>4343.91/14</f>
        <v>310.27928571428572</v>
      </c>
    </row>
    <row r="198" spans="1:8" x14ac:dyDescent="0.25">
      <c r="A198" s="205">
        <v>44022</v>
      </c>
      <c r="B198" s="206" t="s">
        <v>11971</v>
      </c>
      <c r="C198" s="206" t="s">
        <v>11987</v>
      </c>
      <c r="D198" s="207" t="s">
        <v>11988</v>
      </c>
      <c r="E198" s="295" t="s">
        <v>11989</v>
      </c>
      <c r="F198" s="295"/>
      <c r="G198" s="115" t="s">
        <v>4</v>
      </c>
      <c r="H198" s="208">
        <f>4837.32/14</f>
        <v>345.52285714285711</v>
      </c>
    </row>
    <row r="199" spans="1:8" x14ac:dyDescent="0.25">
      <c r="A199" s="205">
        <v>44022</v>
      </c>
      <c r="B199" s="209" t="s">
        <v>11971</v>
      </c>
      <c r="C199" s="209" t="s">
        <v>11978</v>
      </c>
      <c r="D199" s="210" t="s">
        <v>11979</v>
      </c>
      <c r="E199" s="307" t="s">
        <v>11980</v>
      </c>
      <c r="F199" s="307"/>
      <c r="G199" s="211" t="s">
        <v>4</v>
      </c>
      <c r="H199" s="212">
        <f>5564.59/14</f>
        <v>397.47071428571428</v>
      </c>
    </row>
    <row r="200" spans="1:8" ht="13.5" thickBot="1" x14ac:dyDescent="0.3">
      <c r="A200" s="296" t="s">
        <v>11981</v>
      </c>
      <c r="B200" s="297"/>
      <c r="C200" s="297"/>
      <c r="D200" s="297"/>
      <c r="E200" s="297"/>
      <c r="F200" s="297"/>
      <c r="G200" s="298"/>
      <c r="H200" s="188">
        <f>TRUNC(MEDIAN(H197:H199),2)</f>
        <v>345.52</v>
      </c>
    </row>
    <row r="201" spans="1:8" ht="13.5" thickBot="1" x14ac:dyDescent="0.3"/>
    <row r="202" spans="1:8" ht="25.5" x14ac:dyDescent="0.25">
      <c r="A202" s="120" t="s">
        <v>90</v>
      </c>
      <c r="B202" s="286" t="s">
        <v>91</v>
      </c>
      <c r="C202" s="287"/>
      <c r="D202" s="287"/>
      <c r="E202" s="287"/>
      <c r="F202" s="287"/>
      <c r="G202" s="288"/>
      <c r="H202" s="121" t="s">
        <v>4</v>
      </c>
    </row>
    <row r="203" spans="1:8" ht="13.5" thickBot="1" x14ac:dyDescent="0.3">
      <c r="A203" s="113" t="s">
        <v>11990</v>
      </c>
      <c r="B203" s="289" t="s">
        <v>11999</v>
      </c>
      <c r="C203" s="290"/>
      <c r="D203" s="290"/>
      <c r="E203" s="290"/>
      <c r="F203" s="290"/>
      <c r="G203" s="291"/>
      <c r="H203" s="114" t="s">
        <v>4</v>
      </c>
    </row>
    <row r="204" spans="1:8" x14ac:dyDescent="0.25">
      <c r="A204" s="273" t="s">
        <v>13834</v>
      </c>
      <c r="B204" s="275" t="s">
        <v>92</v>
      </c>
      <c r="C204" s="276"/>
      <c r="D204" s="185" t="s">
        <v>11956</v>
      </c>
      <c r="E204" s="239" t="s">
        <v>93</v>
      </c>
      <c r="F204" s="193" t="s">
        <v>12000</v>
      </c>
      <c r="G204" s="277" t="s">
        <v>94</v>
      </c>
      <c r="H204" s="278"/>
    </row>
    <row r="205" spans="1:8" x14ac:dyDescent="0.25">
      <c r="A205" s="274"/>
      <c r="B205" s="281" t="s">
        <v>95</v>
      </c>
      <c r="C205" s="282"/>
      <c r="D205" s="187">
        <v>43368</v>
      </c>
      <c r="E205" s="240" t="s">
        <v>96</v>
      </c>
      <c r="F205" s="187">
        <v>44025</v>
      </c>
      <c r="G205" s="279"/>
      <c r="H205" s="280"/>
    </row>
    <row r="206" spans="1:8" x14ac:dyDescent="0.25">
      <c r="A206" s="122" t="s">
        <v>11885</v>
      </c>
      <c r="B206" s="123" t="s">
        <v>97</v>
      </c>
      <c r="C206" s="123" t="s">
        <v>98</v>
      </c>
      <c r="D206" s="123" t="s">
        <v>3</v>
      </c>
      <c r="E206" s="123" t="s">
        <v>4</v>
      </c>
      <c r="F206" s="123" t="s">
        <v>99</v>
      </c>
      <c r="G206" s="123" t="s">
        <v>100</v>
      </c>
      <c r="H206" s="124" t="s">
        <v>101</v>
      </c>
    </row>
    <row r="207" spans="1:8" ht="25.5" x14ac:dyDescent="0.25">
      <c r="A207" s="125" t="s">
        <v>398</v>
      </c>
      <c r="B207" s="115" t="s">
        <v>9</v>
      </c>
      <c r="C207" s="115">
        <v>88267</v>
      </c>
      <c r="D207" s="127" t="str">
        <f>IF(A207="COMPOSIÇÃO",VLOOKUP(C207,'SINAPI_COMPOSIÇÕES 062020'!A:B,2,FALSE),VLOOKUP(C207,'SINAPI_INSUMOS 062020'!A:B,2,FALSE))</f>
        <v>ENCANADOR OU BOMBEIRO HIDRÁULICO COM ENCARGOS COMPLEMENTARES</v>
      </c>
      <c r="E207" s="126" t="str">
        <f>IF(A207="COMPOSIÇÃO",VLOOKUP(C207,'SINAPI_COMPOSIÇÕES 062020'!A:C,3,FALSE),VLOOKUP(C207,'SINAPI_INSUMOS 062020'!A:C,3,FALSE))</f>
        <v>H</v>
      </c>
      <c r="F207" s="74">
        <v>0.78</v>
      </c>
      <c r="G207" s="128">
        <f>IF(A207="COMPOSIÇÃO",VLOOKUP(C207,'SINAPI_COMPOSIÇÕES 062020'!A:D,4,FALSE),VLOOKUP(C207,'SINAPI_INSUMOS 062020'!A:D,4,FALSE))</f>
        <v>17.79</v>
      </c>
      <c r="H207" s="75">
        <f t="shared" ref="H207:H211" si="17">TRUNC(G207*F207,2)</f>
        <v>13.87</v>
      </c>
    </row>
    <row r="208" spans="1:8" ht="25.5" x14ac:dyDescent="0.25">
      <c r="A208" s="125" t="s">
        <v>398</v>
      </c>
      <c r="B208" s="115" t="s">
        <v>9</v>
      </c>
      <c r="C208" s="115">
        <v>88316</v>
      </c>
      <c r="D208" s="127" t="str">
        <f>IF(A208="COMPOSIÇÃO",VLOOKUP(C208,'SINAPI_COMPOSIÇÕES 062020'!A:B,2,FALSE),VLOOKUP(C208,'SINAPI_INSUMOS 062020'!A:B,2,FALSE))</f>
        <v>SERVENTE COM ENCARGOS COMPLEMENTARES</v>
      </c>
      <c r="E208" s="126" t="str">
        <f>IF(A208="COMPOSIÇÃO",VLOOKUP(C208,'SINAPI_COMPOSIÇÕES 062020'!A:C,3,FALSE),VLOOKUP(C208,'SINAPI_INSUMOS 062020'!A:C,3,FALSE))</f>
        <v>H</v>
      </c>
      <c r="F208" s="74">
        <v>0.44</v>
      </c>
      <c r="G208" s="128">
        <f>IF(A208="COMPOSIÇÃO",VLOOKUP(C208,'SINAPI_COMPOSIÇÕES 062020'!A:D,4,FALSE),VLOOKUP(C208,'SINAPI_INSUMOS 062020'!A:D,4,FALSE))</f>
        <v>14.37</v>
      </c>
      <c r="H208" s="75">
        <f t="shared" si="17"/>
        <v>6.32</v>
      </c>
    </row>
    <row r="209" spans="1:8" ht="51" x14ac:dyDescent="0.25">
      <c r="A209" s="125" t="s">
        <v>400</v>
      </c>
      <c r="B209" s="115" t="s">
        <v>9</v>
      </c>
      <c r="C209" s="115">
        <v>4384</v>
      </c>
      <c r="D209" s="127" t="str">
        <f>IF(A209="COMPOSIÇÃO",VLOOKUP(C209,'SINAPI_COMPOSIÇÕES 062020'!A:B,2,FALSE),VLOOKUP(C209,'SINAPI_INSUMOS 062020'!A:B,2,FALSE))</f>
        <v>PARAFUSO NIQUELADO COM ACABAMENTO CROMADO PARA FIXAR PECA SANITARIA, INCLUI PORCA CEGA, ARRUELA E BUCHA DE NYLON TAMANHO S-10</v>
      </c>
      <c r="E209" s="126" t="str">
        <f>IF(A209="COMPOSIÇÃO",VLOOKUP(C209,'SINAPI_COMPOSIÇÕES 062020'!A:C,3,FALSE),VLOOKUP(C209,'SINAPI_INSUMOS 062020'!A:C,3,FALSE))</f>
        <v xml:space="preserve">UN    </v>
      </c>
      <c r="F209" s="74">
        <v>2</v>
      </c>
      <c r="G209" s="128">
        <f>IF(A209="COMPOSIÇÃO",VLOOKUP(C209,'SINAPI_COMPOSIÇÕES 062020'!A:D,4,FALSE),VLOOKUP(C209,'SINAPI_INSUMOS 062020'!A:D,4,FALSE))</f>
        <v>15.58</v>
      </c>
      <c r="H209" s="75">
        <f t="shared" si="17"/>
        <v>31.16</v>
      </c>
    </row>
    <row r="210" spans="1:8" ht="25.5" x14ac:dyDescent="0.25">
      <c r="A210" s="125" t="s">
        <v>400</v>
      </c>
      <c r="B210" s="115" t="s">
        <v>9</v>
      </c>
      <c r="C210" s="115">
        <v>6138</v>
      </c>
      <c r="D210" s="127" t="str">
        <f>IF(A210="COMPOSIÇÃO",VLOOKUP(C210,'SINAPI_COMPOSIÇÕES 062020'!A:B,2,FALSE),VLOOKUP(C210,'SINAPI_INSUMOS 062020'!A:B,2,FALSE))</f>
        <v>VEDACAO PVC, 100 MM, PARA SAIDA VASO SANITARIO</v>
      </c>
      <c r="E210" s="126" t="str">
        <f>IF(A210="COMPOSIÇÃO",VLOOKUP(C210,'SINAPI_COMPOSIÇÕES 062020'!A:C,3,FALSE),VLOOKUP(C210,'SINAPI_INSUMOS 062020'!A:C,3,FALSE))</f>
        <v xml:space="preserve">UN    </v>
      </c>
      <c r="F210" s="74">
        <v>1</v>
      </c>
      <c r="G210" s="128">
        <f>IF(A210="COMPOSIÇÃO",VLOOKUP(C210,'SINAPI_COMPOSIÇÕES 062020'!A:D,4,FALSE),VLOOKUP(C210,'SINAPI_INSUMOS 062020'!A:D,4,FALSE))</f>
        <v>1.83</v>
      </c>
      <c r="H210" s="75">
        <f t="shared" si="17"/>
        <v>1.83</v>
      </c>
    </row>
    <row r="211" spans="1:8" x14ac:dyDescent="0.25">
      <c r="A211" s="125" t="s">
        <v>400</v>
      </c>
      <c r="B211" s="115" t="s">
        <v>9</v>
      </c>
      <c r="C211" s="115">
        <v>37329</v>
      </c>
      <c r="D211" s="127" t="str">
        <f>IF(A211="COMPOSIÇÃO",VLOOKUP(C211,'SINAPI_COMPOSIÇÕES 062020'!A:B,2,FALSE),VLOOKUP(C211,'SINAPI_INSUMOS 062020'!A:B,2,FALSE))</f>
        <v>REJUNTE EPOXI BRANCO</v>
      </c>
      <c r="E211" s="126" t="str">
        <f>IF(A211="COMPOSIÇÃO",VLOOKUP(C211,'SINAPI_COMPOSIÇÕES 062020'!A:C,3,FALSE),VLOOKUP(C211,'SINAPI_INSUMOS 062020'!A:C,3,FALSE))</f>
        <v xml:space="preserve">KG    </v>
      </c>
      <c r="F211" s="74">
        <v>0.1469</v>
      </c>
      <c r="G211" s="128">
        <f>IF(A211="COMPOSIÇÃO",VLOOKUP(C211,'SINAPI_COMPOSIÇÕES 062020'!A:D,4,FALSE),VLOOKUP(C211,'SINAPI_INSUMOS 062020'!A:D,4,FALSE))</f>
        <v>57.59</v>
      </c>
      <c r="H211" s="75">
        <f t="shared" si="17"/>
        <v>8.4499999999999993</v>
      </c>
    </row>
    <row r="212" spans="1:8" ht="25.5" x14ac:dyDescent="0.25">
      <c r="A212" s="125" t="s">
        <v>11958</v>
      </c>
      <c r="B212" s="115" t="s">
        <v>11959</v>
      </c>
      <c r="C212" s="115" t="s">
        <v>11960</v>
      </c>
      <c r="D212" s="194" t="str">
        <f>B218</f>
        <v>VASO SANITARIO PARA CAIXA ACOPLADA, DECA, LINHA VOGUE PLUS COD. P.515</v>
      </c>
      <c r="E212" s="115" t="s">
        <v>4</v>
      </c>
      <c r="F212" s="74">
        <v>1</v>
      </c>
      <c r="G212" s="195">
        <f>H223</f>
        <v>742.11</v>
      </c>
      <c r="H212" s="75">
        <f t="shared" ref="H212:H214" si="18">TRUNC(G212*F212,2)</f>
        <v>742.11</v>
      </c>
    </row>
    <row r="213" spans="1:8" ht="25.5" x14ac:dyDescent="0.25">
      <c r="A213" s="125" t="s">
        <v>11958</v>
      </c>
      <c r="B213" s="115" t="s">
        <v>11959</v>
      </c>
      <c r="C213" s="115" t="s">
        <v>11960</v>
      </c>
      <c r="D213" s="194" t="str">
        <f>B224</f>
        <v>CAIXA ACOPLADA PARA VASO SANITARIO, DECA, LINHA VOGUE PLUS COD. CDC.01F.17</v>
      </c>
      <c r="E213" s="115" t="s">
        <v>4</v>
      </c>
      <c r="F213" s="74">
        <v>1</v>
      </c>
      <c r="G213" s="195">
        <f>H229</f>
        <v>474.14</v>
      </c>
      <c r="H213" s="75">
        <f t="shared" si="18"/>
        <v>474.14</v>
      </c>
    </row>
    <row r="214" spans="1:8" ht="25.5" x14ac:dyDescent="0.25">
      <c r="A214" s="125" t="s">
        <v>11958</v>
      </c>
      <c r="B214" s="115" t="s">
        <v>11959</v>
      </c>
      <c r="C214" s="115" t="s">
        <v>11960</v>
      </c>
      <c r="D214" s="194" t="str">
        <f>B230</f>
        <v>ASSENTO PARA BACIA SANITARIA, DECA, LINHA VOGUE PLUS COD. P.515</v>
      </c>
      <c r="E214" s="115" t="str">
        <f>H230</f>
        <v>UND</v>
      </c>
      <c r="F214" s="74">
        <v>1</v>
      </c>
      <c r="G214" s="195">
        <f>H235</f>
        <v>345.52</v>
      </c>
      <c r="H214" s="75">
        <f t="shared" si="18"/>
        <v>345.52</v>
      </c>
    </row>
    <row r="215" spans="1:8" ht="13.5" thickBot="1" x14ac:dyDescent="0.3">
      <c r="A215" s="267" t="str">
        <f>CONCATENATE("TOTAL DO ÍTEM - ",A203)</f>
        <v>TOTAL DO ÍTEM - MPMT-04190</v>
      </c>
      <c r="B215" s="268"/>
      <c r="C215" s="268"/>
      <c r="D215" s="268"/>
      <c r="E215" s="268"/>
      <c r="F215" s="268"/>
      <c r="G215" s="269"/>
      <c r="H215" s="188">
        <f>TRUNC(SUM(H207:H214),2)</f>
        <v>1623.4</v>
      </c>
    </row>
    <row r="216" spans="1:8" ht="13.5" thickBot="1" x14ac:dyDescent="0.3">
      <c r="A216" s="299" t="s">
        <v>11991</v>
      </c>
      <c r="B216" s="300"/>
      <c r="C216" s="300"/>
      <c r="D216" s="300"/>
      <c r="E216" s="300"/>
      <c r="F216" s="300"/>
      <c r="G216" s="300"/>
      <c r="H216" s="301"/>
    </row>
    <row r="217" spans="1:8" x14ac:dyDescent="0.25">
      <c r="A217" s="196"/>
      <c r="B217" s="292" t="s">
        <v>11962</v>
      </c>
      <c r="C217" s="292"/>
      <c r="D217" s="292"/>
      <c r="E217" s="292"/>
      <c r="F217" s="292"/>
      <c r="G217" s="292"/>
      <c r="H217" s="197" t="s">
        <v>4</v>
      </c>
    </row>
    <row r="218" spans="1:8" ht="13.5" thickBot="1" x14ac:dyDescent="0.3">
      <c r="A218" s="215" t="s">
        <v>11960</v>
      </c>
      <c r="B218" s="308" t="s">
        <v>11992</v>
      </c>
      <c r="C218" s="308"/>
      <c r="D218" s="308"/>
      <c r="E218" s="308"/>
      <c r="F218" s="308"/>
      <c r="G218" s="308"/>
      <c r="H218" s="216" t="s">
        <v>4</v>
      </c>
    </row>
    <row r="219" spans="1:8" ht="25.5" x14ac:dyDescent="0.25">
      <c r="A219" s="213" t="s">
        <v>11965</v>
      </c>
      <c r="B219" s="241" t="s">
        <v>11966</v>
      </c>
      <c r="C219" s="241" t="s">
        <v>11967</v>
      </c>
      <c r="D219" s="241" t="s">
        <v>11968</v>
      </c>
      <c r="E219" s="294" t="s">
        <v>11969</v>
      </c>
      <c r="F219" s="294"/>
      <c r="G219" s="241" t="s">
        <v>4</v>
      </c>
      <c r="H219" s="214" t="s">
        <v>11970</v>
      </c>
    </row>
    <row r="220" spans="1:8" x14ac:dyDescent="0.25">
      <c r="A220" s="205">
        <v>44025</v>
      </c>
      <c r="B220" s="206" t="s">
        <v>11971</v>
      </c>
      <c r="C220" s="206" t="s">
        <v>11987</v>
      </c>
      <c r="D220" s="207" t="s">
        <v>11988</v>
      </c>
      <c r="E220" s="295" t="s">
        <v>11989</v>
      </c>
      <c r="F220" s="295"/>
      <c r="G220" s="115" t="s">
        <v>4</v>
      </c>
      <c r="H220" s="208">
        <f>3616.35/4</f>
        <v>904.08749999999998</v>
      </c>
    </row>
    <row r="221" spans="1:8" x14ac:dyDescent="0.25">
      <c r="A221" s="205">
        <v>44025</v>
      </c>
      <c r="B221" s="206" t="s">
        <v>11971</v>
      </c>
      <c r="C221" s="206" t="s">
        <v>11975</v>
      </c>
      <c r="D221" s="207" t="s">
        <v>11976</v>
      </c>
      <c r="E221" s="295" t="s">
        <v>11977</v>
      </c>
      <c r="F221" s="295"/>
      <c r="G221" s="115" t="s">
        <v>4</v>
      </c>
      <c r="H221" s="208">
        <f>2968.46/4</f>
        <v>742.11500000000001</v>
      </c>
    </row>
    <row r="222" spans="1:8" x14ac:dyDescent="0.25">
      <c r="A222" s="205">
        <v>44025</v>
      </c>
      <c r="B222" s="209" t="s">
        <v>11971</v>
      </c>
      <c r="C222" s="209" t="s">
        <v>11993</v>
      </c>
      <c r="D222" s="210" t="s">
        <v>11979</v>
      </c>
      <c r="E222" s="307" t="s">
        <v>11980</v>
      </c>
      <c r="F222" s="307"/>
      <c r="G222" s="211" t="s">
        <v>4</v>
      </c>
      <c r="H222" s="212">
        <f>2581.27/4</f>
        <v>645.3175</v>
      </c>
    </row>
    <row r="223" spans="1:8" ht="13.5" thickBot="1" x14ac:dyDescent="0.3">
      <c r="A223" s="296" t="s">
        <v>11981</v>
      </c>
      <c r="B223" s="297"/>
      <c r="C223" s="297"/>
      <c r="D223" s="297"/>
      <c r="E223" s="297"/>
      <c r="F223" s="297"/>
      <c r="G223" s="298"/>
      <c r="H223" s="188">
        <f>TRUNC(MEDIAN(H220:H222),2)</f>
        <v>742.11</v>
      </c>
    </row>
    <row r="224" spans="1:8" ht="13.5" thickBot="1" x14ac:dyDescent="0.3">
      <c r="A224" s="215" t="s">
        <v>11960</v>
      </c>
      <c r="B224" s="308" t="s">
        <v>11994</v>
      </c>
      <c r="C224" s="308"/>
      <c r="D224" s="308"/>
      <c r="E224" s="308"/>
      <c r="F224" s="308"/>
      <c r="G224" s="308"/>
      <c r="H224" s="216" t="s">
        <v>4</v>
      </c>
    </row>
    <row r="225" spans="1:8" ht="25.5" x14ac:dyDescent="0.25">
      <c r="A225" s="213" t="s">
        <v>11965</v>
      </c>
      <c r="B225" s="241" t="s">
        <v>11966</v>
      </c>
      <c r="C225" s="241" t="s">
        <v>11967</v>
      </c>
      <c r="D225" s="241" t="s">
        <v>11968</v>
      </c>
      <c r="E225" s="294" t="s">
        <v>11969</v>
      </c>
      <c r="F225" s="294"/>
      <c r="G225" s="241" t="s">
        <v>4</v>
      </c>
      <c r="H225" s="214" t="s">
        <v>11970</v>
      </c>
    </row>
    <row r="226" spans="1:8" x14ac:dyDescent="0.25">
      <c r="A226" s="205">
        <v>44025</v>
      </c>
      <c r="B226" s="206" t="s">
        <v>11971</v>
      </c>
      <c r="C226" s="206" t="s">
        <v>11995</v>
      </c>
      <c r="D226" s="207" t="s">
        <v>11996</v>
      </c>
      <c r="E226" s="295" t="s">
        <v>11997</v>
      </c>
      <c r="F226" s="295"/>
      <c r="G226" s="115" t="s">
        <v>4</v>
      </c>
      <c r="H226" s="208">
        <f>1422.42/3</f>
        <v>474.14000000000004</v>
      </c>
    </row>
    <row r="227" spans="1:8" x14ac:dyDescent="0.25">
      <c r="A227" s="205">
        <v>44025</v>
      </c>
      <c r="B227" s="206" t="s">
        <v>11971</v>
      </c>
      <c r="C227" s="206" t="s">
        <v>11975</v>
      </c>
      <c r="D227" s="207" t="s">
        <v>11976</v>
      </c>
      <c r="E227" s="295" t="s">
        <v>11977</v>
      </c>
      <c r="F227" s="295"/>
      <c r="G227" s="115" t="s">
        <v>4</v>
      </c>
      <c r="H227" s="208">
        <f>2019.62/4</f>
        <v>504.90499999999997</v>
      </c>
    </row>
    <row r="228" spans="1:8" x14ac:dyDescent="0.25">
      <c r="A228" s="205">
        <v>44025</v>
      </c>
      <c r="B228" s="209" t="s">
        <v>11971</v>
      </c>
      <c r="C228" s="209" t="s">
        <v>11978</v>
      </c>
      <c r="D228" s="210" t="s">
        <v>11979</v>
      </c>
      <c r="E228" s="307" t="s">
        <v>11980</v>
      </c>
      <c r="F228" s="307"/>
      <c r="G228" s="211" t="s">
        <v>4</v>
      </c>
      <c r="H228" s="212">
        <f>1725.64/4</f>
        <v>431.41</v>
      </c>
    </row>
    <row r="229" spans="1:8" ht="13.5" thickBot="1" x14ac:dyDescent="0.3">
      <c r="A229" s="296" t="s">
        <v>11981</v>
      </c>
      <c r="B229" s="297"/>
      <c r="C229" s="297"/>
      <c r="D229" s="297"/>
      <c r="E229" s="297"/>
      <c r="F229" s="297"/>
      <c r="G229" s="298"/>
      <c r="H229" s="188">
        <f>TRUNC(MEDIAN(H226:H228),2)</f>
        <v>474.14</v>
      </c>
    </row>
    <row r="230" spans="1:8" ht="13.5" thickBot="1" x14ac:dyDescent="0.3">
      <c r="A230" s="215" t="s">
        <v>11960</v>
      </c>
      <c r="B230" s="308" t="s">
        <v>11998</v>
      </c>
      <c r="C230" s="308"/>
      <c r="D230" s="308"/>
      <c r="E230" s="308"/>
      <c r="F230" s="308"/>
      <c r="G230" s="308"/>
      <c r="H230" s="216" t="s">
        <v>4</v>
      </c>
    </row>
    <row r="231" spans="1:8" ht="25.5" x14ac:dyDescent="0.25">
      <c r="A231" s="213" t="s">
        <v>11965</v>
      </c>
      <c r="B231" s="241" t="s">
        <v>11966</v>
      </c>
      <c r="C231" s="241" t="s">
        <v>11967</v>
      </c>
      <c r="D231" s="241" t="s">
        <v>11968</v>
      </c>
      <c r="E231" s="294" t="s">
        <v>11969</v>
      </c>
      <c r="F231" s="294"/>
      <c r="G231" s="241" t="s">
        <v>4</v>
      </c>
      <c r="H231" s="214" t="s">
        <v>11970</v>
      </c>
    </row>
    <row r="232" spans="1:8" x14ac:dyDescent="0.25">
      <c r="A232" s="205">
        <v>44022</v>
      </c>
      <c r="B232" s="206" t="s">
        <v>11971</v>
      </c>
      <c r="C232" s="206" t="s">
        <v>11983</v>
      </c>
      <c r="D232" s="207" t="s">
        <v>11984</v>
      </c>
      <c r="E232" s="295" t="s">
        <v>11985</v>
      </c>
      <c r="F232" s="295"/>
      <c r="G232" s="115" t="s">
        <v>4</v>
      </c>
      <c r="H232" s="208">
        <f>4343.91/14</f>
        <v>310.27928571428572</v>
      </c>
    </row>
    <row r="233" spans="1:8" x14ac:dyDescent="0.25">
      <c r="A233" s="205">
        <v>44022</v>
      </c>
      <c r="B233" s="206" t="s">
        <v>11971</v>
      </c>
      <c r="C233" s="206" t="s">
        <v>11987</v>
      </c>
      <c r="D233" s="207" t="s">
        <v>11988</v>
      </c>
      <c r="E233" s="295" t="s">
        <v>11989</v>
      </c>
      <c r="F233" s="295"/>
      <c r="G233" s="115" t="s">
        <v>4</v>
      </c>
      <c r="H233" s="208">
        <f>4837.32/14</f>
        <v>345.52285714285711</v>
      </c>
    </row>
    <row r="234" spans="1:8" x14ac:dyDescent="0.25">
      <c r="A234" s="205">
        <v>44022</v>
      </c>
      <c r="B234" s="209" t="s">
        <v>11971</v>
      </c>
      <c r="C234" s="209" t="s">
        <v>11978</v>
      </c>
      <c r="D234" s="210" t="s">
        <v>11979</v>
      </c>
      <c r="E234" s="307" t="s">
        <v>11980</v>
      </c>
      <c r="F234" s="307"/>
      <c r="G234" s="211" t="s">
        <v>4</v>
      </c>
      <c r="H234" s="212">
        <f>5564.59/14</f>
        <v>397.47071428571428</v>
      </c>
    </row>
    <row r="235" spans="1:8" ht="13.5" thickBot="1" x14ac:dyDescent="0.3">
      <c r="A235" s="296" t="s">
        <v>11981</v>
      </c>
      <c r="B235" s="297"/>
      <c r="C235" s="297"/>
      <c r="D235" s="297"/>
      <c r="E235" s="297"/>
      <c r="F235" s="297"/>
      <c r="G235" s="298"/>
      <c r="H235" s="188">
        <f>TRUNC(MEDIAN(H232:H234),2)</f>
        <v>345.52</v>
      </c>
    </row>
    <row r="236" spans="1:8" ht="13.5" thickBot="1" x14ac:dyDescent="0.3"/>
    <row r="237" spans="1:8" ht="25.5" x14ac:dyDescent="0.25">
      <c r="A237" s="120" t="s">
        <v>90</v>
      </c>
      <c r="B237" s="286" t="s">
        <v>91</v>
      </c>
      <c r="C237" s="287"/>
      <c r="D237" s="287"/>
      <c r="E237" s="287"/>
      <c r="F237" s="287"/>
      <c r="G237" s="288"/>
      <c r="H237" s="121" t="s">
        <v>4</v>
      </c>
    </row>
    <row r="238" spans="1:8" ht="13.5" thickBot="1" x14ac:dyDescent="0.3">
      <c r="A238" s="113" t="s">
        <v>12001</v>
      </c>
      <c r="B238" s="289" t="s">
        <v>12002</v>
      </c>
      <c r="C238" s="290"/>
      <c r="D238" s="290"/>
      <c r="E238" s="290"/>
      <c r="F238" s="290"/>
      <c r="G238" s="291"/>
      <c r="H238" s="114" t="s">
        <v>4</v>
      </c>
    </row>
    <row r="239" spans="1:8" x14ac:dyDescent="0.25">
      <c r="A239" s="273" t="s">
        <v>13834</v>
      </c>
      <c r="B239" s="275" t="s">
        <v>92</v>
      </c>
      <c r="C239" s="276"/>
      <c r="D239" s="185" t="s">
        <v>12003</v>
      </c>
      <c r="E239" s="239" t="s">
        <v>93</v>
      </c>
      <c r="F239" s="193" t="s">
        <v>11957</v>
      </c>
      <c r="G239" s="277" t="s">
        <v>94</v>
      </c>
      <c r="H239" s="278"/>
    </row>
    <row r="240" spans="1:8" x14ac:dyDescent="0.25">
      <c r="A240" s="274"/>
      <c r="B240" s="281" t="s">
        <v>95</v>
      </c>
      <c r="C240" s="282"/>
      <c r="D240" s="187">
        <v>43368</v>
      </c>
      <c r="E240" s="240" t="s">
        <v>96</v>
      </c>
      <c r="F240" s="187">
        <v>43656</v>
      </c>
      <c r="G240" s="279"/>
      <c r="H240" s="280"/>
    </row>
    <row r="241" spans="1:8" x14ac:dyDescent="0.25">
      <c r="A241" s="122" t="s">
        <v>11885</v>
      </c>
      <c r="B241" s="123" t="s">
        <v>97</v>
      </c>
      <c r="C241" s="123" t="s">
        <v>98</v>
      </c>
      <c r="D241" s="123" t="s">
        <v>3</v>
      </c>
      <c r="E241" s="123" t="s">
        <v>4</v>
      </c>
      <c r="F241" s="123" t="s">
        <v>99</v>
      </c>
      <c r="G241" s="123" t="s">
        <v>100</v>
      </c>
      <c r="H241" s="124" t="s">
        <v>101</v>
      </c>
    </row>
    <row r="242" spans="1:8" ht="25.5" x14ac:dyDescent="0.25">
      <c r="A242" s="125" t="s">
        <v>398</v>
      </c>
      <c r="B242" s="115" t="s">
        <v>9</v>
      </c>
      <c r="C242" s="115">
        <v>88316</v>
      </c>
      <c r="D242" s="127" t="str">
        <f>IF(A242="COMPOSIÇÃO",VLOOKUP(C242,'SINAPI_COMPOSIÇÕES 062020'!A:B,2,FALSE),VLOOKUP(C242,'SINAPI_INSUMOS 062020'!A:B,2,FALSE))</f>
        <v>SERVENTE COM ENCARGOS COMPLEMENTARES</v>
      </c>
      <c r="E242" s="126" t="str">
        <f>IF(A242="COMPOSIÇÃO",VLOOKUP(C242,'SINAPI_COMPOSIÇÕES 062020'!A:C,3,FALSE),VLOOKUP(C242,'SINAPI_INSUMOS 062020'!A:C,3,FALSE))</f>
        <v>H</v>
      </c>
      <c r="F242" s="74">
        <v>1.75</v>
      </c>
      <c r="G242" s="128">
        <f>IF(A242="COMPOSIÇÃO",VLOOKUP(C242,'SINAPI_COMPOSIÇÕES 062020'!A:D,4,FALSE),VLOOKUP(C242,'SINAPI_INSUMOS 062020'!A:D,4,FALSE))</f>
        <v>14.37</v>
      </c>
      <c r="H242" s="75">
        <f t="shared" ref="H242:H243" si="19">TRUNC(G242*F242,2)</f>
        <v>25.14</v>
      </c>
    </row>
    <row r="243" spans="1:8" ht="25.5" x14ac:dyDescent="0.25">
      <c r="A243" s="125" t="s">
        <v>398</v>
      </c>
      <c r="B243" s="115" t="s">
        <v>9</v>
      </c>
      <c r="C243" s="115">
        <v>88267</v>
      </c>
      <c r="D243" s="127" t="str">
        <f>IF(A243="COMPOSIÇÃO",VLOOKUP(C243,'SINAPI_COMPOSIÇÕES 062020'!A:B,2,FALSE),VLOOKUP(C243,'SINAPI_INSUMOS 062020'!A:B,2,FALSE))</f>
        <v>ENCANADOR OU BOMBEIRO HIDRÁULICO COM ENCARGOS COMPLEMENTARES</v>
      </c>
      <c r="E243" s="126" t="str">
        <f>IF(A243="COMPOSIÇÃO",VLOOKUP(C243,'SINAPI_COMPOSIÇÕES 062020'!A:C,3,FALSE),VLOOKUP(C243,'SINAPI_INSUMOS 062020'!A:C,3,FALSE))</f>
        <v>H</v>
      </c>
      <c r="F243" s="74">
        <v>1.75</v>
      </c>
      <c r="G243" s="128">
        <f>IF(A243="COMPOSIÇÃO",VLOOKUP(C243,'SINAPI_COMPOSIÇÕES 062020'!A:D,4,FALSE),VLOOKUP(C243,'SINAPI_INSUMOS 062020'!A:D,4,FALSE))</f>
        <v>17.79</v>
      </c>
      <c r="H243" s="75">
        <f t="shared" si="19"/>
        <v>31.13</v>
      </c>
    </row>
    <row r="244" spans="1:8" ht="25.5" x14ac:dyDescent="0.25">
      <c r="A244" s="125" t="s">
        <v>11958</v>
      </c>
      <c r="B244" s="115" t="s">
        <v>11959</v>
      </c>
      <c r="C244" s="115" t="s">
        <v>11960</v>
      </c>
      <c r="D244" s="194" t="str">
        <f>B249</f>
        <v>LAVATÓRIO EM LOUÇA BRANCA, REF. DECA LINHA VOGUE PLUS L.51.17</v>
      </c>
      <c r="E244" s="115" t="s">
        <v>4</v>
      </c>
      <c r="F244" s="74">
        <v>1</v>
      </c>
      <c r="G244" s="195">
        <f>H254</f>
        <v>292.60000000000002</v>
      </c>
      <c r="H244" s="75">
        <f t="shared" ref="H244:H245" si="20">TRUNC(G244*F244,2)</f>
        <v>292.60000000000002</v>
      </c>
    </row>
    <row r="245" spans="1:8" ht="25.5" x14ac:dyDescent="0.25">
      <c r="A245" s="125" t="s">
        <v>11958</v>
      </c>
      <c r="B245" s="115" t="s">
        <v>11959</v>
      </c>
      <c r="C245" s="115" t="s">
        <v>11960</v>
      </c>
      <c r="D245" s="194" t="str">
        <f>B255</f>
        <v>COLUNA SUSPENSA EM LOUÇA BRANCA, REF. DECA LINHA VOGUE PLUS C510.17</v>
      </c>
      <c r="E245" s="115" t="s">
        <v>4</v>
      </c>
      <c r="F245" s="74">
        <v>1</v>
      </c>
      <c r="G245" s="195">
        <f>H260</f>
        <v>200.8</v>
      </c>
      <c r="H245" s="75">
        <f t="shared" si="20"/>
        <v>200.8</v>
      </c>
    </row>
    <row r="246" spans="1:8" ht="13.5" thickBot="1" x14ac:dyDescent="0.3">
      <c r="A246" s="267" t="str">
        <f>CONCATENATE("TOTAL DO ÍTEM - ",A238)</f>
        <v>TOTAL DO ÍTEM - MPMT-04177</v>
      </c>
      <c r="B246" s="268"/>
      <c r="C246" s="268"/>
      <c r="D246" s="268"/>
      <c r="E246" s="268"/>
      <c r="F246" s="268"/>
      <c r="G246" s="269"/>
      <c r="H246" s="188">
        <f>TRUNC(SUM(H242:H245),2)</f>
        <v>549.66999999999996</v>
      </c>
    </row>
    <row r="247" spans="1:8" ht="13.5" thickBot="1" x14ac:dyDescent="0.3">
      <c r="A247" s="299" t="s">
        <v>12004</v>
      </c>
      <c r="B247" s="300"/>
      <c r="C247" s="300"/>
      <c r="D247" s="300"/>
      <c r="E247" s="300"/>
      <c r="F247" s="300"/>
      <c r="G247" s="300"/>
      <c r="H247" s="301"/>
    </row>
    <row r="248" spans="1:8" x14ac:dyDescent="0.25">
      <c r="A248" s="196"/>
      <c r="B248" s="292" t="s">
        <v>11962</v>
      </c>
      <c r="C248" s="292"/>
      <c r="D248" s="292"/>
      <c r="E248" s="292"/>
      <c r="F248" s="292"/>
      <c r="G248" s="292"/>
      <c r="H248" s="197" t="s">
        <v>11963</v>
      </c>
    </row>
    <row r="249" spans="1:8" ht="13.5" thickBot="1" x14ac:dyDescent="0.3">
      <c r="A249" s="215" t="s">
        <v>11960</v>
      </c>
      <c r="B249" s="308" t="s">
        <v>12005</v>
      </c>
      <c r="C249" s="308"/>
      <c r="D249" s="308"/>
      <c r="E249" s="308"/>
      <c r="F249" s="308"/>
      <c r="G249" s="308"/>
      <c r="H249" s="216" t="s">
        <v>4</v>
      </c>
    </row>
    <row r="250" spans="1:8" ht="25.5" x14ac:dyDescent="0.25">
      <c r="A250" s="213" t="s">
        <v>11965</v>
      </c>
      <c r="B250" s="241" t="s">
        <v>11966</v>
      </c>
      <c r="C250" s="241" t="s">
        <v>11967</v>
      </c>
      <c r="D250" s="241" t="s">
        <v>11968</v>
      </c>
      <c r="E250" s="294" t="s">
        <v>11969</v>
      </c>
      <c r="F250" s="294"/>
      <c r="G250" s="241" t="s">
        <v>4</v>
      </c>
      <c r="H250" s="214" t="s">
        <v>11970</v>
      </c>
    </row>
    <row r="251" spans="1:8" x14ac:dyDescent="0.25">
      <c r="A251" s="205">
        <v>44025</v>
      </c>
      <c r="B251" s="206" t="s">
        <v>11971</v>
      </c>
      <c r="C251" s="206" t="s">
        <v>11983</v>
      </c>
      <c r="D251" s="207" t="s">
        <v>11984</v>
      </c>
      <c r="E251" s="295" t="s">
        <v>11985</v>
      </c>
      <c r="F251" s="295"/>
      <c r="G251" s="203" t="s">
        <v>4</v>
      </c>
      <c r="H251" s="204">
        <f>314.73/3</f>
        <v>104.91000000000001</v>
      </c>
    </row>
    <row r="252" spans="1:8" x14ac:dyDescent="0.25">
      <c r="A252" s="205">
        <v>44025</v>
      </c>
      <c r="B252" s="206" t="s">
        <v>11971</v>
      </c>
      <c r="C252" s="206" t="s">
        <v>11975</v>
      </c>
      <c r="D252" s="207" t="s">
        <v>11976</v>
      </c>
      <c r="E252" s="295" t="s">
        <v>11977</v>
      </c>
      <c r="F252" s="295"/>
      <c r="G252" s="115" t="s">
        <v>4</v>
      </c>
      <c r="H252" s="208">
        <f>877.8/3</f>
        <v>292.59999999999997</v>
      </c>
    </row>
    <row r="253" spans="1:8" x14ac:dyDescent="0.25">
      <c r="A253" s="205">
        <v>44025</v>
      </c>
      <c r="B253" s="209" t="s">
        <v>11971</v>
      </c>
      <c r="C253" s="209" t="s">
        <v>11993</v>
      </c>
      <c r="D253" s="210" t="s">
        <v>11979</v>
      </c>
      <c r="E253" s="307" t="s">
        <v>11980</v>
      </c>
      <c r="F253" s="307"/>
      <c r="G253" s="211" t="s">
        <v>4</v>
      </c>
      <c r="H253" s="212">
        <f>1245.23/3</f>
        <v>415.07666666666665</v>
      </c>
    </row>
    <row r="254" spans="1:8" ht="13.5" thickBot="1" x14ac:dyDescent="0.3">
      <c r="A254" s="296" t="s">
        <v>11981</v>
      </c>
      <c r="B254" s="297"/>
      <c r="C254" s="297"/>
      <c r="D254" s="297"/>
      <c r="E254" s="297"/>
      <c r="F254" s="297"/>
      <c r="G254" s="298"/>
      <c r="H254" s="188">
        <f>TRUNC(MEDIAN(H251:H253),2)</f>
        <v>292.60000000000002</v>
      </c>
    </row>
    <row r="255" spans="1:8" ht="13.5" thickBot="1" x14ac:dyDescent="0.3">
      <c r="A255" s="215" t="s">
        <v>11960</v>
      </c>
      <c r="B255" s="308" t="s">
        <v>12006</v>
      </c>
      <c r="C255" s="308"/>
      <c r="D255" s="308"/>
      <c r="E255" s="308"/>
      <c r="F255" s="308"/>
      <c r="G255" s="308"/>
      <c r="H255" s="216" t="s">
        <v>4</v>
      </c>
    </row>
    <row r="256" spans="1:8" ht="25.5" x14ac:dyDescent="0.25">
      <c r="A256" s="213" t="s">
        <v>11965</v>
      </c>
      <c r="B256" s="241" t="s">
        <v>11966</v>
      </c>
      <c r="C256" s="241" t="s">
        <v>11967</v>
      </c>
      <c r="D256" s="241" t="s">
        <v>11968</v>
      </c>
      <c r="E256" s="294" t="s">
        <v>11969</v>
      </c>
      <c r="F256" s="294"/>
      <c r="G256" s="241" t="s">
        <v>4</v>
      </c>
      <c r="H256" s="214" t="s">
        <v>11970</v>
      </c>
    </row>
    <row r="257" spans="1:8" x14ac:dyDescent="0.25">
      <c r="A257" s="205">
        <v>44025</v>
      </c>
      <c r="B257" s="201" t="s">
        <v>11971</v>
      </c>
      <c r="C257" s="201" t="s">
        <v>11987</v>
      </c>
      <c r="D257" s="202" t="s">
        <v>11988</v>
      </c>
      <c r="E257" s="306" t="s">
        <v>11989</v>
      </c>
      <c r="F257" s="306"/>
      <c r="G257" s="203" t="s">
        <v>4</v>
      </c>
      <c r="H257" s="204">
        <f>1061.37/3</f>
        <v>353.78999999999996</v>
      </c>
    </row>
    <row r="258" spans="1:8" x14ac:dyDescent="0.25">
      <c r="A258" s="205">
        <v>44025</v>
      </c>
      <c r="B258" s="206" t="s">
        <v>11971</v>
      </c>
      <c r="C258" s="206" t="s">
        <v>11983</v>
      </c>
      <c r="D258" s="207" t="s">
        <v>11984</v>
      </c>
      <c r="E258" s="295" t="s">
        <v>11985</v>
      </c>
      <c r="F258" s="295"/>
      <c r="G258" s="115" t="s">
        <v>4</v>
      </c>
      <c r="H258" s="208">
        <f>468.84/3</f>
        <v>156.28</v>
      </c>
    </row>
    <row r="259" spans="1:8" x14ac:dyDescent="0.25">
      <c r="A259" s="205">
        <v>44025</v>
      </c>
      <c r="B259" s="209" t="s">
        <v>11971</v>
      </c>
      <c r="C259" s="209" t="s">
        <v>11993</v>
      </c>
      <c r="D259" s="210" t="s">
        <v>11979</v>
      </c>
      <c r="E259" s="307" t="s">
        <v>11980</v>
      </c>
      <c r="F259" s="307"/>
      <c r="G259" s="211" t="s">
        <v>4</v>
      </c>
      <c r="H259" s="212">
        <f>602.42/3</f>
        <v>200.80666666666664</v>
      </c>
    </row>
    <row r="260" spans="1:8" ht="13.5" thickBot="1" x14ac:dyDescent="0.3">
      <c r="A260" s="296" t="s">
        <v>11981</v>
      </c>
      <c r="B260" s="297"/>
      <c r="C260" s="297"/>
      <c r="D260" s="297"/>
      <c r="E260" s="297"/>
      <c r="F260" s="297"/>
      <c r="G260" s="298"/>
      <c r="H260" s="188">
        <f>TRUNC(MEDIAN(H257:H259),2)</f>
        <v>200.8</v>
      </c>
    </row>
    <row r="261" spans="1:8" ht="13.5" thickBot="1" x14ac:dyDescent="0.3"/>
    <row r="262" spans="1:8" ht="25.5" x14ac:dyDescent="0.25">
      <c r="A262" s="120" t="s">
        <v>90</v>
      </c>
      <c r="B262" s="286" t="s">
        <v>91</v>
      </c>
      <c r="C262" s="287"/>
      <c r="D262" s="287"/>
      <c r="E262" s="287"/>
      <c r="F262" s="287"/>
      <c r="G262" s="288"/>
      <c r="H262" s="121" t="s">
        <v>4</v>
      </c>
    </row>
    <row r="263" spans="1:8" ht="13.5" thickBot="1" x14ac:dyDescent="0.3">
      <c r="A263" s="113" t="s">
        <v>12007</v>
      </c>
      <c r="B263" s="289" t="s">
        <v>12008</v>
      </c>
      <c r="C263" s="290"/>
      <c r="D263" s="290"/>
      <c r="E263" s="290"/>
      <c r="F263" s="290"/>
      <c r="G263" s="291"/>
      <c r="H263" s="114" t="s">
        <v>4</v>
      </c>
    </row>
    <row r="264" spans="1:8" x14ac:dyDescent="0.25">
      <c r="A264" s="273" t="s">
        <v>13834</v>
      </c>
      <c r="B264" s="275" t="s">
        <v>92</v>
      </c>
      <c r="C264" s="276"/>
      <c r="D264" s="185" t="s">
        <v>12003</v>
      </c>
      <c r="E264" s="239" t="s">
        <v>93</v>
      </c>
      <c r="F264" s="193" t="s">
        <v>12009</v>
      </c>
      <c r="G264" s="277" t="s">
        <v>94</v>
      </c>
      <c r="H264" s="278"/>
    </row>
    <row r="265" spans="1:8" x14ac:dyDescent="0.25">
      <c r="A265" s="274"/>
      <c r="B265" s="281" t="s">
        <v>95</v>
      </c>
      <c r="C265" s="282"/>
      <c r="D265" s="187">
        <v>44025</v>
      </c>
      <c r="E265" s="240" t="s">
        <v>96</v>
      </c>
      <c r="F265" s="187">
        <v>44025</v>
      </c>
      <c r="G265" s="279"/>
      <c r="H265" s="280"/>
    </row>
    <row r="266" spans="1:8" x14ac:dyDescent="0.25">
      <c r="A266" s="122" t="s">
        <v>11885</v>
      </c>
      <c r="B266" s="123" t="s">
        <v>97</v>
      </c>
      <c r="C266" s="123" t="s">
        <v>98</v>
      </c>
      <c r="D266" s="123" t="s">
        <v>3</v>
      </c>
      <c r="E266" s="123" t="s">
        <v>4</v>
      </c>
      <c r="F266" s="123" t="s">
        <v>99</v>
      </c>
      <c r="G266" s="123" t="s">
        <v>100</v>
      </c>
      <c r="H266" s="124" t="s">
        <v>101</v>
      </c>
    </row>
    <row r="267" spans="1:8" ht="25.5" x14ac:dyDescent="0.25">
      <c r="A267" s="125" t="s">
        <v>398</v>
      </c>
      <c r="B267" s="115" t="s">
        <v>9</v>
      </c>
      <c r="C267" s="115">
        <v>88316</v>
      </c>
      <c r="D267" s="127" t="str">
        <f>IF(A267="COMPOSIÇÃO",VLOOKUP(C267,'SINAPI_COMPOSIÇÕES 062020'!A:B,2,FALSE),VLOOKUP(C267,'SINAPI_INSUMOS 062020'!A:B,2,FALSE))</f>
        <v>SERVENTE COM ENCARGOS COMPLEMENTARES</v>
      </c>
      <c r="E267" s="126" t="str">
        <f>IF(A267="COMPOSIÇÃO",VLOOKUP(C267,'SINAPI_COMPOSIÇÕES 062020'!A:C,3,FALSE),VLOOKUP(C267,'SINAPI_INSUMOS 062020'!A:C,3,FALSE))</f>
        <v>H</v>
      </c>
      <c r="F267" s="74">
        <v>1.75</v>
      </c>
      <c r="G267" s="128">
        <f>IF(A267="COMPOSIÇÃO",VLOOKUP(C267,'SINAPI_COMPOSIÇÕES 062020'!A:D,4,FALSE),VLOOKUP(C267,'SINAPI_INSUMOS 062020'!A:D,4,FALSE))</f>
        <v>14.37</v>
      </c>
      <c r="H267" s="75">
        <f t="shared" ref="H267:H269" si="21">TRUNC(G267*F267,2)</f>
        <v>25.14</v>
      </c>
    </row>
    <row r="268" spans="1:8" ht="25.5" x14ac:dyDescent="0.25">
      <c r="A268" s="125" t="s">
        <v>398</v>
      </c>
      <c r="B268" s="115" t="s">
        <v>9</v>
      </c>
      <c r="C268" s="115">
        <v>88267</v>
      </c>
      <c r="D268" s="127" t="str">
        <f>IF(A268="COMPOSIÇÃO",VLOOKUP(C268,'SINAPI_COMPOSIÇÕES 062020'!A:B,2,FALSE),VLOOKUP(C268,'SINAPI_INSUMOS 062020'!A:B,2,FALSE))</f>
        <v>ENCANADOR OU BOMBEIRO HIDRÁULICO COM ENCARGOS COMPLEMENTARES</v>
      </c>
      <c r="E268" s="126" t="str">
        <f>IF(A268="COMPOSIÇÃO",VLOOKUP(C268,'SINAPI_COMPOSIÇÕES 062020'!A:C,3,FALSE),VLOOKUP(C268,'SINAPI_INSUMOS 062020'!A:C,3,FALSE))</f>
        <v>H</v>
      </c>
      <c r="F268" s="74">
        <v>1.75</v>
      </c>
      <c r="G268" s="128">
        <f>IF(A268="COMPOSIÇÃO",VLOOKUP(C268,'SINAPI_COMPOSIÇÕES 062020'!A:D,4,FALSE),VLOOKUP(C268,'SINAPI_INSUMOS 062020'!A:D,4,FALSE))</f>
        <v>17.79</v>
      </c>
      <c r="H268" s="75">
        <f t="shared" si="21"/>
        <v>31.13</v>
      </c>
    </row>
    <row r="269" spans="1:8" ht="51" x14ac:dyDescent="0.25">
      <c r="A269" s="125" t="s">
        <v>400</v>
      </c>
      <c r="B269" s="115" t="s">
        <v>9</v>
      </c>
      <c r="C269" s="115">
        <v>4351</v>
      </c>
      <c r="D269" s="127" t="str">
        <f>IF(A269="COMPOSIÇÃO",VLOOKUP(C269,'SINAPI_COMPOSIÇÕES 062020'!A:B,2,FALSE),VLOOKUP(C269,'SINAPI_INSUMOS 062020'!A:B,2,FALSE))</f>
        <v>PARAFUSO NIQUELADO 3 1/2" COM ACABAMENTO CROMADO PARA FIXAR PECA SANITARIA, INCLUI PORCA CEGA, ARRUELA E BUCHA DE NYLON TAMANHO S-8</v>
      </c>
      <c r="E269" s="126" t="str">
        <f>IF(A269="COMPOSIÇÃO",VLOOKUP(C269,'SINAPI_COMPOSIÇÕES 062020'!A:C,3,FALSE),VLOOKUP(C269,'SINAPI_INSUMOS 062020'!A:C,3,FALSE))</f>
        <v xml:space="preserve">UN    </v>
      </c>
      <c r="F269" s="74">
        <v>6</v>
      </c>
      <c r="G269" s="128">
        <f>IF(A269="COMPOSIÇÃO",VLOOKUP(C269,'SINAPI_COMPOSIÇÕES 062020'!A:D,4,FALSE),VLOOKUP(C269,'SINAPI_INSUMOS 062020'!A:D,4,FALSE))</f>
        <v>11.55</v>
      </c>
      <c r="H269" s="75">
        <f t="shared" si="21"/>
        <v>69.3</v>
      </c>
    </row>
    <row r="270" spans="1:8" ht="13.5" thickBot="1" x14ac:dyDescent="0.3">
      <c r="A270" s="267" t="str">
        <f>CONCATENATE("TOTAL DO ÍTEM - ",A263)</f>
        <v>TOTAL DO ÍTEM - MPMT-04297</v>
      </c>
      <c r="B270" s="268"/>
      <c r="C270" s="268"/>
      <c r="D270" s="268"/>
      <c r="E270" s="268"/>
      <c r="F270" s="268"/>
      <c r="G270" s="269"/>
      <c r="H270" s="188">
        <f>TRUNC(SUM(H267:H269),2)</f>
        <v>125.57</v>
      </c>
    </row>
    <row r="271" spans="1:8" ht="13.5" thickBot="1" x14ac:dyDescent="0.3">
      <c r="A271" s="299" t="s">
        <v>12010</v>
      </c>
      <c r="B271" s="300"/>
      <c r="C271" s="300"/>
      <c r="D271" s="300"/>
      <c r="E271" s="300"/>
      <c r="F271" s="300"/>
      <c r="G271" s="300"/>
      <c r="H271" s="301"/>
    </row>
    <row r="272" spans="1:8" ht="13.5" thickBot="1" x14ac:dyDescent="0.3"/>
    <row r="273" spans="1:8" ht="25.5" x14ac:dyDescent="0.25">
      <c r="A273" s="120" t="s">
        <v>90</v>
      </c>
      <c r="B273" s="286" t="s">
        <v>91</v>
      </c>
      <c r="C273" s="287"/>
      <c r="D273" s="287"/>
      <c r="E273" s="287"/>
      <c r="F273" s="287"/>
      <c r="G273" s="288"/>
      <c r="H273" s="121" t="s">
        <v>4</v>
      </c>
    </row>
    <row r="274" spans="1:8" ht="13.5" thickBot="1" x14ac:dyDescent="0.3">
      <c r="A274" s="113" t="s">
        <v>12011</v>
      </c>
      <c r="B274" s="289" t="s">
        <v>12012</v>
      </c>
      <c r="C274" s="290"/>
      <c r="D274" s="290"/>
      <c r="E274" s="290"/>
      <c r="F274" s="290"/>
      <c r="G274" s="291"/>
      <c r="H274" s="114" t="s">
        <v>4</v>
      </c>
    </row>
    <row r="275" spans="1:8" x14ac:dyDescent="0.25">
      <c r="A275" s="273" t="s">
        <v>13834</v>
      </c>
      <c r="B275" s="275" t="s">
        <v>92</v>
      </c>
      <c r="C275" s="276"/>
      <c r="D275" s="185" t="s">
        <v>12013</v>
      </c>
      <c r="E275" s="239" t="s">
        <v>93</v>
      </c>
      <c r="F275" s="193" t="s">
        <v>12009</v>
      </c>
      <c r="G275" s="277" t="s">
        <v>94</v>
      </c>
      <c r="H275" s="278"/>
    </row>
    <row r="276" spans="1:8" x14ac:dyDescent="0.25">
      <c r="A276" s="274"/>
      <c r="B276" s="281" t="s">
        <v>95</v>
      </c>
      <c r="C276" s="282"/>
      <c r="D276" s="187">
        <v>44025</v>
      </c>
      <c r="E276" s="240" t="s">
        <v>96</v>
      </c>
      <c r="F276" s="187">
        <v>44025</v>
      </c>
      <c r="G276" s="279"/>
      <c r="H276" s="280"/>
    </row>
    <row r="277" spans="1:8" x14ac:dyDescent="0.25">
      <c r="A277" s="122" t="s">
        <v>11885</v>
      </c>
      <c r="B277" s="123" t="s">
        <v>97</v>
      </c>
      <c r="C277" s="123" t="s">
        <v>98</v>
      </c>
      <c r="D277" s="123" t="s">
        <v>3</v>
      </c>
      <c r="E277" s="123" t="s">
        <v>4</v>
      </c>
      <c r="F277" s="123" t="s">
        <v>99</v>
      </c>
      <c r="G277" s="123" t="s">
        <v>100</v>
      </c>
      <c r="H277" s="124" t="s">
        <v>101</v>
      </c>
    </row>
    <row r="278" spans="1:8" ht="25.5" x14ac:dyDescent="0.25">
      <c r="A278" s="125" t="s">
        <v>398</v>
      </c>
      <c r="B278" s="115" t="s">
        <v>9</v>
      </c>
      <c r="C278" s="115">
        <v>88267</v>
      </c>
      <c r="D278" s="127" t="str">
        <f>IF(A278="COMPOSIÇÃO",VLOOKUP(C278,'SINAPI_COMPOSIÇÕES 062020'!A:B,2,FALSE),VLOOKUP(C278,'SINAPI_INSUMOS 062020'!A:B,2,FALSE))</f>
        <v>ENCANADOR OU BOMBEIRO HIDRÁULICO COM ENCARGOS COMPLEMENTARES</v>
      </c>
      <c r="E278" s="126" t="str">
        <f>IF(A278="COMPOSIÇÃO",VLOOKUP(C278,'SINAPI_COMPOSIÇÕES 062020'!A:C,3,FALSE),VLOOKUP(C278,'SINAPI_INSUMOS 062020'!A:C,3,FALSE))</f>
        <v>H</v>
      </c>
      <c r="F278" s="74">
        <v>1.7688999999999999</v>
      </c>
      <c r="G278" s="128">
        <f>IF(A278="COMPOSIÇÃO",VLOOKUP(C278,'SINAPI_COMPOSIÇÕES 062020'!A:D,4,FALSE),VLOOKUP(C278,'SINAPI_INSUMOS 062020'!A:D,4,FALSE))</f>
        <v>17.79</v>
      </c>
      <c r="H278" s="75">
        <f t="shared" ref="H278:H281" si="22">TRUNC(G278*F278,2)</f>
        <v>31.46</v>
      </c>
    </row>
    <row r="279" spans="1:8" ht="25.5" x14ac:dyDescent="0.25">
      <c r="A279" s="125" t="s">
        <v>398</v>
      </c>
      <c r="B279" s="115" t="s">
        <v>9</v>
      </c>
      <c r="C279" s="115">
        <v>88316</v>
      </c>
      <c r="D279" s="127" t="str">
        <f>IF(A279="COMPOSIÇÃO",VLOOKUP(C279,'SINAPI_COMPOSIÇÕES 062020'!A:B,2,FALSE),VLOOKUP(C279,'SINAPI_INSUMOS 062020'!A:B,2,FALSE))</f>
        <v>SERVENTE COM ENCARGOS COMPLEMENTARES</v>
      </c>
      <c r="E279" s="126" t="str">
        <f>IF(A279="COMPOSIÇÃO",VLOOKUP(C279,'SINAPI_COMPOSIÇÕES 062020'!A:C,3,FALSE),VLOOKUP(C279,'SINAPI_INSUMOS 062020'!A:C,3,FALSE))</f>
        <v>H</v>
      </c>
      <c r="F279" s="74">
        <v>0.71109999999999995</v>
      </c>
      <c r="G279" s="128">
        <f>IF(A279="COMPOSIÇÃO",VLOOKUP(C279,'SINAPI_COMPOSIÇÕES 062020'!A:D,4,FALSE),VLOOKUP(C279,'SINAPI_INSUMOS 062020'!A:D,4,FALSE))</f>
        <v>14.37</v>
      </c>
      <c r="H279" s="75">
        <f t="shared" si="22"/>
        <v>10.210000000000001</v>
      </c>
    </row>
    <row r="280" spans="1:8" ht="51" x14ac:dyDescent="0.25">
      <c r="A280" s="125" t="s">
        <v>400</v>
      </c>
      <c r="B280" s="115" t="s">
        <v>9</v>
      </c>
      <c r="C280" s="115">
        <v>4351</v>
      </c>
      <c r="D280" s="127" t="str">
        <f>IF(A280="COMPOSIÇÃO",VLOOKUP(C280,'SINAPI_COMPOSIÇÕES 062020'!A:B,2,FALSE),VLOOKUP(C280,'SINAPI_INSUMOS 062020'!A:B,2,FALSE))</f>
        <v>PARAFUSO NIQUELADO 3 1/2" COM ACABAMENTO CROMADO PARA FIXAR PECA SANITARIA, INCLUI PORCA CEGA, ARRUELA E BUCHA DE NYLON TAMANHO S-8</v>
      </c>
      <c r="E280" s="126" t="str">
        <f>IF(A280="COMPOSIÇÃO",VLOOKUP(C280,'SINAPI_COMPOSIÇÕES 062020'!A:C,3,FALSE),VLOOKUP(C280,'SINAPI_INSUMOS 062020'!A:C,3,FALSE))</f>
        <v xml:space="preserve">UN    </v>
      </c>
      <c r="F280" s="74">
        <v>6</v>
      </c>
      <c r="G280" s="128">
        <f>IF(A280="COMPOSIÇÃO",VLOOKUP(C280,'SINAPI_COMPOSIÇÕES 062020'!A:D,4,FALSE),VLOOKUP(C280,'SINAPI_INSUMOS 062020'!A:D,4,FALSE))</f>
        <v>11.55</v>
      </c>
      <c r="H280" s="75">
        <f t="shared" si="22"/>
        <v>69.3</v>
      </c>
    </row>
    <row r="281" spans="1:8" x14ac:dyDescent="0.25">
      <c r="A281" s="125" t="s">
        <v>400</v>
      </c>
      <c r="B281" s="115" t="s">
        <v>9</v>
      </c>
      <c r="C281" s="115">
        <v>37329</v>
      </c>
      <c r="D281" s="127" t="str">
        <f>IF(A281="COMPOSIÇÃO",VLOOKUP(C281,'SINAPI_COMPOSIÇÕES 062020'!A:B,2,FALSE),VLOOKUP(C281,'SINAPI_INSUMOS 062020'!A:B,2,FALSE))</f>
        <v>REJUNTE EPOXI BRANCO</v>
      </c>
      <c r="E281" s="126" t="str">
        <f>IF(A281="COMPOSIÇÃO",VLOOKUP(C281,'SINAPI_COMPOSIÇÕES 062020'!A:C,3,FALSE),VLOOKUP(C281,'SINAPI_INSUMOS 062020'!A:C,3,FALSE))</f>
        <v xml:space="preserve">KG    </v>
      </c>
      <c r="F281" s="74">
        <v>7.0199999999999999E-2</v>
      </c>
      <c r="G281" s="128">
        <f>IF(A281="COMPOSIÇÃO",VLOOKUP(C281,'SINAPI_COMPOSIÇÕES 062020'!A:D,4,FALSE),VLOOKUP(C281,'SINAPI_INSUMOS 062020'!A:D,4,FALSE))</f>
        <v>57.59</v>
      </c>
      <c r="H281" s="75">
        <f t="shared" si="22"/>
        <v>4.04</v>
      </c>
    </row>
    <row r="282" spans="1:8" ht="13.5" thickBot="1" x14ac:dyDescent="0.3">
      <c r="A282" s="267" t="str">
        <f>CONCATENATE("TOTAL DO ÍTEM - ",A274)</f>
        <v>TOTAL DO ÍTEM - MPMT-04298</v>
      </c>
      <c r="B282" s="268"/>
      <c r="C282" s="268"/>
      <c r="D282" s="268"/>
      <c r="E282" s="268"/>
      <c r="F282" s="268"/>
      <c r="G282" s="269"/>
      <c r="H282" s="188">
        <f>TRUNC(SUM(H278:H281),2)</f>
        <v>115.01</v>
      </c>
    </row>
    <row r="283" spans="1:8" ht="13.5" thickBot="1" x14ac:dyDescent="0.3">
      <c r="A283" s="283" t="s">
        <v>12014</v>
      </c>
      <c r="B283" s="284"/>
      <c r="C283" s="284"/>
      <c r="D283" s="284"/>
      <c r="E283" s="284"/>
      <c r="F283" s="284"/>
      <c r="G283" s="284"/>
      <c r="H283" s="285"/>
    </row>
    <row r="284" spans="1:8" ht="13.5" thickBot="1" x14ac:dyDescent="0.3"/>
    <row r="285" spans="1:8" ht="25.5" x14ac:dyDescent="0.25">
      <c r="A285" s="120" t="s">
        <v>90</v>
      </c>
      <c r="B285" s="286" t="s">
        <v>91</v>
      </c>
      <c r="C285" s="287"/>
      <c r="D285" s="287"/>
      <c r="E285" s="287"/>
      <c r="F285" s="287"/>
      <c r="G285" s="288"/>
      <c r="H285" s="121" t="s">
        <v>4</v>
      </c>
    </row>
    <row r="286" spans="1:8" ht="13.5" thickBot="1" x14ac:dyDescent="0.3">
      <c r="A286" s="113" t="s">
        <v>12015</v>
      </c>
      <c r="B286" s="289" t="s">
        <v>12016</v>
      </c>
      <c r="C286" s="290"/>
      <c r="D286" s="290"/>
      <c r="E286" s="290"/>
      <c r="F286" s="290"/>
      <c r="G286" s="291"/>
      <c r="H286" s="114" t="s">
        <v>4</v>
      </c>
    </row>
    <row r="287" spans="1:8" x14ac:dyDescent="0.25">
      <c r="A287" s="273" t="s">
        <v>13834</v>
      </c>
      <c r="B287" s="275" t="s">
        <v>92</v>
      </c>
      <c r="C287" s="276"/>
      <c r="D287" s="185" t="s">
        <v>12017</v>
      </c>
      <c r="E287" s="239" t="s">
        <v>93</v>
      </c>
      <c r="F287" s="186">
        <v>0</v>
      </c>
      <c r="G287" s="277" t="s">
        <v>94</v>
      </c>
      <c r="H287" s="278"/>
    </row>
    <row r="288" spans="1:8" x14ac:dyDescent="0.25">
      <c r="A288" s="274"/>
      <c r="B288" s="281" t="s">
        <v>95</v>
      </c>
      <c r="C288" s="282"/>
      <c r="D288" s="187">
        <v>42920</v>
      </c>
      <c r="E288" s="240" t="s">
        <v>96</v>
      </c>
      <c r="F288" s="187">
        <v>42920</v>
      </c>
      <c r="G288" s="279"/>
      <c r="H288" s="280"/>
    </row>
    <row r="289" spans="1:8" x14ac:dyDescent="0.25">
      <c r="A289" s="122" t="s">
        <v>11885</v>
      </c>
      <c r="B289" s="123" t="s">
        <v>97</v>
      </c>
      <c r="C289" s="123" t="s">
        <v>98</v>
      </c>
      <c r="D289" s="123" t="s">
        <v>3</v>
      </c>
      <c r="E289" s="123" t="s">
        <v>4</v>
      </c>
      <c r="F289" s="123" t="s">
        <v>99</v>
      </c>
      <c r="G289" s="123" t="s">
        <v>100</v>
      </c>
      <c r="H289" s="124" t="s">
        <v>101</v>
      </c>
    </row>
    <row r="290" spans="1:8" ht="25.5" x14ac:dyDescent="0.25">
      <c r="A290" s="125" t="s">
        <v>398</v>
      </c>
      <c r="B290" s="115" t="s">
        <v>9</v>
      </c>
      <c r="C290" s="115">
        <v>88267</v>
      </c>
      <c r="D290" s="127" t="str">
        <f>IF(A290="COMPOSIÇÃO",VLOOKUP(C290,'SINAPI_COMPOSIÇÕES 062020'!A:B,2,FALSE),VLOOKUP(C290,'SINAPI_INSUMOS 062020'!A:B,2,FALSE))</f>
        <v>ENCANADOR OU BOMBEIRO HIDRÁULICO COM ENCARGOS COMPLEMENTARES</v>
      </c>
      <c r="E290" s="126" t="str">
        <f>IF(A290="COMPOSIÇÃO",VLOOKUP(C290,'SINAPI_COMPOSIÇÕES 062020'!A:C,3,FALSE),VLOOKUP(C290,'SINAPI_INSUMOS 062020'!A:C,3,FALSE))</f>
        <v>H</v>
      </c>
      <c r="F290" s="74">
        <v>0.15</v>
      </c>
      <c r="G290" s="128">
        <f>IF(A290="COMPOSIÇÃO",VLOOKUP(C290,'SINAPI_COMPOSIÇÕES 062020'!A:D,4,FALSE),VLOOKUP(C290,'SINAPI_INSUMOS 062020'!A:D,4,FALSE))</f>
        <v>17.79</v>
      </c>
      <c r="H290" s="75">
        <f t="shared" ref="H290:H293" si="23">TRUNC(G290*F290,2)</f>
        <v>2.66</v>
      </c>
    </row>
    <row r="291" spans="1:8" ht="25.5" x14ac:dyDescent="0.25">
      <c r="A291" s="125" t="s">
        <v>398</v>
      </c>
      <c r="B291" s="115" t="s">
        <v>9</v>
      </c>
      <c r="C291" s="115">
        <v>88316</v>
      </c>
      <c r="D291" s="127" t="str">
        <f>IF(A291="COMPOSIÇÃO",VLOOKUP(C291,'SINAPI_COMPOSIÇÕES 062020'!A:B,2,FALSE),VLOOKUP(C291,'SINAPI_INSUMOS 062020'!A:B,2,FALSE))</f>
        <v>SERVENTE COM ENCARGOS COMPLEMENTARES</v>
      </c>
      <c r="E291" s="126" t="str">
        <f>IF(A291="COMPOSIÇÃO",VLOOKUP(C291,'SINAPI_COMPOSIÇÕES 062020'!A:C,3,FALSE),VLOOKUP(C291,'SINAPI_INSUMOS 062020'!A:C,3,FALSE))</f>
        <v>H</v>
      </c>
      <c r="F291" s="74">
        <v>0.05</v>
      </c>
      <c r="G291" s="128">
        <f>IF(A291="COMPOSIÇÃO",VLOOKUP(C291,'SINAPI_COMPOSIÇÕES 062020'!A:D,4,FALSE),VLOOKUP(C291,'SINAPI_INSUMOS 062020'!A:D,4,FALSE))</f>
        <v>14.37</v>
      </c>
      <c r="H291" s="75">
        <f t="shared" si="23"/>
        <v>0.71</v>
      </c>
    </row>
    <row r="292" spans="1:8" ht="25.5" x14ac:dyDescent="0.25">
      <c r="A292" s="125" t="s">
        <v>400</v>
      </c>
      <c r="B292" s="115" t="s">
        <v>9</v>
      </c>
      <c r="C292" s="115">
        <v>3146</v>
      </c>
      <c r="D292" s="127" t="str">
        <f>IF(A292="COMPOSIÇÃO",VLOOKUP(C292,'SINAPI_COMPOSIÇÕES 062020'!A:B,2,FALSE),VLOOKUP(C292,'SINAPI_INSUMOS 062020'!A:B,2,FALSE))</f>
        <v>FITA VEDA ROSCA EM ROLOS DE 18 MM X 10 M (L X C)</v>
      </c>
      <c r="E292" s="126" t="str">
        <f>IF(A292="COMPOSIÇÃO",VLOOKUP(C292,'SINAPI_COMPOSIÇÕES 062020'!A:C,3,FALSE),VLOOKUP(C292,'SINAPI_INSUMOS 062020'!A:C,3,FALSE))</f>
        <v xml:space="preserve">UN    </v>
      </c>
      <c r="F292" s="74">
        <v>3.04E-2</v>
      </c>
      <c r="G292" s="128">
        <f>IF(A292="COMPOSIÇÃO",VLOOKUP(C292,'SINAPI_COMPOSIÇÕES 062020'!A:D,4,FALSE),VLOOKUP(C292,'SINAPI_INSUMOS 062020'!A:D,4,FALSE))</f>
        <v>4.24</v>
      </c>
      <c r="H292" s="75">
        <f t="shared" si="23"/>
        <v>0.12</v>
      </c>
    </row>
    <row r="293" spans="1:8" ht="25.5" x14ac:dyDescent="0.25">
      <c r="A293" s="125" t="s">
        <v>400</v>
      </c>
      <c r="B293" s="115" t="s">
        <v>9</v>
      </c>
      <c r="C293" s="115">
        <v>11762</v>
      </c>
      <c r="D293" s="127" t="str">
        <f>IF(A293="COMPOSIÇÃO",VLOOKUP(C293,'SINAPI_COMPOSIÇÕES 062020'!A:B,2,FALSE),VLOOKUP(C293,'SINAPI_INSUMOS 062020'!A:B,2,FALSE))</f>
        <v>TORNEIRA CROMADA COM BICO PARA JARDIM/TANQUE 1/2 " OU 3/4 " (REF 1153)</v>
      </c>
      <c r="E293" s="126" t="str">
        <f>IF(A293="COMPOSIÇÃO",VLOOKUP(C293,'SINAPI_COMPOSIÇÕES 062020'!A:C,3,FALSE),VLOOKUP(C293,'SINAPI_INSUMOS 062020'!A:C,3,FALSE))</f>
        <v xml:space="preserve">UN    </v>
      </c>
      <c r="F293" s="74">
        <v>1</v>
      </c>
      <c r="G293" s="128">
        <f>IF(A293="COMPOSIÇÃO",VLOOKUP(C293,'SINAPI_COMPOSIÇÕES 062020'!A:D,4,FALSE),VLOOKUP(C293,'SINAPI_INSUMOS 062020'!A:D,4,FALSE))</f>
        <v>56.42</v>
      </c>
      <c r="H293" s="75">
        <f t="shared" si="23"/>
        <v>56.42</v>
      </c>
    </row>
    <row r="294" spans="1:8" ht="13.5" thickBot="1" x14ac:dyDescent="0.3">
      <c r="A294" s="267" t="str">
        <f>CONCATENATE("TOTAL DO ÍTEM - ",A286)</f>
        <v>TOTAL DO ÍTEM - MPMT-04024</v>
      </c>
      <c r="B294" s="268"/>
      <c r="C294" s="268"/>
      <c r="D294" s="268"/>
      <c r="E294" s="268"/>
      <c r="F294" s="268"/>
      <c r="G294" s="269"/>
      <c r="H294" s="188">
        <f>TRUNC(SUM(H290:H293),2)</f>
        <v>59.91</v>
      </c>
    </row>
    <row r="295" spans="1:8" ht="13.5" thickBot="1" x14ac:dyDescent="0.3">
      <c r="A295" s="283" t="s">
        <v>12018</v>
      </c>
      <c r="B295" s="284"/>
      <c r="C295" s="284"/>
      <c r="D295" s="284"/>
      <c r="E295" s="284"/>
      <c r="F295" s="284"/>
      <c r="G295" s="284"/>
      <c r="H295" s="285"/>
    </row>
    <row r="296" spans="1:8" ht="13.5" thickBot="1" x14ac:dyDescent="0.3"/>
    <row r="297" spans="1:8" ht="25.5" x14ac:dyDescent="0.25">
      <c r="A297" s="120" t="s">
        <v>90</v>
      </c>
      <c r="B297" s="286" t="s">
        <v>91</v>
      </c>
      <c r="C297" s="287"/>
      <c r="D297" s="287"/>
      <c r="E297" s="287"/>
      <c r="F297" s="287"/>
      <c r="G297" s="288"/>
      <c r="H297" s="121" t="s">
        <v>4</v>
      </c>
    </row>
    <row r="298" spans="1:8" ht="13.5" thickBot="1" x14ac:dyDescent="0.3">
      <c r="A298" s="113" t="s">
        <v>12019</v>
      </c>
      <c r="B298" s="289" t="s">
        <v>12020</v>
      </c>
      <c r="C298" s="290"/>
      <c r="D298" s="290"/>
      <c r="E298" s="290"/>
      <c r="F298" s="290"/>
      <c r="G298" s="291"/>
      <c r="H298" s="114" t="s">
        <v>4</v>
      </c>
    </row>
    <row r="299" spans="1:8" x14ac:dyDescent="0.25">
      <c r="A299" s="273" t="s">
        <v>11883</v>
      </c>
      <c r="B299" s="275" t="s">
        <v>92</v>
      </c>
      <c r="C299" s="276"/>
      <c r="D299" s="185" t="s">
        <v>12021</v>
      </c>
      <c r="E299" s="239" t="s">
        <v>93</v>
      </c>
      <c r="F299" s="193" t="s">
        <v>11957</v>
      </c>
      <c r="G299" s="277" t="s">
        <v>94</v>
      </c>
      <c r="H299" s="278"/>
    </row>
    <row r="300" spans="1:8" x14ac:dyDescent="0.25">
      <c r="A300" s="274"/>
      <c r="B300" s="281" t="s">
        <v>95</v>
      </c>
      <c r="C300" s="282"/>
      <c r="D300" s="187">
        <v>43032</v>
      </c>
      <c r="E300" s="240" t="s">
        <v>96</v>
      </c>
      <c r="F300" s="187">
        <v>43656</v>
      </c>
      <c r="G300" s="279"/>
      <c r="H300" s="280"/>
    </row>
    <row r="301" spans="1:8" x14ac:dyDescent="0.25">
      <c r="A301" s="122" t="s">
        <v>11885</v>
      </c>
      <c r="B301" s="123" t="s">
        <v>97</v>
      </c>
      <c r="C301" s="123" t="s">
        <v>98</v>
      </c>
      <c r="D301" s="123" t="s">
        <v>3</v>
      </c>
      <c r="E301" s="123" t="s">
        <v>4</v>
      </c>
      <c r="F301" s="123" t="s">
        <v>99</v>
      </c>
      <c r="G301" s="123" t="s">
        <v>100</v>
      </c>
      <c r="H301" s="124" t="s">
        <v>101</v>
      </c>
    </row>
    <row r="302" spans="1:8" ht="25.5" x14ac:dyDescent="0.25">
      <c r="A302" s="125" t="s">
        <v>398</v>
      </c>
      <c r="B302" s="115" t="s">
        <v>9</v>
      </c>
      <c r="C302" s="115">
        <v>88267</v>
      </c>
      <c r="D302" s="127" t="str">
        <f>IF(A302="COMPOSIÇÃO",VLOOKUP(C302,'SINAPI_COMPOSIÇÕES 062020'!A:B,2,FALSE),VLOOKUP(C302,'SINAPI_INSUMOS 062020'!A:B,2,FALSE))</f>
        <v>ENCANADOR OU BOMBEIRO HIDRÁULICO COM ENCARGOS COMPLEMENTARES</v>
      </c>
      <c r="E302" s="126" t="str">
        <f>IF(A302="COMPOSIÇÃO",VLOOKUP(C302,'SINAPI_COMPOSIÇÕES 062020'!A:C,3,FALSE),VLOOKUP(C302,'SINAPI_INSUMOS 062020'!A:C,3,FALSE))</f>
        <v>H</v>
      </c>
      <c r="F302" s="74">
        <v>0.1</v>
      </c>
      <c r="G302" s="128">
        <f>IF(A302="COMPOSIÇÃO",VLOOKUP(C302,'SINAPI_COMPOSIÇÕES 062020'!A:D,4,FALSE),VLOOKUP(C302,'SINAPI_INSUMOS 062020'!A:D,4,FALSE))</f>
        <v>17.79</v>
      </c>
      <c r="H302" s="75">
        <f t="shared" ref="H302:H304" si="24">TRUNC(G302*F302,2)</f>
        <v>1.77</v>
      </c>
    </row>
    <row r="303" spans="1:8" ht="25.5" x14ac:dyDescent="0.25">
      <c r="A303" s="125" t="s">
        <v>398</v>
      </c>
      <c r="B303" s="115" t="s">
        <v>9</v>
      </c>
      <c r="C303" s="115">
        <v>88316</v>
      </c>
      <c r="D303" s="127" t="str">
        <f>IF(A303="COMPOSIÇÃO",VLOOKUP(C303,'SINAPI_COMPOSIÇÕES 062020'!A:B,2,FALSE),VLOOKUP(C303,'SINAPI_INSUMOS 062020'!A:B,2,FALSE))</f>
        <v>SERVENTE COM ENCARGOS COMPLEMENTARES</v>
      </c>
      <c r="E303" s="126" t="str">
        <f>IF(A303="COMPOSIÇÃO",VLOOKUP(C303,'SINAPI_COMPOSIÇÕES 062020'!A:C,3,FALSE),VLOOKUP(C303,'SINAPI_INSUMOS 062020'!A:C,3,FALSE))</f>
        <v>H</v>
      </c>
      <c r="F303" s="74">
        <v>0.03</v>
      </c>
      <c r="G303" s="128">
        <f>IF(A303="COMPOSIÇÃO",VLOOKUP(C303,'SINAPI_COMPOSIÇÕES 062020'!A:D,4,FALSE),VLOOKUP(C303,'SINAPI_INSUMOS 062020'!A:D,4,FALSE))</f>
        <v>14.37</v>
      </c>
      <c r="H303" s="75">
        <f t="shared" si="24"/>
        <v>0.43</v>
      </c>
    </row>
    <row r="304" spans="1:8" ht="25.5" x14ac:dyDescent="0.25">
      <c r="A304" s="125" t="s">
        <v>400</v>
      </c>
      <c r="B304" s="115" t="s">
        <v>9</v>
      </c>
      <c r="C304" s="115">
        <v>3146</v>
      </c>
      <c r="D304" s="127" t="str">
        <f>IF(A304="COMPOSIÇÃO",VLOOKUP(C304,'SINAPI_COMPOSIÇÕES 062020'!A:B,2,FALSE),VLOOKUP(C304,'SINAPI_INSUMOS 062020'!A:B,2,FALSE))</f>
        <v>FITA VEDA ROSCA EM ROLOS DE 18 MM X 10 M (L X C)</v>
      </c>
      <c r="E304" s="126" t="str">
        <f>IF(A304="COMPOSIÇÃO",VLOOKUP(C304,'SINAPI_COMPOSIÇÕES 062020'!A:C,3,FALSE),VLOOKUP(C304,'SINAPI_INSUMOS 062020'!A:C,3,FALSE))</f>
        <v xml:space="preserve">UN    </v>
      </c>
      <c r="F304" s="74">
        <v>3.04E-2</v>
      </c>
      <c r="G304" s="128">
        <f>IF(A304="COMPOSIÇÃO",VLOOKUP(C304,'SINAPI_COMPOSIÇÕES 062020'!A:D,4,FALSE),VLOOKUP(C304,'SINAPI_INSUMOS 062020'!A:D,4,FALSE))</f>
        <v>4.24</v>
      </c>
      <c r="H304" s="75">
        <f t="shared" si="24"/>
        <v>0.12</v>
      </c>
    </row>
    <row r="305" spans="1:8" ht="25.5" x14ac:dyDescent="0.25">
      <c r="A305" s="125" t="s">
        <v>11958</v>
      </c>
      <c r="B305" s="115" t="s">
        <v>11959</v>
      </c>
      <c r="C305" s="115" t="s">
        <v>11960</v>
      </c>
      <c r="D305" s="194" t="str">
        <f>B309</f>
        <v>TORNEIRA DE MESA BICA BAIXA, CROMADA, DECA LINHA LINK COD. 1197.C</v>
      </c>
      <c r="E305" s="115" t="str">
        <f>H309</f>
        <v>UND</v>
      </c>
      <c r="F305" s="74">
        <v>1</v>
      </c>
      <c r="G305" s="217">
        <f>H314</f>
        <v>149.99</v>
      </c>
      <c r="H305" s="75">
        <f>TRUNC(G305*F305,2)</f>
        <v>149.99</v>
      </c>
    </row>
    <row r="306" spans="1:8" ht="13.5" thickBot="1" x14ac:dyDescent="0.3">
      <c r="A306" s="267" t="str">
        <f>CONCATENATE("TOTAL DO ÍTEM - ",A298)</f>
        <v>TOTAL DO ÍTEM - MPMT-02183</v>
      </c>
      <c r="B306" s="268"/>
      <c r="C306" s="268"/>
      <c r="D306" s="268"/>
      <c r="E306" s="268"/>
      <c r="F306" s="268"/>
      <c r="G306" s="269"/>
      <c r="H306" s="188">
        <f>TRUNC(SUM(H302:H305),2)</f>
        <v>152.31</v>
      </c>
    </row>
    <row r="307" spans="1:8" ht="13.5" thickBot="1" x14ac:dyDescent="0.3">
      <c r="A307" s="270" t="s">
        <v>12022</v>
      </c>
      <c r="B307" s="271"/>
      <c r="C307" s="271"/>
      <c r="D307" s="271"/>
      <c r="E307" s="271"/>
      <c r="F307" s="271"/>
      <c r="G307" s="271"/>
      <c r="H307" s="272"/>
    </row>
    <row r="308" spans="1:8" x14ac:dyDescent="0.25">
      <c r="A308" s="196"/>
      <c r="B308" s="292" t="s">
        <v>11962</v>
      </c>
      <c r="C308" s="292"/>
      <c r="D308" s="292"/>
      <c r="E308" s="292"/>
      <c r="F308" s="292"/>
      <c r="G308" s="292"/>
      <c r="H308" s="197" t="s">
        <v>11963</v>
      </c>
    </row>
    <row r="309" spans="1:8" ht="13.5" thickBot="1" x14ac:dyDescent="0.3">
      <c r="A309" s="215" t="s">
        <v>11960</v>
      </c>
      <c r="B309" s="308" t="s">
        <v>12023</v>
      </c>
      <c r="C309" s="308"/>
      <c r="D309" s="308"/>
      <c r="E309" s="308"/>
      <c r="F309" s="308"/>
      <c r="G309" s="308"/>
      <c r="H309" s="216" t="s">
        <v>4</v>
      </c>
    </row>
    <row r="310" spans="1:8" ht="25.5" x14ac:dyDescent="0.25">
      <c r="A310" s="213" t="s">
        <v>11965</v>
      </c>
      <c r="B310" s="241" t="s">
        <v>11966</v>
      </c>
      <c r="C310" s="241" t="s">
        <v>11967</v>
      </c>
      <c r="D310" s="241" t="s">
        <v>11968</v>
      </c>
      <c r="E310" s="294" t="s">
        <v>11969</v>
      </c>
      <c r="F310" s="294"/>
      <c r="G310" s="241" t="s">
        <v>4</v>
      </c>
      <c r="H310" s="214" t="s">
        <v>11970</v>
      </c>
    </row>
    <row r="311" spans="1:8" x14ac:dyDescent="0.25">
      <c r="A311" s="205">
        <v>44025</v>
      </c>
      <c r="B311" s="206" t="s">
        <v>11971</v>
      </c>
      <c r="C311" s="206" t="s">
        <v>11995</v>
      </c>
      <c r="D311" s="207" t="s">
        <v>11996</v>
      </c>
      <c r="E311" s="306" t="s">
        <v>11997</v>
      </c>
      <c r="F311" s="306"/>
      <c r="G311" s="115" t="s">
        <v>4</v>
      </c>
      <c r="H311" s="218">
        <f>3624.84/20</f>
        <v>181.24200000000002</v>
      </c>
    </row>
    <row r="312" spans="1:8" x14ac:dyDescent="0.25">
      <c r="A312" s="205">
        <v>44025</v>
      </c>
      <c r="B312" s="206" t="s">
        <v>11971</v>
      </c>
      <c r="C312" s="206" t="s">
        <v>11987</v>
      </c>
      <c r="D312" s="207" t="s">
        <v>11988</v>
      </c>
      <c r="E312" s="295" t="s">
        <v>11989</v>
      </c>
      <c r="F312" s="295"/>
      <c r="G312" s="115" t="s">
        <v>4</v>
      </c>
      <c r="H312" s="208">
        <f>2999.8/20</f>
        <v>149.99</v>
      </c>
    </row>
    <row r="313" spans="1:8" x14ac:dyDescent="0.25">
      <c r="A313" s="205">
        <v>44025</v>
      </c>
      <c r="B313" s="206" t="s">
        <v>11971</v>
      </c>
      <c r="C313" s="206" t="s">
        <v>12024</v>
      </c>
      <c r="D313" s="207" t="s">
        <v>12025</v>
      </c>
      <c r="E313" s="295" t="s">
        <v>12026</v>
      </c>
      <c r="F313" s="295"/>
      <c r="G313" s="115" t="s">
        <v>4</v>
      </c>
      <c r="H313" s="208">
        <f>2998/20</f>
        <v>149.9</v>
      </c>
    </row>
    <row r="314" spans="1:8" ht="13.5" thickBot="1" x14ac:dyDescent="0.3">
      <c r="A314" s="296" t="s">
        <v>11981</v>
      </c>
      <c r="B314" s="297"/>
      <c r="C314" s="297"/>
      <c r="D314" s="297"/>
      <c r="E314" s="297"/>
      <c r="F314" s="297"/>
      <c r="G314" s="298"/>
      <c r="H314" s="188">
        <f>TRUNC(MEDIAN(H311:H313),2)</f>
        <v>149.99</v>
      </c>
    </row>
    <row r="315" spans="1:8" ht="13.5" thickBot="1" x14ac:dyDescent="0.3"/>
    <row r="316" spans="1:8" ht="25.5" x14ac:dyDescent="0.25">
      <c r="A316" s="120" t="s">
        <v>90</v>
      </c>
      <c r="B316" s="286" t="s">
        <v>91</v>
      </c>
      <c r="C316" s="287"/>
      <c r="D316" s="287"/>
      <c r="E316" s="287"/>
      <c r="F316" s="287"/>
      <c r="G316" s="288"/>
      <c r="H316" s="121" t="s">
        <v>4</v>
      </c>
    </row>
    <row r="317" spans="1:8" ht="13.5" thickBot="1" x14ac:dyDescent="0.3">
      <c r="A317" s="113" t="s">
        <v>12027</v>
      </c>
      <c r="B317" s="289" t="s">
        <v>12028</v>
      </c>
      <c r="C317" s="290"/>
      <c r="D317" s="290"/>
      <c r="E317" s="290"/>
      <c r="F317" s="290"/>
      <c r="G317" s="291"/>
      <c r="H317" s="114" t="s">
        <v>4</v>
      </c>
    </row>
    <row r="318" spans="1:8" x14ac:dyDescent="0.25">
      <c r="A318" s="273" t="s">
        <v>13834</v>
      </c>
      <c r="B318" s="275" t="s">
        <v>92</v>
      </c>
      <c r="C318" s="276"/>
      <c r="D318" s="185" t="s">
        <v>12029</v>
      </c>
      <c r="E318" s="239" t="s">
        <v>93</v>
      </c>
      <c r="F318" s="186">
        <v>0</v>
      </c>
      <c r="G318" s="277" t="s">
        <v>94</v>
      </c>
      <c r="H318" s="278"/>
    </row>
    <row r="319" spans="1:8" x14ac:dyDescent="0.25">
      <c r="A319" s="274"/>
      <c r="B319" s="281" t="s">
        <v>95</v>
      </c>
      <c r="C319" s="282"/>
      <c r="D319" s="187">
        <v>43411</v>
      </c>
      <c r="E319" s="240" t="s">
        <v>96</v>
      </c>
      <c r="F319" s="187">
        <v>43411</v>
      </c>
      <c r="G319" s="279"/>
      <c r="H319" s="280"/>
    </row>
    <row r="320" spans="1:8" x14ac:dyDescent="0.25">
      <c r="A320" s="122" t="s">
        <v>11885</v>
      </c>
      <c r="B320" s="123" t="s">
        <v>97</v>
      </c>
      <c r="C320" s="123" t="s">
        <v>98</v>
      </c>
      <c r="D320" s="123" t="s">
        <v>3</v>
      </c>
      <c r="E320" s="123" t="s">
        <v>4</v>
      </c>
      <c r="F320" s="123" t="s">
        <v>99</v>
      </c>
      <c r="G320" s="123" t="s">
        <v>100</v>
      </c>
      <c r="H320" s="124" t="s">
        <v>101</v>
      </c>
    </row>
    <row r="321" spans="1:8" ht="25.5" x14ac:dyDescent="0.25">
      <c r="A321" s="125" t="s">
        <v>398</v>
      </c>
      <c r="B321" s="115" t="s">
        <v>9</v>
      </c>
      <c r="C321" s="115">
        <v>88267</v>
      </c>
      <c r="D321" s="127" t="str">
        <f>IF(A321="COMPOSIÇÃO",VLOOKUP(C321,'SINAPI_COMPOSIÇÕES 062020'!A:B,2,FALSE),VLOOKUP(C321,'SINAPI_INSUMOS 062020'!A:B,2,FALSE))</f>
        <v>ENCANADOR OU BOMBEIRO HIDRÁULICO COM ENCARGOS COMPLEMENTARES</v>
      </c>
      <c r="E321" s="126" t="str">
        <f>IF(A321="COMPOSIÇÃO",VLOOKUP(C321,'SINAPI_COMPOSIÇÕES 062020'!A:C,3,FALSE),VLOOKUP(C321,'SINAPI_INSUMOS 062020'!A:C,3,FALSE))</f>
        <v>H</v>
      </c>
      <c r="F321" s="74">
        <v>0.12</v>
      </c>
      <c r="G321" s="128">
        <f>IF(A321="COMPOSIÇÃO",VLOOKUP(C321,'SINAPI_COMPOSIÇÕES 062020'!A:D,4,FALSE),VLOOKUP(C321,'SINAPI_INSUMOS 062020'!A:D,4,FALSE))</f>
        <v>17.79</v>
      </c>
      <c r="H321" s="75">
        <f t="shared" ref="H321:H323" si="25">TRUNC(G321*F321,2)</f>
        <v>2.13</v>
      </c>
    </row>
    <row r="322" spans="1:8" ht="25.5" x14ac:dyDescent="0.25">
      <c r="A322" s="125" t="s">
        <v>398</v>
      </c>
      <c r="B322" s="115" t="s">
        <v>9</v>
      </c>
      <c r="C322" s="115">
        <v>88316</v>
      </c>
      <c r="D322" s="127" t="str">
        <f>IF(A322="COMPOSIÇÃO",VLOOKUP(C322,'SINAPI_COMPOSIÇÕES 062020'!A:B,2,FALSE),VLOOKUP(C322,'SINAPI_INSUMOS 062020'!A:B,2,FALSE))</f>
        <v>SERVENTE COM ENCARGOS COMPLEMENTARES</v>
      </c>
      <c r="E322" s="126" t="str">
        <f>IF(A322="COMPOSIÇÃO",VLOOKUP(C322,'SINAPI_COMPOSIÇÕES 062020'!A:C,3,FALSE),VLOOKUP(C322,'SINAPI_INSUMOS 062020'!A:C,3,FALSE))</f>
        <v>H</v>
      </c>
      <c r="F322" s="74">
        <v>0.04</v>
      </c>
      <c r="G322" s="128">
        <f>IF(A322="COMPOSIÇÃO",VLOOKUP(C322,'SINAPI_COMPOSIÇÕES 062020'!A:D,4,FALSE),VLOOKUP(C322,'SINAPI_INSUMOS 062020'!A:D,4,FALSE))</f>
        <v>14.37</v>
      </c>
      <c r="H322" s="75">
        <f t="shared" si="25"/>
        <v>0.56999999999999995</v>
      </c>
    </row>
    <row r="323" spans="1:8" ht="25.5" x14ac:dyDescent="0.25">
      <c r="A323" s="125" t="s">
        <v>400</v>
      </c>
      <c r="B323" s="115" t="s">
        <v>9</v>
      </c>
      <c r="C323" s="115">
        <v>3146</v>
      </c>
      <c r="D323" s="127" t="str">
        <f>IF(A323="COMPOSIÇÃO",VLOOKUP(C323,'SINAPI_COMPOSIÇÕES 062020'!A:B,2,FALSE),VLOOKUP(C323,'SINAPI_INSUMOS 062020'!A:B,2,FALSE))</f>
        <v>FITA VEDA ROSCA EM ROLOS DE 18 MM X 10 M (L X C)</v>
      </c>
      <c r="E323" s="126" t="str">
        <f>IF(A323="COMPOSIÇÃO",VLOOKUP(C323,'SINAPI_COMPOSIÇÕES 062020'!A:C,3,FALSE),VLOOKUP(C323,'SINAPI_INSUMOS 062020'!A:C,3,FALSE))</f>
        <v xml:space="preserve">UN    </v>
      </c>
      <c r="F323" s="74">
        <v>3.04E-2</v>
      </c>
      <c r="G323" s="128">
        <f>IF(A323="COMPOSIÇÃO",VLOOKUP(C323,'SINAPI_COMPOSIÇÕES 062020'!A:D,4,FALSE),VLOOKUP(C323,'SINAPI_INSUMOS 062020'!A:D,4,FALSE))</f>
        <v>4.24</v>
      </c>
      <c r="H323" s="75">
        <f t="shared" si="25"/>
        <v>0.12</v>
      </c>
    </row>
    <row r="324" spans="1:8" ht="38.25" x14ac:dyDescent="0.25">
      <c r="A324" s="125" t="s">
        <v>11958</v>
      </c>
      <c r="B324" s="115" t="s">
        <v>11959</v>
      </c>
      <c r="C324" s="115" t="s">
        <v>11960</v>
      </c>
      <c r="D324" s="194" t="str">
        <f>B328</f>
        <v>TORNEIRA EM METAL CROMADO, BICA ALTA, DE PAREDE, REF. DOCOL GALI OU EQUIVALENTE</v>
      </c>
      <c r="E324" s="115" t="str">
        <f>H328</f>
        <v>UND</v>
      </c>
      <c r="F324" s="74">
        <v>1</v>
      </c>
      <c r="G324" s="217">
        <f>H333</f>
        <v>163.35</v>
      </c>
      <c r="H324" s="75">
        <f>TRUNC(G324*F324,2)</f>
        <v>163.35</v>
      </c>
    </row>
    <row r="325" spans="1:8" ht="13.5" thickBot="1" x14ac:dyDescent="0.3">
      <c r="A325" s="267" t="str">
        <f>CONCATENATE("TOTAL DO ÍTEM - ",A317)</f>
        <v>TOTAL DO ÍTEM - MPMT-02357</v>
      </c>
      <c r="B325" s="268"/>
      <c r="C325" s="268"/>
      <c r="D325" s="268"/>
      <c r="E325" s="268"/>
      <c r="F325" s="268"/>
      <c r="G325" s="269"/>
      <c r="H325" s="188">
        <f>TRUNC(SUM(H321:H324),2)</f>
        <v>166.17</v>
      </c>
    </row>
    <row r="326" spans="1:8" ht="13.5" thickBot="1" x14ac:dyDescent="0.3">
      <c r="A326" s="270" t="s">
        <v>12030</v>
      </c>
      <c r="B326" s="271"/>
      <c r="C326" s="271"/>
      <c r="D326" s="271"/>
      <c r="E326" s="271"/>
      <c r="F326" s="271"/>
      <c r="G326" s="271"/>
      <c r="H326" s="272"/>
    </row>
    <row r="327" spans="1:8" x14ac:dyDescent="0.25">
      <c r="A327" s="196"/>
      <c r="B327" s="292" t="s">
        <v>11962</v>
      </c>
      <c r="C327" s="292"/>
      <c r="D327" s="292"/>
      <c r="E327" s="292"/>
      <c r="F327" s="292"/>
      <c r="G327" s="292"/>
      <c r="H327" s="197" t="s">
        <v>11963</v>
      </c>
    </row>
    <row r="328" spans="1:8" ht="13.5" thickBot="1" x14ac:dyDescent="0.3">
      <c r="A328" s="215" t="s">
        <v>11960</v>
      </c>
      <c r="B328" s="308" t="s">
        <v>12031</v>
      </c>
      <c r="C328" s="308"/>
      <c r="D328" s="308"/>
      <c r="E328" s="308"/>
      <c r="F328" s="308"/>
      <c r="G328" s="308"/>
      <c r="H328" s="216" t="s">
        <v>4</v>
      </c>
    </row>
    <row r="329" spans="1:8" ht="25.5" x14ac:dyDescent="0.25">
      <c r="A329" s="213" t="s">
        <v>11965</v>
      </c>
      <c r="B329" s="241" t="s">
        <v>11966</v>
      </c>
      <c r="C329" s="241" t="s">
        <v>11967</v>
      </c>
      <c r="D329" s="241" t="s">
        <v>11968</v>
      </c>
      <c r="E329" s="294" t="s">
        <v>11969</v>
      </c>
      <c r="F329" s="294"/>
      <c r="G329" s="241" t="s">
        <v>4</v>
      </c>
      <c r="H329" s="214" t="s">
        <v>11970</v>
      </c>
    </row>
    <row r="330" spans="1:8" x14ac:dyDescent="0.25">
      <c r="A330" s="205">
        <v>44025</v>
      </c>
      <c r="B330" s="206" t="s">
        <v>11971</v>
      </c>
      <c r="C330" s="206" t="s">
        <v>11987</v>
      </c>
      <c r="D330" s="206" t="s">
        <v>11988</v>
      </c>
      <c r="E330" s="295" t="s">
        <v>11989</v>
      </c>
      <c r="F330" s="295"/>
      <c r="G330" s="115" t="s">
        <v>4</v>
      </c>
      <c r="H330" s="218">
        <f>326.7/2</f>
        <v>163.35</v>
      </c>
    </row>
    <row r="331" spans="1:8" x14ac:dyDescent="0.25">
      <c r="A331" s="205">
        <v>44025</v>
      </c>
      <c r="B331" s="206" t="s">
        <v>11971</v>
      </c>
      <c r="C331" s="206" t="s">
        <v>11983</v>
      </c>
      <c r="D331" s="206" t="s">
        <v>12032</v>
      </c>
      <c r="E331" s="295" t="s">
        <v>11985</v>
      </c>
      <c r="F331" s="295"/>
      <c r="G331" s="115" t="s">
        <v>4</v>
      </c>
      <c r="H331" s="208">
        <f>277.8/2</f>
        <v>138.9</v>
      </c>
    </row>
    <row r="332" spans="1:8" x14ac:dyDescent="0.25">
      <c r="A332" s="205">
        <v>44025</v>
      </c>
      <c r="B332" s="206" t="s">
        <v>11971</v>
      </c>
      <c r="C332" s="206" t="s">
        <v>12033</v>
      </c>
      <c r="D332" s="206" t="s">
        <v>12034</v>
      </c>
      <c r="E332" s="295" t="s">
        <v>12035</v>
      </c>
      <c r="F332" s="295"/>
      <c r="G332" s="115" t="s">
        <v>4</v>
      </c>
      <c r="H332" s="208">
        <f>443.89/2</f>
        <v>221.94499999999999</v>
      </c>
    </row>
    <row r="333" spans="1:8" ht="13.5" thickBot="1" x14ac:dyDescent="0.3">
      <c r="A333" s="296" t="s">
        <v>11981</v>
      </c>
      <c r="B333" s="297"/>
      <c r="C333" s="297"/>
      <c r="D333" s="297"/>
      <c r="E333" s="297"/>
      <c r="F333" s="297"/>
      <c r="G333" s="298"/>
      <c r="H333" s="188">
        <f>TRUNC(MEDIAN(H330:H332),2)</f>
        <v>163.35</v>
      </c>
    </row>
    <row r="334" spans="1:8" ht="13.5" thickBot="1" x14ac:dyDescent="0.3"/>
    <row r="335" spans="1:8" ht="25.5" x14ac:dyDescent="0.25">
      <c r="A335" s="120" t="s">
        <v>90</v>
      </c>
      <c r="B335" s="286" t="s">
        <v>91</v>
      </c>
      <c r="C335" s="287"/>
      <c r="D335" s="287"/>
      <c r="E335" s="287"/>
      <c r="F335" s="287"/>
      <c r="G335" s="288"/>
      <c r="H335" s="121" t="s">
        <v>4</v>
      </c>
    </row>
    <row r="336" spans="1:8" ht="13.5" thickBot="1" x14ac:dyDescent="0.3">
      <c r="A336" s="113" t="s">
        <v>12036</v>
      </c>
      <c r="B336" s="289" t="s">
        <v>12037</v>
      </c>
      <c r="C336" s="290"/>
      <c r="D336" s="290"/>
      <c r="E336" s="290"/>
      <c r="F336" s="290"/>
      <c r="G336" s="291"/>
      <c r="H336" s="114" t="s">
        <v>4</v>
      </c>
    </row>
    <row r="337" spans="1:8" x14ac:dyDescent="0.25">
      <c r="A337" s="273" t="s">
        <v>13834</v>
      </c>
      <c r="B337" s="275" t="s">
        <v>92</v>
      </c>
      <c r="C337" s="276"/>
      <c r="D337" s="185" t="s">
        <v>12038</v>
      </c>
      <c r="E337" s="239" t="s">
        <v>93</v>
      </c>
      <c r="F337" s="186">
        <v>0</v>
      </c>
      <c r="G337" s="277" t="s">
        <v>94</v>
      </c>
      <c r="H337" s="278"/>
    </row>
    <row r="338" spans="1:8" x14ac:dyDescent="0.25">
      <c r="A338" s="274"/>
      <c r="B338" s="281" t="s">
        <v>95</v>
      </c>
      <c r="C338" s="282"/>
      <c r="D338" s="187">
        <v>42975</v>
      </c>
      <c r="E338" s="240" t="s">
        <v>96</v>
      </c>
      <c r="F338" s="187">
        <v>42975</v>
      </c>
      <c r="G338" s="279"/>
      <c r="H338" s="280"/>
    </row>
    <row r="339" spans="1:8" x14ac:dyDescent="0.25">
      <c r="A339" s="122" t="s">
        <v>11885</v>
      </c>
      <c r="B339" s="123" t="s">
        <v>97</v>
      </c>
      <c r="C339" s="123" t="s">
        <v>98</v>
      </c>
      <c r="D339" s="123" t="s">
        <v>3</v>
      </c>
      <c r="E339" s="123" t="s">
        <v>4</v>
      </c>
      <c r="F339" s="123" t="s">
        <v>99</v>
      </c>
      <c r="G339" s="123" t="s">
        <v>100</v>
      </c>
      <c r="H339" s="124" t="s">
        <v>101</v>
      </c>
    </row>
    <row r="340" spans="1:8" ht="25.5" x14ac:dyDescent="0.25">
      <c r="A340" s="125" t="s">
        <v>398</v>
      </c>
      <c r="B340" s="115" t="s">
        <v>9</v>
      </c>
      <c r="C340" s="115">
        <v>88264</v>
      </c>
      <c r="D340" s="127" t="str">
        <f>IF(A340="COMPOSIÇÃO",VLOOKUP(C340,'SINAPI_COMPOSIÇÕES 062020'!A:B,2,FALSE),VLOOKUP(C340,'SINAPI_INSUMOS 062020'!A:B,2,FALSE))</f>
        <v>ELETRICISTA COM ENCARGOS COMPLEMENTARES</v>
      </c>
      <c r="E340" s="126" t="str">
        <f>IF(A340="COMPOSIÇÃO",VLOOKUP(C340,'SINAPI_COMPOSIÇÕES 062020'!A:C,3,FALSE),VLOOKUP(C340,'SINAPI_INSUMOS 062020'!A:C,3,FALSE))</f>
        <v>H</v>
      </c>
      <c r="F340" s="74">
        <v>0.45</v>
      </c>
      <c r="G340" s="128">
        <f>IF(A340="COMPOSIÇÃO",VLOOKUP(C340,'SINAPI_COMPOSIÇÕES 062020'!A:D,4,FALSE),VLOOKUP(C340,'SINAPI_INSUMOS 062020'!A:D,4,FALSE))</f>
        <v>18.38</v>
      </c>
      <c r="H340" s="75">
        <f t="shared" ref="H340:H342" si="26">TRUNC(G340*F340,2)</f>
        <v>8.27</v>
      </c>
    </row>
    <row r="341" spans="1:8" ht="25.5" x14ac:dyDescent="0.25">
      <c r="A341" s="125" t="s">
        <v>398</v>
      </c>
      <c r="B341" s="115" t="s">
        <v>9</v>
      </c>
      <c r="C341" s="115">
        <v>88316</v>
      </c>
      <c r="D341" s="127" t="str">
        <f>IF(A341="COMPOSIÇÃO",VLOOKUP(C341,'SINAPI_COMPOSIÇÕES 062020'!A:B,2,FALSE),VLOOKUP(C341,'SINAPI_INSUMOS 062020'!A:B,2,FALSE))</f>
        <v>SERVENTE COM ENCARGOS COMPLEMENTARES</v>
      </c>
      <c r="E341" s="126" t="str">
        <f>IF(A341="COMPOSIÇÃO",VLOOKUP(C341,'SINAPI_COMPOSIÇÕES 062020'!A:C,3,FALSE),VLOOKUP(C341,'SINAPI_INSUMOS 062020'!A:C,3,FALSE))</f>
        <v>H</v>
      </c>
      <c r="F341" s="74">
        <v>0.3</v>
      </c>
      <c r="G341" s="128">
        <f>IF(A341="COMPOSIÇÃO",VLOOKUP(C341,'SINAPI_COMPOSIÇÕES 062020'!A:D,4,FALSE),VLOOKUP(C341,'SINAPI_INSUMOS 062020'!A:D,4,FALSE))</f>
        <v>14.37</v>
      </c>
      <c r="H341" s="75">
        <f t="shared" si="26"/>
        <v>4.3099999999999996</v>
      </c>
    </row>
    <row r="342" spans="1:8" ht="25.5" x14ac:dyDescent="0.25">
      <c r="A342" s="125" t="s">
        <v>400</v>
      </c>
      <c r="B342" s="115" t="s">
        <v>9</v>
      </c>
      <c r="C342" s="115">
        <v>3148</v>
      </c>
      <c r="D342" s="127" t="str">
        <f>IF(A342="COMPOSIÇÃO",VLOOKUP(C342,'SINAPI_COMPOSIÇÕES 062020'!A:B,2,FALSE),VLOOKUP(C342,'SINAPI_INSUMOS 062020'!A:B,2,FALSE))</f>
        <v>FITA VEDA ROSCA EM ROLOS DE 18 MM X 50 M (L X C)</v>
      </c>
      <c r="E342" s="126" t="str">
        <f>IF(A342="COMPOSIÇÃO",VLOOKUP(C342,'SINAPI_COMPOSIÇÕES 062020'!A:C,3,FALSE),VLOOKUP(C342,'SINAPI_INSUMOS 062020'!A:C,3,FALSE))</f>
        <v xml:space="preserve">UN    </v>
      </c>
      <c r="F342" s="74">
        <v>0.01</v>
      </c>
      <c r="G342" s="128">
        <f>IF(A342="COMPOSIÇÃO",VLOOKUP(C342,'SINAPI_COMPOSIÇÕES 062020'!A:D,4,FALSE),VLOOKUP(C342,'SINAPI_INSUMOS 062020'!A:D,4,FALSE))</f>
        <v>15.63</v>
      </c>
      <c r="H342" s="75">
        <f t="shared" si="26"/>
        <v>0.15</v>
      </c>
    </row>
    <row r="343" spans="1:8" ht="25.5" x14ac:dyDescent="0.25">
      <c r="A343" s="125" t="s">
        <v>11958</v>
      </c>
      <c r="B343" s="115" t="s">
        <v>11959</v>
      </c>
      <c r="C343" s="115" t="s">
        <v>11960</v>
      </c>
      <c r="D343" s="194" t="str">
        <f>B347</f>
        <v>CHUVEIRO TIPO DUCHA, REF. LORENZETTI JET CONTROL ELETRÔNICA</v>
      </c>
      <c r="E343" s="115" t="str">
        <f>H347</f>
        <v>UND</v>
      </c>
      <c r="F343" s="74">
        <v>1</v>
      </c>
      <c r="G343" s="195">
        <f>H352</f>
        <v>197.81</v>
      </c>
      <c r="H343" s="75">
        <f>TRUNC(G343*F343,2)</f>
        <v>197.81</v>
      </c>
    </row>
    <row r="344" spans="1:8" ht="13.5" thickBot="1" x14ac:dyDescent="0.3">
      <c r="A344" s="267" t="str">
        <f>CONCATENATE("TOTAL DO ÍTEM - ",A336)</f>
        <v>TOTAL DO ÍTEM - MPMT-04131</v>
      </c>
      <c r="B344" s="268"/>
      <c r="C344" s="268"/>
      <c r="D344" s="268"/>
      <c r="E344" s="268"/>
      <c r="F344" s="268"/>
      <c r="G344" s="269"/>
      <c r="H344" s="188">
        <f>TRUNC(SUM(H340:H343),2)</f>
        <v>210.54</v>
      </c>
    </row>
    <row r="345" spans="1:8" ht="13.5" thickBot="1" x14ac:dyDescent="0.3">
      <c r="A345" s="299" t="s">
        <v>12039</v>
      </c>
      <c r="B345" s="300"/>
      <c r="C345" s="300"/>
      <c r="D345" s="300"/>
      <c r="E345" s="300"/>
      <c r="F345" s="300"/>
      <c r="G345" s="300"/>
      <c r="H345" s="301"/>
    </row>
    <row r="346" spans="1:8" x14ac:dyDescent="0.25">
      <c r="A346" s="196"/>
      <c r="B346" s="292" t="s">
        <v>11962</v>
      </c>
      <c r="C346" s="292"/>
      <c r="D346" s="292"/>
      <c r="E346" s="292"/>
      <c r="F346" s="292"/>
      <c r="G346" s="292"/>
      <c r="H346" s="197" t="s">
        <v>11963</v>
      </c>
    </row>
    <row r="347" spans="1:8" ht="13.5" thickBot="1" x14ac:dyDescent="0.3">
      <c r="A347" s="215" t="s">
        <v>11960</v>
      </c>
      <c r="B347" s="308" t="s">
        <v>12040</v>
      </c>
      <c r="C347" s="308"/>
      <c r="D347" s="308"/>
      <c r="E347" s="308"/>
      <c r="F347" s="308"/>
      <c r="G347" s="308"/>
      <c r="H347" s="216" t="s">
        <v>4</v>
      </c>
    </row>
    <row r="348" spans="1:8" ht="25.5" x14ac:dyDescent="0.25">
      <c r="A348" s="213" t="s">
        <v>11965</v>
      </c>
      <c r="B348" s="241" t="s">
        <v>11966</v>
      </c>
      <c r="C348" s="241" t="s">
        <v>11967</v>
      </c>
      <c r="D348" s="241" t="s">
        <v>11968</v>
      </c>
      <c r="E348" s="294" t="s">
        <v>11969</v>
      </c>
      <c r="F348" s="294"/>
      <c r="G348" s="241" t="s">
        <v>4</v>
      </c>
      <c r="H348" s="214" t="s">
        <v>11970</v>
      </c>
    </row>
    <row r="349" spans="1:8" x14ac:dyDescent="0.25">
      <c r="A349" s="205">
        <v>44025</v>
      </c>
      <c r="B349" s="206" t="s">
        <v>11971</v>
      </c>
      <c r="C349" s="206" t="s">
        <v>11993</v>
      </c>
      <c r="D349" s="219" t="s">
        <v>11979</v>
      </c>
      <c r="E349" s="306" t="s">
        <v>11980</v>
      </c>
      <c r="F349" s="306"/>
      <c r="G349" s="115" t="s">
        <v>4</v>
      </c>
      <c r="H349" s="218">
        <f>834.18/4</f>
        <v>208.54499999999999</v>
      </c>
    </row>
    <row r="350" spans="1:8" x14ac:dyDescent="0.25">
      <c r="A350" s="205">
        <v>44025</v>
      </c>
      <c r="B350" s="206" t="s">
        <v>11971</v>
      </c>
      <c r="C350" s="206" t="s">
        <v>12041</v>
      </c>
      <c r="D350" s="207" t="s">
        <v>12042</v>
      </c>
      <c r="E350" s="295" t="s">
        <v>12043</v>
      </c>
      <c r="F350" s="295"/>
      <c r="G350" s="115" t="s">
        <v>4</v>
      </c>
      <c r="H350" s="208">
        <f>784.69/4</f>
        <v>196.17250000000001</v>
      </c>
    </row>
    <row r="351" spans="1:8" x14ac:dyDescent="0.25">
      <c r="A351" s="205">
        <v>44025</v>
      </c>
      <c r="B351" s="206" t="s">
        <v>11971</v>
      </c>
      <c r="C351" s="206" t="s">
        <v>12044</v>
      </c>
      <c r="D351" s="207" t="s">
        <v>11996</v>
      </c>
      <c r="E351" s="307" t="s">
        <v>11997</v>
      </c>
      <c r="F351" s="307"/>
      <c r="G351" s="115" t="s">
        <v>4</v>
      </c>
      <c r="H351" s="208">
        <f>791.25/4</f>
        <v>197.8125</v>
      </c>
    </row>
    <row r="352" spans="1:8" ht="13.5" thickBot="1" x14ac:dyDescent="0.3">
      <c r="A352" s="296" t="s">
        <v>11981</v>
      </c>
      <c r="B352" s="297"/>
      <c r="C352" s="297"/>
      <c r="D352" s="297"/>
      <c r="E352" s="297"/>
      <c r="F352" s="297"/>
      <c r="G352" s="298"/>
      <c r="H352" s="188">
        <f>TRUNC(MEDIAN(H349:H351),2)</f>
        <v>197.81</v>
      </c>
    </row>
    <row r="353" spans="1:8" ht="13.5" thickBot="1" x14ac:dyDescent="0.3"/>
    <row r="354" spans="1:8" ht="25.5" x14ac:dyDescent="0.25">
      <c r="A354" s="120" t="s">
        <v>90</v>
      </c>
      <c r="B354" s="286" t="s">
        <v>91</v>
      </c>
      <c r="C354" s="287"/>
      <c r="D354" s="287"/>
      <c r="E354" s="287"/>
      <c r="F354" s="287"/>
      <c r="G354" s="288"/>
      <c r="H354" s="121" t="s">
        <v>4</v>
      </c>
    </row>
    <row r="355" spans="1:8" ht="13.5" thickBot="1" x14ac:dyDescent="0.3">
      <c r="A355" s="113" t="s">
        <v>12045</v>
      </c>
      <c r="B355" s="289" t="s">
        <v>12046</v>
      </c>
      <c r="C355" s="290"/>
      <c r="D355" s="290"/>
      <c r="E355" s="290"/>
      <c r="F355" s="290"/>
      <c r="G355" s="291"/>
      <c r="H355" s="114" t="s">
        <v>4</v>
      </c>
    </row>
    <row r="356" spans="1:8" x14ac:dyDescent="0.25">
      <c r="A356" s="273" t="s">
        <v>13834</v>
      </c>
      <c r="B356" s="275" t="s">
        <v>92</v>
      </c>
      <c r="C356" s="276"/>
      <c r="D356" s="185" t="s">
        <v>12047</v>
      </c>
      <c r="E356" s="239" t="s">
        <v>93</v>
      </c>
      <c r="F356" s="193" t="s">
        <v>11957</v>
      </c>
      <c r="G356" s="277" t="s">
        <v>94</v>
      </c>
      <c r="H356" s="278"/>
    </row>
    <row r="357" spans="1:8" x14ac:dyDescent="0.25">
      <c r="A357" s="274"/>
      <c r="B357" s="281" t="s">
        <v>95</v>
      </c>
      <c r="C357" s="282"/>
      <c r="D357" s="187">
        <v>43243</v>
      </c>
      <c r="E357" s="240" t="s">
        <v>96</v>
      </c>
      <c r="F357" s="187">
        <v>43656</v>
      </c>
      <c r="G357" s="279"/>
      <c r="H357" s="280"/>
    </row>
    <row r="358" spans="1:8" x14ac:dyDescent="0.25">
      <c r="A358" s="122" t="s">
        <v>11885</v>
      </c>
      <c r="B358" s="123" t="s">
        <v>97</v>
      </c>
      <c r="C358" s="123" t="s">
        <v>98</v>
      </c>
      <c r="D358" s="123" t="s">
        <v>3</v>
      </c>
      <c r="E358" s="123" t="s">
        <v>4</v>
      </c>
      <c r="F358" s="123" t="s">
        <v>99</v>
      </c>
      <c r="G358" s="123" t="s">
        <v>100</v>
      </c>
      <c r="H358" s="124" t="s">
        <v>101</v>
      </c>
    </row>
    <row r="359" spans="1:8" ht="25.5" x14ac:dyDescent="0.25">
      <c r="A359" s="125" t="s">
        <v>398</v>
      </c>
      <c r="B359" s="115" t="s">
        <v>9</v>
      </c>
      <c r="C359" s="115">
        <v>88267</v>
      </c>
      <c r="D359" s="127" t="str">
        <f>IF(A359="COMPOSIÇÃO",VLOOKUP(C359,'SINAPI_COMPOSIÇÕES 062020'!A:B,2,FALSE),VLOOKUP(C359,'SINAPI_INSUMOS 062020'!A:B,2,FALSE))</f>
        <v>ENCANADOR OU BOMBEIRO HIDRÁULICO COM ENCARGOS COMPLEMENTARES</v>
      </c>
      <c r="E359" s="126" t="str">
        <f>IF(A359="COMPOSIÇÃO",VLOOKUP(C359,'SINAPI_COMPOSIÇÕES 062020'!A:C,3,FALSE),VLOOKUP(C359,'SINAPI_INSUMOS 062020'!A:C,3,FALSE))</f>
        <v>H</v>
      </c>
      <c r="F359" s="74">
        <v>0.5</v>
      </c>
      <c r="G359" s="128">
        <f>IF(A359="COMPOSIÇÃO",VLOOKUP(C359,'SINAPI_COMPOSIÇÕES 062020'!A:D,4,FALSE),VLOOKUP(C359,'SINAPI_INSUMOS 062020'!A:D,4,FALSE))</f>
        <v>17.79</v>
      </c>
      <c r="H359" s="75">
        <f t="shared" ref="H359:H360" si="27">TRUNC(G359*F359,2)</f>
        <v>8.89</v>
      </c>
    </row>
    <row r="360" spans="1:8" ht="25.5" x14ac:dyDescent="0.25">
      <c r="A360" s="125" t="s">
        <v>400</v>
      </c>
      <c r="B360" s="115" t="s">
        <v>9</v>
      </c>
      <c r="C360" s="115">
        <v>3148</v>
      </c>
      <c r="D360" s="127" t="str">
        <f>IF(A360="COMPOSIÇÃO",VLOOKUP(C360,'SINAPI_COMPOSIÇÕES 062020'!A:B,2,FALSE),VLOOKUP(C360,'SINAPI_INSUMOS 062020'!A:B,2,FALSE))</f>
        <v>FITA VEDA ROSCA EM ROLOS DE 18 MM X 50 M (L X C)</v>
      </c>
      <c r="E360" s="126" t="str">
        <f>IF(A360="COMPOSIÇÃO",VLOOKUP(C360,'SINAPI_COMPOSIÇÕES 062020'!A:C,3,FALSE),VLOOKUP(C360,'SINAPI_INSUMOS 062020'!A:C,3,FALSE))</f>
        <v xml:space="preserve">UN    </v>
      </c>
      <c r="F360" s="74">
        <v>0.42</v>
      </c>
      <c r="G360" s="128">
        <f>IF(A360="COMPOSIÇÃO",VLOOKUP(C360,'SINAPI_COMPOSIÇÕES 062020'!A:D,4,FALSE),VLOOKUP(C360,'SINAPI_INSUMOS 062020'!A:D,4,FALSE))</f>
        <v>15.63</v>
      </c>
      <c r="H360" s="75">
        <f t="shared" si="27"/>
        <v>6.56</v>
      </c>
    </row>
    <row r="361" spans="1:8" ht="25.5" x14ac:dyDescent="0.25">
      <c r="A361" s="125" t="s">
        <v>11958</v>
      </c>
      <c r="B361" s="115" t="s">
        <v>11959</v>
      </c>
      <c r="C361" s="115" t="s">
        <v>11960</v>
      </c>
      <c r="D361" s="194" t="str">
        <f>B365</f>
        <v>DUCHA HIGIÊNICA COM REGISTRO E GATILHO, 1/2", EM METAL CROMADO</v>
      </c>
      <c r="E361" s="115" t="str">
        <f>H365</f>
        <v>UND</v>
      </c>
      <c r="F361" s="74">
        <v>1</v>
      </c>
      <c r="G361" s="195">
        <f>H370</f>
        <v>193.65</v>
      </c>
      <c r="H361" s="75">
        <f>TRUNC(G361*F361,2)</f>
        <v>193.65</v>
      </c>
    </row>
    <row r="362" spans="1:8" ht="13.5" thickBot="1" x14ac:dyDescent="0.3">
      <c r="A362" s="267" t="str">
        <f>CONCATENATE("TOTAL DO ÍTEM - ",A355)</f>
        <v>TOTAL DO ÍTEM - MPMT-04157</v>
      </c>
      <c r="B362" s="268"/>
      <c r="C362" s="268"/>
      <c r="D362" s="268"/>
      <c r="E362" s="268"/>
      <c r="F362" s="268"/>
      <c r="G362" s="269"/>
      <c r="H362" s="188">
        <f>TRUNC(SUM(H359:H361),2)</f>
        <v>209.1</v>
      </c>
    </row>
    <row r="363" spans="1:8" ht="13.5" thickBot="1" x14ac:dyDescent="0.3">
      <c r="A363" s="299" t="s">
        <v>12048</v>
      </c>
      <c r="B363" s="300"/>
      <c r="C363" s="300"/>
      <c r="D363" s="300"/>
      <c r="E363" s="300"/>
      <c r="F363" s="300"/>
      <c r="G363" s="300"/>
      <c r="H363" s="301"/>
    </row>
    <row r="364" spans="1:8" x14ac:dyDescent="0.25">
      <c r="A364" s="196"/>
      <c r="B364" s="292" t="s">
        <v>11962</v>
      </c>
      <c r="C364" s="292"/>
      <c r="D364" s="292"/>
      <c r="E364" s="292"/>
      <c r="F364" s="292"/>
      <c r="G364" s="292"/>
      <c r="H364" s="197" t="s">
        <v>4</v>
      </c>
    </row>
    <row r="365" spans="1:8" ht="13.5" thickBot="1" x14ac:dyDescent="0.3">
      <c r="A365" s="215" t="s">
        <v>11960</v>
      </c>
      <c r="B365" s="308" t="s">
        <v>12049</v>
      </c>
      <c r="C365" s="308"/>
      <c r="D365" s="308"/>
      <c r="E365" s="308"/>
      <c r="F365" s="308"/>
      <c r="G365" s="308"/>
      <c r="H365" s="216" t="s">
        <v>4</v>
      </c>
    </row>
    <row r="366" spans="1:8" ht="25.5" x14ac:dyDescent="0.25">
      <c r="A366" s="213" t="s">
        <v>11965</v>
      </c>
      <c r="B366" s="241" t="s">
        <v>11966</v>
      </c>
      <c r="C366" s="241" t="s">
        <v>11967</v>
      </c>
      <c r="D366" s="241" t="s">
        <v>11968</v>
      </c>
      <c r="E366" s="294" t="s">
        <v>11969</v>
      </c>
      <c r="F366" s="294"/>
      <c r="G366" s="241" t="s">
        <v>4</v>
      </c>
      <c r="H366" s="214" t="s">
        <v>11970</v>
      </c>
    </row>
    <row r="367" spans="1:8" x14ac:dyDescent="0.25">
      <c r="A367" s="200">
        <v>43656</v>
      </c>
      <c r="B367" s="206" t="s">
        <v>11971</v>
      </c>
      <c r="C367" s="206" t="s">
        <v>12033</v>
      </c>
      <c r="D367" s="206" t="s">
        <v>12034</v>
      </c>
      <c r="E367" s="295" t="s">
        <v>12035</v>
      </c>
      <c r="F367" s="295"/>
      <c r="G367" s="115" t="s">
        <v>4</v>
      </c>
      <c r="H367" s="218">
        <v>152.81</v>
      </c>
    </row>
    <row r="368" spans="1:8" x14ac:dyDescent="0.25">
      <c r="A368" s="205">
        <v>43656</v>
      </c>
      <c r="B368" s="206" t="s">
        <v>11971</v>
      </c>
      <c r="C368" s="206" t="s">
        <v>11987</v>
      </c>
      <c r="D368" s="206" t="s">
        <v>11988</v>
      </c>
      <c r="E368" s="295" t="s">
        <v>11989</v>
      </c>
      <c r="F368" s="295"/>
      <c r="G368" s="115" t="s">
        <v>4</v>
      </c>
      <c r="H368" s="208">
        <v>193.65</v>
      </c>
    </row>
    <row r="369" spans="1:8" x14ac:dyDescent="0.25">
      <c r="A369" s="205">
        <v>43656</v>
      </c>
      <c r="B369" s="206" t="s">
        <v>11971</v>
      </c>
      <c r="C369" s="206" t="s">
        <v>12024</v>
      </c>
      <c r="D369" s="206" t="s">
        <v>12025</v>
      </c>
      <c r="E369" s="295" t="s">
        <v>12026</v>
      </c>
      <c r="F369" s="295"/>
      <c r="G369" s="115" t="s">
        <v>4</v>
      </c>
      <c r="H369" s="208">
        <v>219.9</v>
      </c>
    </row>
    <row r="370" spans="1:8" ht="13.5" thickBot="1" x14ac:dyDescent="0.3">
      <c r="A370" s="296" t="s">
        <v>11981</v>
      </c>
      <c r="B370" s="297"/>
      <c r="C370" s="297"/>
      <c r="D370" s="297"/>
      <c r="E370" s="297"/>
      <c r="F370" s="297"/>
      <c r="G370" s="298"/>
      <c r="H370" s="188">
        <f>TRUNC(MEDIAN(H367:H369),2)</f>
        <v>193.65</v>
      </c>
    </row>
    <row r="371" spans="1:8" ht="13.5" thickBot="1" x14ac:dyDescent="0.3"/>
    <row r="372" spans="1:8" ht="25.5" x14ac:dyDescent="0.25">
      <c r="A372" s="120" t="s">
        <v>90</v>
      </c>
      <c r="B372" s="286" t="s">
        <v>91</v>
      </c>
      <c r="C372" s="287"/>
      <c r="D372" s="287"/>
      <c r="E372" s="287"/>
      <c r="F372" s="287"/>
      <c r="G372" s="288"/>
      <c r="H372" s="121" t="s">
        <v>4</v>
      </c>
    </row>
    <row r="373" spans="1:8" ht="13.5" thickBot="1" x14ac:dyDescent="0.3">
      <c r="A373" s="113" t="s">
        <v>12050</v>
      </c>
      <c r="B373" s="289" t="s">
        <v>12051</v>
      </c>
      <c r="C373" s="290"/>
      <c r="D373" s="290"/>
      <c r="E373" s="290"/>
      <c r="F373" s="290"/>
      <c r="G373" s="291"/>
      <c r="H373" s="114" t="s">
        <v>4</v>
      </c>
    </row>
    <row r="374" spans="1:8" x14ac:dyDescent="0.25">
      <c r="A374" s="273" t="s">
        <v>13834</v>
      </c>
      <c r="B374" s="275" t="s">
        <v>92</v>
      </c>
      <c r="C374" s="276"/>
      <c r="D374" s="185" t="s">
        <v>12047</v>
      </c>
      <c r="E374" s="239" t="s">
        <v>93</v>
      </c>
      <c r="F374" s="193" t="s">
        <v>12009</v>
      </c>
      <c r="G374" s="277" t="s">
        <v>94</v>
      </c>
      <c r="H374" s="278"/>
    </row>
    <row r="375" spans="1:8" x14ac:dyDescent="0.25">
      <c r="A375" s="274"/>
      <c r="B375" s="281" t="s">
        <v>95</v>
      </c>
      <c r="C375" s="282"/>
      <c r="D375" s="187">
        <v>44025</v>
      </c>
      <c r="E375" s="240" t="s">
        <v>96</v>
      </c>
      <c r="F375" s="187">
        <v>44025</v>
      </c>
      <c r="G375" s="279"/>
      <c r="H375" s="280"/>
    </row>
    <row r="376" spans="1:8" x14ac:dyDescent="0.25">
      <c r="A376" s="122" t="s">
        <v>11885</v>
      </c>
      <c r="B376" s="123" t="s">
        <v>97</v>
      </c>
      <c r="C376" s="123" t="s">
        <v>98</v>
      </c>
      <c r="D376" s="123" t="s">
        <v>3</v>
      </c>
      <c r="E376" s="123" t="s">
        <v>4</v>
      </c>
      <c r="F376" s="123" t="s">
        <v>99</v>
      </c>
      <c r="G376" s="123" t="s">
        <v>100</v>
      </c>
      <c r="H376" s="124" t="s">
        <v>101</v>
      </c>
    </row>
    <row r="377" spans="1:8" ht="25.5" x14ac:dyDescent="0.25">
      <c r="A377" s="125" t="s">
        <v>398</v>
      </c>
      <c r="B377" s="115" t="s">
        <v>9</v>
      </c>
      <c r="C377" s="115">
        <v>88267</v>
      </c>
      <c r="D377" s="127" t="str">
        <f>IF(A377="COMPOSIÇÃO",VLOOKUP(C377,'SINAPI_COMPOSIÇÕES 062020'!A:B,2,FALSE),VLOOKUP(C377,'SINAPI_INSUMOS 062020'!A:B,2,FALSE))</f>
        <v>ENCANADOR OU BOMBEIRO HIDRÁULICO COM ENCARGOS COMPLEMENTARES</v>
      </c>
      <c r="E377" s="126" t="str">
        <f>IF(A377="COMPOSIÇÃO",VLOOKUP(C377,'SINAPI_COMPOSIÇÕES 062020'!A:C,3,FALSE),VLOOKUP(C377,'SINAPI_INSUMOS 062020'!A:C,3,FALSE))</f>
        <v>H</v>
      </c>
      <c r="F377" s="74">
        <v>0.5</v>
      </c>
      <c r="G377" s="128">
        <f>IF(A377="COMPOSIÇÃO",VLOOKUP(C377,'SINAPI_COMPOSIÇÕES 062020'!A:D,4,FALSE),VLOOKUP(C377,'SINAPI_INSUMOS 062020'!A:D,4,FALSE))</f>
        <v>17.79</v>
      </c>
      <c r="H377" s="75">
        <f t="shared" ref="H377:H378" si="28">TRUNC(G377*F377,2)</f>
        <v>8.89</v>
      </c>
    </row>
    <row r="378" spans="1:8" ht="25.5" x14ac:dyDescent="0.25">
      <c r="A378" s="125" t="s">
        <v>400</v>
      </c>
      <c r="B378" s="115" t="s">
        <v>9</v>
      </c>
      <c r="C378" s="115">
        <v>3148</v>
      </c>
      <c r="D378" s="127" t="str">
        <f>IF(A378="COMPOSIÇÃO",VLOOKUP(C378,'SINAPI_COMPOSIÇÕES 062020'!A:B,2,FALSE),VLOOKUP(C378,'SINAPI_INSUMOS 062020'!A:B,2,FALSE))</f>
        <v>FITA VEDA ROSCA EM ROLOS DE 18 MM X 50 M (L X C)</v>
      </c>
      <c r="E378" s="126" t="str">
        <f>IF(A378="COMPOSIÇÃO",VLOOKUP(C378,'SINAPI_COMPOSIÇÕES 062020'!A:C,3,FALSE),VLOOKUP(C378,'SINAPI_INSUMOS 062020'!A:C,3,FALSE))</f>
        <v xml:space="preserve">UN    </v>
      </c>
      <c r="F378" s="74">
        <v>0.42</v>
      </c>
      <c r="G378" s="128">
        <f>IF(A378="COMPOSIÇÃO",VLOOKUP(C378,'SINAPI_COMPOSIÇÕES 062020'!A:D,4,FALSE),VLOOKUP(C378,'SINAPI_INSUMOS 062020'!A:D,4,FALSE))</f>
        <v>15.63</v>
      </c>
      <c r="H378" s="75">
        <f t="shared" si="28"/>
        <v>6.56</v>
      </c>
    </row>
    <row r="379" spans="1:8" ht="13.5" thickBot="1" x14ac:dyDescent="0.3">
      <c r="A379" s="267" t="str">
        <f>CONCATENATE("TOTAL DO ÍTEM - ",A373)</f>
        <v>TOTAL DO ÍTEM - MPMT-04299</v>
      </c>
      <c r="B379" s="268"/>
      <c r="C379" s="268"/>
      <c r="D379" s="268"/>
      <c r="E379" s="268"/>
      <c r="F379" s="268"/>
      <c r="G379" s="269"/>
      <c r="H379" s="188">
        <f>TRUNC(SUM(H377:H378),2)</f>
        <v>15.45</v>
      </c>
    </row>
    <row r="380" spans="1:8" ht="13.5" thickBot="1" x14ac:dyDescent="0.3">
      <c r="A380" s="299" t="s">
        <v>12048</v>
      </c>
      <c r="B380" s="300"/>
      <c r="C380" s="300"/>
      <c r="D380" s="300"/>
      <c r="E380" s="300"/>
      <c r="F380" s="300"/>
      <c r="G380" s="300"/>
      <c r="H380" s="301"/>
    </row>
    <row r="381" spans="1:8" ht="13.5" thickBot="1" x14ac:dyDescent="0.3"/>
    <row r="382" spans="1:8" ht="25.5" x14ac:dyDescent="0.25">
      <c r="A382" s="120" t="s">
        <v>90</v>
      </c>
      <c r="B382" s="286" t="s">
        <v>91</v>
      </c>
      <c r="C382" s="287"/>
      <c r="D382" s="287"/>
      <c r="E382" s="287"/>
      <c r="F382" s="287"/>
      <c r="G382" s="288"/>
      <c r="H382" s="121" t="s">
        <v>4</v>
      </c>
    </row>
    <row r="383" spans="1:8" ht="13.5" thickBot="1" x14ac:dyDescent="0.3">
      <c r="A383" s="113" t="s">
        <v>12053</v>
      </c>
      <c r="B383" s="289" t="s">
        <v>12054</v>
      </c>
      <c r="C383" s="290"/>
      <c r="D383" s="290"/>
      <c r="E383" s="290"/>
      <c r="F383" s="290"/>
      <c r="G383" s="291"/>
      <c r="H383" s="114" t="s">
        <v>8</v>
      </c>
    </row>
    <row r="384" spans="1:8" x14ac:dyDescent="0.25">
      <c r="A384" s="273" t="s">
        <v>13834</v>
      </c>
      <c r="B384" s="275" t="s">
        <v>92</v>
      </c>
      <c r="C384" s="276"/>
      <c r="D384" s="185" t="s">
        <v>398</v>
      </c>
      <c r="E384" s="239" t="s">
        <v>93</v>
      </c>
      <c r="F384" s="186">
        <v>0</v>
      </c>
      <c r="G384" s="277" t="s">
        <v>94</v>
      </c>
      <c r="H384" s="278"/>
    </row>
    <row r="385" spans="1:8" x14ac:dyDescent="0.25">
      <c r="A385" s="274"/>
      <c r="B385" s="281" t="s">
        <v>95</v>
      </c>
      <c r="C385" s="282"/>
      <c r="D385" s="187">
        <v>43486</v>
      </c>
      <c r="E385" s="240" t="s">
        <v>96</v>
      </c>
      <c r="F385" s="187">
        <v>43486</v>
      </c>
      <c r="G385" s="279"/>
      <c r="H385" s="280"/>
    </row>
    <row r="386" spans="1:8" x14ac:dyDescent="0.25">
      <c r="A386" s="122" t="s">
        <v>11885</v>
      </c>
      <c r="B386" s="123" t="s">
        <v>97</v>
      </c>
      <c r="C386" s="123" t="s">
        <v>98</v>
      </c>
      <c r="D386" s="123" t="s">
        <v>3</v>
      </c>
      <c r="E386" s="123" t="s">
        <v>4</v>
      </c>
      <c r="F386" s="123" t="s">
        <v>99</v>
      </c>
      <c r="G386" s="123" t="s">
        <v>100</v>
      </c>
      <c r="H386" s="124" t="s">
        <v>101</v>
      </c>
    </row>
    <row r="387" spans="1:8" ht="25.5" x14ac:dyDescent="0.25">
      <c r="A387" s="125" t="s">
        <v>398</v>
      </c>
      <c r="B387" s="115" t="s">
        <v>9</v>
      </c>
      <c r="C387" s="115">
        <v>88269</v>
      </c>
      <c r="D387" s="127" t="str">
        <f>IF(A387="COMPOSIÇÃO",VLOOKUP(C387,'SINAPI_COMPOSIÇÕES 062020'!A:B,2,FALSE),VLOOKUP(C387,'SINAPI_INSUMOS 062020'!A:B,2,FALSE))</f>
        <v>GESSEIRO COM ENCARGOS COMPLEMENTARES</v>
      </c>
      <c r="E387" s="126" t="str">
        <f>IF(A387="COMPOSIÇÃO",VLOOKUP(C387,'SINAPI_COMPOSIÇÕES 062020'!A:C,3,FALSE),VLOOKUP(C387,'SINAPI_INSUMOS 062020'!A:C,3,FALSE))</f>
        <v>H</v>
      </c>
      <c r="F387" s="74">
        <v>1.2</v>
      </c>
      <c r="G387" s="128">
        <f>IF(A387="COMPOSIÇÃO",VLOOKUP(C387,'SINAPI_COMPOSIÇÕES 062020'!A:D,4,FALSE),VLOOKUP(C387,'SINAPI_INSUMOS 062020'!A:D,4,FALSE))</f>
        <v>17.68</v>
      </c>
      <c r="H387" s="75">
        <f t="shared" ref="H387:H393" si="29">TRUNC(G387*F387,2)</f>
        <v>21.21</v>
      </c>
    </row>
    <row r="388" spans="1:8" ht="25.5" x14ac:dyDescent="0.25">
      <c r="A388" s="125" t="s">
        <v>398</v>
      </c>
      <c r="B388" s="115" t="s">
        <v>9</v>
      </c>
      <c r="C388" s="115">
        <v>88243</v>
      </c>
      <c r="D388" s="127" t="str">
        <f>IF(A388="COMPOSIÇÃO",VLOOKUP(C388,'SINAPI_COMPOSIÇÕES 062020'!A:B,2,FALSE),VLOOKUP(C388,'SINAPI_INSUMOS 062020'!A:B,2,FALSE))</f>
        <v>AJUDANTE ESPECIALIZADO COM ENCARGOS COMPLEMENTARES</v>
      </c>
      <c r="E388" s="126" t="str">
        <f>IF(A388="COMPOSIÇÃO",VLOOKUP(C388,'SINAPI_COMPOSIÇÕES 062020'!A:C,3,FALSE),VLOOKUP(C388,'SINAPI_INSUMOS 062020'!A:C,3,FALSE))</f>
        <v>H</v>
      </c>
      <c r="F388" s="74">
        <v>1.2</v>
      </c>
      <c r="G388" s="128">
        <f>IF(A388="COMPOSIÇÃO",VLOOKUP(C388,'SINAPI_COMPOSIÇÕES 062020'!A:D,4,FALSE),VLOOKUP(C388,'SINAPI_INSUMOS 062020'!A:D,4,FALSE))</f>
        <v>17.149999999999999</v>
      </c>
      <c r="H388" s="75">
        <f t="shared" si="29"/>
        <v>20.58</v>
      </c>
    </row>
    <row r="389" spans="1:8" ht="51" x14ac:dyDescent="0.25">
      <c r="A389" s="125" t="s">
        <v>400</v>
      </c>
      <c r="B389" s="115" t="s">
        <v>9</v>
      </c>
      <c r="C389" s="115">
        <v>39430</v>
      </c>
      <c r="D389" s="127" t="str">
        <f>IF(A389="COMPOSIÇÃO",VLOOKUP(C389,'SINAPI_COMPOSIÇÕES 062020'!A:B,2,FALSE),VLOOKUP(C389,'SINAPI_INSUMOS 062020'!A:B,2,FALSE))</f>
        <v>PENDURAL OU PRESILHA REGULADORA, EM ACO GALVANIZADO, COM CORPO, MOLA E REBITE, PARA PERFIL TIPO CANALETA DE ESTRUTURA EM FORROS DRYWALL</v>
      </c>
      <c r="E389" s="126" t="str">
        <f>IF(A389="COMPOSIÇÃO",VLOOKUP(C389,'SINAPI_COMPOSIÇÕES 062020'!A:C,3,FALSE),VLOOKUP(C389,'SINAPI_INSUMOS 062020'!A:C,3,FALSE))</f>
        <v xml:space="preserve">UN    </v>
      </c>
      <c r="F389" s="74">
        <v>0.7</v>
      </c>
      <c r="G389" s="128">
        <f>IF(A389="COMPOSIÇÃO",VLOOKUP(C389,'SINAPI_COMPOSIÇÕES 062020'!A:D,4,FALSE),VLOOKUP(C389,'SINAPI_INSUMOS 062020'!A:D,4,FALSE))</f>
        <v>1.48</v>
      </c>
      <c r="H389" s="75">
        <f t="shared" si="29"/>
        <v>1.03</v>
      </c>
    </row>
    <row r="390" spans="1:8" ht="38.25" x14ac:dyDescent="0.25">
      <c r="A390" s="125" t="s">
        <v>400</v>
      </c>
      <c r="B390" s="115" t="s">
        <v>9</v>
      </c>
      <c r="C390" s="115">
        <v>39574</v>
      </c>
      <c r="D390" s="127" t="str">
        <f>IF(A390="COMPOSIÇÃO",VLOOKUP(C390,'SINAPI_COMPOSIÇÕES 062020'!A:B,2,FALSE),VLOOKUP(C390,'SINAPI_INSUMOS 062020'!A:B,2,FALSE))</f>
        <v>TIRANTE COM ELO, EM ARAME GALVANIZADO RIGIDO, NUMERO 10, COMPRIMENTO 2000 MM, PARA PENDURAL DE FORRO REMOVIVEL</v>
      </c>
      <c r="E390" s="126" t="str">
        <f>IF(A390="COMPOSIÇÃO",VLOOKUP(C390,'SINAPI_COMPOSIÇÕES 062020'!A:C,3,FALSE),VLOOKUP(C390,'SINAPI_INSUMOS 062020'!A:C,3,FALSE))</f>
        <v xml:space="preserve">UN    </v>
      </c>
      <c r="F390" s="74">
        <v>0.7</v>
      </c>
      <c r="G390" s="128">
        <f>IF(A390="COMPOSIÇÃO",VLOOKUP(C390,'SINAPI_COMPOSIÇÕES 062020'!A:D,4,FALSE),VLOOKUP(C390,'SINAPI_INSUMOS 062020'!A:D,4,FALSE))</f>
        <v>3.33</v>
      </c>
      <c r="H390" s="75">
        <f t="shared" si="29"/>
        <v>2.33</v>
      </c>
    </row>
    <row r="391" spans="1:8" ht="38.25" x14ac:dyDescent="0.25">
      <c r="A391" s="125" t="s">
        <v>400</v>
      </c>
      <c r="B391" s="115" t="s">
        <v>9</v>
      </c>
      <c r="C391" s="115">
        <v>39572</v>
      </c>
      <c r="D391" s="127" t="str">
        <f>IF(A391="COMPOSIÇÃO",VLOOKUP(C391,'SINAPI_COMPOSIÇÕES 062020'!A:B,2,FALSE),VLOOKUP(C391,'SINAPI_INSUMOS 062020'!A:B,2,FALSE))</f>
        <v>PERFIL TIPO CANTONEIRA EM L, EM ACO GALVANIZADO, BRANCO, PARA FORRO REMOVIVEL, *23* X 3000 MM (L X C)</v>
      </c>
      <c r="E391" s="126" t="str">
        <f>IF(A391="COMPOSIÇÃO",VLOOKUP(C391,'SINAPI_COMPOSIÇÕES 062020'!A:C,3,FALSE),VLOOKUP(C391,'SINAPI_INSUMOS 062020'!A:C,3,FALSE))</f>
        <v xml:space="preserve">M     </v>
      </c>
      <c r="F391" s="74">
        <v>0.63</v>
      </c>
      <c r="G391" s="128">
        <f>IF(A391="COMPOSIÇÃO",VLOOKUP(C391,'SINAPI_COMPOSIÇÕES 062020'!A:D,4,FALSE),VLOOKUP(C391,'SINAPI_INSUMOS 062020'!A:D,4,FALSE))</f>
        <v>3.3</v>
      </c>
      <c r="H391" s="75">
        <f t="shared" si="29"/>
        <v>2.0699999999999998</v>
      </c>
    </row>
    <row r="392" spans="1:8" ht="38.25" x14ac:dyDescent="0.25">
      <c r="A392" s="125" t="s">
        <v>400</v>
      </c>
      <c r="B392" s="115" t="s">
        <v>9</v>
      </c>
      <c r="C392" s="115">
        <v>39571</v>
      </c>
      <c r="D392" s="127" t="str">
        <f>IF(A392="COMPOSIÇÃO",VLOOKUP(C392,'SINAPI_COMPOSIÇÕES 062020'!A:B,2,FALSE),VLOOKUP(C392,'SINAPI_INSUMOS 062020'!A:B,2,FALSE))</f>
        <v>PERFIL LONGARINA (PRINCIPAL), T CLICADO, EM ACO, BRANCO, PARA FORRO REMOVIVEL, 24 X 3750 MM (L X C)</v>
      </c>
      <c r="E392" s="126" t="str">
        <f>IF(A392="COMPOSIÇÃO",VLOOKUP(C392,'SINAPI_COMPOSIÇÕES 062020'!A:C,3,FALSE),VLOOKUP(C392,'SINAPI_INSUMOS 062020'!A:C,3,FALSE))</f>
        <v xml:space="preserve">M     </v>
      </c>
      <c r="F392" s="74">
        <v>0.84</v>
      </c>
      <c r="G392" s="128">
        <f>IF(A392="COMPOSIÇÃO",VLOOKUP(C392,'SINAPI_COMPOSIÇÕES 062020'!A:D,4,FALSE),VLOOKUP(C392,'SINAPI_INSUMOS 062020'!A:D,4,FALSE))</f>
        <v>3.57</v>
      </c>
      <c r="H392" s="75">
        <f t="shared" si="29"/>
        <v>2.99</v>
      </c>
    </row>
    <row r="393" spans="1:8" ht="38.25" x14ac:dyDescent="0.25">
      <c r="A393" s="125" t="s">
        <v>400</v>
      </c>
      <c r="B393" s="115" t="s">
        <v>9</v>
      </c>
      <c r="C393" s="115">
        <v>39570</v>
      </c>
      <c r="D393" s="127" t="str">
        <f>IF(A393="COMPOSIÇÃO",VLOOKUP(C393,'SINAPI_COMPOSIÇÕES 062020'!A:B,2,FALSE),VLOOKUP(C393,'SINAPI_INSUMOS 062020'!A:B,2,FALSE))</f>
        <v>PERFIL TRAVESSA (SECUNDARIO), T CLICADO, EM ACO GALVANIZADO , BRANCO, PARA FORRO REMOVIVEL, 24 X 1250 MM (L X C)</v>
      </c>
      <c r="E393" s="126" t="str">
        <f>IF(A393="COMPOSIÇÃO",VLOOKUP(C393,'SINAPI_COMPOSIÇÕES 062020'!A:C,3,FALSE),VLOOKUP(C393,'SINAPI_INSUMOS 062020'!A:C,3,FALSE))</f>
        <v xml:space="preserve">M     </v>
      </c>
      <c r="F393" s="74">
        <v>1.68</v>
      </c>
      <c r="G393" s="128">
        <f>IF(A393="COMPOSIÇÃO",VLOOKUP(C393,'SINAPI_COMPOSIÇÕES 062020'!A:D,4,FALSE),VLOOKUP(C393,'SINAPI_INSUMOS 062020'!A:D,4,FALSE))</f>
        <v>3.5</v>
      </c>
      <c r="H393" s="75">
        <f t="shared" si="29"/>
        <v>5.88</v>
      </c>
    </row>
    <row r="394" spans="1:8" ht="38.25" x14ac:dyDescent="0.25">
      <c r="A394" s="125" t="s">
        <v>11958</v>
      </c>
      <c r="B394" s="115" t="s">
        <v>11959</v>
      </c>
      <c r="C394" s="115" t="s">
        <v>11960</v>
      </c>
      <c r="D394" s="194" t="str">
        <f>B398</f>
        <v>FORRO MODULAR EM LÃ DE PET, 1250X625MM, ESP. 25MM, REF. TRISOFT AE IR25</v>
      </c>
      <c r="E394" s="115" t="str">
        <f>H398</f>
        <v>M2</v>
      </c>
      <c r="F394" s="74">
        <v>1.05</v>
      </c>
      <c r="G394" s="195">
        <f>H401</f>
        <v>57.963474524248007</v>
      </c>
      <c r="H394" s="75">
        <f t="shared" ref="H394" si="30">TRUNC(G394*F394,2)</f>
        <v>60.86</v>
      </c>
    </row>
    <row r="395" spans="1:8" ht="13.5" thickBot="1" x14ac:dyDescent="0.3">
      <c r="A395" s="267" t="str">
        <f>CONCATENATE("TOTAL DO ÍTEM - ",A383)</f>
        <v>TOTAL DO ÍTEM - MPMT-02491</v>
      </c>
      <c r="B395" s="268"/>
      <c r="C395" s="268"/>
      <c r="D395" s="268"/>
      <c r="E395" s="268"/>
      <c r="F395" s="268"/>
      <c r="G395" s="269"/>
      <c r="H395" s="188">
        <f>TRUNC(SUM(H387:H394),2)</f>
        <v>116.95</v>
      </c>
    </row>
    <row r="396" spans="1:8" ht="13.5" thickBot="1" x14ac:dyDescent="0.3">
      <c r="A396" s="302" t="s">
        <v>12055</v>
      </c>
      <c r="B396" s="303"/>
      <c r="C396" s="303"/>
      <c r="D396" s="303"/>
      <c r="E396" s="303"/>
      <c r="F396" s="303"/>
      <c r="G396" s="303"/>
      <c r="H396" s="304"/>
    </row>
    <row r="397" spans="1:8" x14ac:dyDescent="0.25">
      <c r="A397" s="196"/>
      <c r="B397" s="292" t="s">
        <v>11962</v>
      </c>
      <c r="C397" s="292"/>
      <c r="D397" s="292"/>
      <c r="E397" s="292"/>
      <c r="F397" s="292"/>
      <c r="G397" s="292"/>
      <c r="H397" s="197" t="s">
        <v>11963</v>
      </c>
    </row>
    <row r="398" spans="1:8" ht="13.5" thickBot="1" x14ac:dyDescent="0.3">
      <c r="A398" s="215" t="s">
        <v>11960</v>
      </c>
      <c r="B398" s="308" t="s">
        <v>12056</v>
      </c>
      <c r="C398" s="308"/>
      <c r="D398" s="308"/>
      <c r="E398" s="308"/>
      <c r="F398" s="308"/>
      <c r="G398" s="308"/>
      <c r="H398" s="216" t="s">
        <v>8</v>
      </c>
    </row>
    <row r="399" spans="1:8" ht="25.5" x14ac:dyDescent="0.25">
      <c r="A399" s="213" t="s">
        <v>11965</v>
      </c>
      <c r="B399" s="241" t="s">
        <v>11966</v>
      </c>
      <c r="C399" s="241" t="s">
        <v>11967</v>
      </c>
      <c r="D399" s="241" t="s">
        <v>11968</v>
      </c>
      <c r="E399" s="294" t="s">
        <v>11969</v>
      </c>
      <c r="F399" s="294"/>
      <c r="G399" s="241" t="s">
        <v>4</v>
      </c>
      <c r="H399" s="214" t="s">
        <v>11970</v>
      </c>
    </row>
    <row r="400" spans="1:8" x14ac:dyDescent="0.25">
      <c r="A400" s="205">
        <v>43661</v>
      </c>
      <c r="B400" s="206" t="s">
        <v>12057</v>
      </c>
      <c r="C400" s="206" t="s">
        <v>12058</v>
      </c>
      <c r="D400" s="219" t="s">
        <v>12059</v>
      </c>
      <c r="E400" s="295" t="s">
        <v>12060</v>
      </c>
      <c r="F400" s="295"/>
      <c r="G400" s="115" t="s">
        <v>8</v>
      </c>
      <c r="H400" s="218">
        <f>(28815.2+1400)/(1.2*0.6*724)</f>
        <v>57.963474524248007</v>
      </c>
    </row>
    <row r="401" spans="1:8" ht="13.5" thickBot="1" x14ac:dyDescent="0.3">
      <c r="A401" s="296" t="s">
        <v>11981</v>
      </c>
      <c r="B401" s="297"/>
      <c r="C401" s="297"/>
      <c r="D401" s="297"/>
      <c r="E401" s="297"/>
      <c r="F401" s="297"/>
      <c r="G401" s="298"/>
      <c r="H401" s="188">
        <f>H400</f>
        <v>57.963474524248007</v>
      </c>
    </row>
    <row r="402" spans="1:8" ht="13.5" thickBot="1" x14ac:dyDescent="0.3"/>
    <row r="403" spans="1:8" ht="25.5" x14ac:dyDescent="0.25">
      <c r="A403" s="120" t="s">
        <v>90</v>
      </c>
      <c r="B403" s="286" t="s">
        <v>91</v>
      </c>
      <c r="C403" s="287"/>
      <c r="D403" s="287"/>
      <c r="E403" s="287"/>
      <c r="F403" s="287"/>
      <c r="G403" s="288"/>
      <c r="H403" s="121" t="s">
        <v>4</v>
      </c>
    </row>
    <row r="404" spans="1:8" ht="13.5" thickBot="1" x14ac:dyDescent="0.3">
      <c r="A404" s="113" t="s">
        <v>12062</v>
      </c>
      <c r="B404" s="289" t="s">
        <v>12063</v>
      </c>
      <c r="C404" s="290"/>
      <c r="D404" s="290"/>
      <c r="E404" s="290"/>
      <c r="F404" s="290"/>
      <c r="G404" s="291"/>
      <c r="H404" s="114" t="s">
        <v>4</v>
      </c>
    </row>
    <row r="405" spans="1:8" x14ac:dyDescent="0.25">
      <c r="A405" s="273" t="s">
        <v>13834</v>
      </c>
      <c r="B405" s="275" t="s">
        <v>92</v>
      </c>
      <c r="C405" s="276"/>
      <c r="D405" s="185" t="s">
        <v>12064</v>
      </c>
      <c r="E405" s="239" t="s">
        <v>93</v>
      </c>
      <c r="F405" s="186">
        <v>0</v>
      </c>
      <c r="G405" s="277" t="s">
        <v>94</v>
      </c>
      <c r="H405" s="278"/>
    </row>
    <row r="406" spans="1:8" x14ac:dyDescent="0.25">
      <c r="A406" s="274"/>
      <c r="B406" s="281" t="s">
        <v>95</v>
      </c>
      <c r="C406" s="282"/>
      <c r="D406" s="187">
        <v>44025</v>
      </c>
      <c r="E406" s="240" t="s">
        <v>96</v>
      </c>
      <c r="F406" s="187">
        <v>44025</v>
      </c>
      <c r="G406" s="279"/>
      <c r="H406" s="280"/>
    </row>
    <row r="407" spans="1:8" x14ac:dyDescent="0.25">
      <c r="A407" s="122" t="s">
        <v>11885</v>
      </c>
      <c r="B407" s="123" t="s">
        <v>97</v>
      </c>
      <c r="C407" s="123" t="s">
        <v>98</v>
      </c>
      <c r="D407" s="123" t="s">
        <v>3</v>
      </c>
      <c r="E407" s="123" t="s">
        <v>4</v>
      </c>
      <c r="F407" s="123" t="s">
        <v>99</v>
      </c>
      <c r="G407" s="123" t="s">
        <v>100</v>
      </c>
      <c r="H407" s="124" t="s">
        <v>101</v>
      </c>
    </row>
    <row r="408" spans="1:8" ht="25.5" x14ac:dyDescent="0.25">
      <c r="A408" s="125" t="s">
        <v>398</v>
      </c>
      <c r="B408" s="115" t="s">
        <v>9</v>
      </c>
      <c r="C408" s="115">
        <v>88274</v>
      </c>
      <c r="D408" s="127" t="str">
        <f>IF(A408="COMPOSIÇÃO",VLOOKUP(C408,'SINAPI_COMPOSIÇÕES 062020'!A:B,2,FALSE),VLOOKUP(C408,'SINAPI_INSUMOS 062020'!A:B,2,FALSE))</f>
        <v>MARMORISTA/GRANITEIRO COM ENCARGOS COMPLEMENTARES</v>
      </c>
      <c r="E408" s="126" t="str">
        <f>IF(A408="COMPOSIÇÃO",VLOOKUP(C408,'SINAPI_COMPOSIÇÕES 062020'!A:C,3,FALSE),VLOOKUP(C408,'SINAPI_INSUMOS 062020'!A:C,3,FALSE))</f>
        <v>H</v>
      </c>
      <c r="F408" s="74">
        <f>(1.49/(1.5*0.6))*(2.2*0.6)</f>
        <v>2.1853333333333338</v>
      </c>
      <c r="G408" s="128">
        <f>IF(A408="COMPOSIÇÃO",VLOOKUP(C408,'SINAPI_COMPOSIÇÕES 062020'!A:D,4,FALSE),VLOOKUP(C408,'SINAPI_INSUMOS 062020'!A:D,4,FALSE))</f>
        <v>17.98</v>
      </c>
      <c r="H408" s="75">
        <f t="shared" ref="H408:H416" si="31">TRUNC(G408*F408,2)</f>
        <v>39.29</v>
      </c>
    </row>
    <row r="409" spans="1:8" ht="25.5" x14ac:dyDescent="0.25">
      <c r="A409" s="125" t="s">
        <v>398</v>
      </c>
      <c r="B409" s="115" t="s">
        <v>9</v>
      </c>
      <c r="C409" s="115">
        <v>88316</v>
      </c>
      <c r="D409" s="127" t="str">
        <f>IF(A409="COMPOSIÇÃO",VLOOKUP(C409,'SINAPI_COMPOSIÇÕES 062020'!A:B,2,FALSE),VLOOKUP(C409,'SINAPI_INSUMOS 062020'!A:B,2,FALSE))</f>
        <v>SERVENTE COM ENCARGOS COMPLEMENTARES</v>
      </c>
      <c r="E409" s="126" t="str">
        <f>IF(A409="COMPOSIÇÃO",VLOOKUP(C409,'SINAPI_COMPOSIÇÕES 062020'!A:C,3,FALSE),VLOOKUP(C409,'SINAPI_INSUMOS 062020'!A:C,3,FALSE))</f>
        <v>H</v>
      </c>
      <c r="F409" s="74">
        <f>(0.98/(1.5*0.6))*(2.2*0.6)</f>
        <v>1.4373333333333336</v>
      </c>
      <c r="G409" s="128">
        <f>IF(A409="COMPOSIÇÃO",VLOOKUP(C409,'SINAPI_COMPOSIÇÕES 062020'!A:D,4,FALSE),VLOOKUP(C409,'SINAPI_INSUMOS 062020'!A:D,4,FALSE))</f>
        <v>14.37</v>
      </c>
      <c r="H409" s="75">
        <f t="shared" si="31"/>
        <v>20.65</v>
      </c>
    </row>
    <row r="410" spans="1:8" ht="51" x14ac:dyDescent="0.25">
      <c r="A410" s="125" t="s">
        <v>400</v>
      </c>
      <c r="B410" s="115" t="s">
        <v>9</v>
      </c>
      <c r="C410" s="115">
        <v>38605</v>
      </c>
      <c r="D410" s="127" t="str">
        <f>IF(A410="COMPOSIÇÃO",VLOOKUP(C410,'SINAPI_COMPOSIÇÕES 062020'!A:B,2,FALSE),VLOOKUP(C410,'SINAPI_INSUMOS 062020'!A:B,2,FALSE))</f>
        <v>ABERTURA PARA ENCAIXE DE CUBA OU LAVATORIO EM BANCADA DE MARMORE/ GRANITO OU OUTRO TIPO DE PEDRA NATURAL</v>
      </c>
      <c r="E410" s="126" t="str">
        <f>IF(A410="COMPOSIÇÃO",VLOOKUP(C410,'SINAPI_COMPOSIÇÕES 062020'!A:C,3,FALSE),VLOOKUP(C410,'SINAPI_INSUMOS 062020'!A:C,3,FALSE))</f>
        <v xml:space="preserve">UN    </v>
      </c>
      <c r="F410" s="74">
        <v>3</v>
      </c>
      <c r="G410" s="128">
        <f>IF(A410="COMPOSIÇÃO",VLOOKUP(C410,'SINAPI_COMPOSIÇÕES 062020'!A:D,4,FALSE),VLOOKUP(C410,'SINAPI_INSUMOS 062020'!A:D,4,FALSE))</f>
        <v>124.38</v>
      </c>
      <c r="H410" s="75">
        <f t="shared" si="31"/>
        <v>373.14</v>
      </c>
    </row>
    <row r="411" spans="1:8" ht="51" x14ac:dyDescent="0.25">
      <c r="A411" s="125" t="s">
        <v>400</v>
      </c>
      <c r="B411" s="115" t="s">
        <v>9</v>
      </c>
      <c r="C411" s="115">
        <v>38633</v>
      </c>
      <c r="D411" s="127" t="str">
        <f>IF(A411="COMPOSIÇÃO",VLOOKUP(C411,'SINAPI_COMPOSIÇÕES 062020'!A:B,2,FALSE),VLOOKUP(C411,'SINAPI_INSUMOS 062020'!A:B,2,FALSE))</f>
        <v>FURO PARA TORNEIRA OU OUTROS ACESSORIOS  EM BANCADA DE MARMORE/ GRANITO OU OUTRO TIPO DE PEDRA NATURAL</v>
      </c>
      <c r="E411" s="126" t="str">
        <f>IF(A411="COMPOSIÇÃO",VLOOKUP(C411,'SINAPI_COMPOSIÇÕES 062020'!A:C,3,FALSE),VLOOKUP(C411,'SINAPI_INSUMOS 062020'!A:C,3,FALSE))</f>
        <v xml:space="preserve">UN    </v>
      </c>
      <c r="F411" s="74">
        <v>3</v>
      </c>
      <c r="G411" s="128">
        <f>IF(A411="COMPOSIÇÃO",VLOOKUP(C411,'SINAPI_COMPOSIÇÕES 062020'!A:D,4,FALSE),VLOOKUP(C411,'SINAPI_INSUMOS 062020'!A:D,4,FALSE))</f>
        <v>18.649999999999999</v>
      </c>
      <c r="H411" s="75">
        <f t="shared" si="31"/>
        <v>55.95</v>
      </c>
    </row>
    <row r="412" spans="1:8" x14ac:dyDescent="0.25">
      <c r="A412" s="125" t="s">
        <v>400</v>
      </c>
      <c r="B412" s="115" t="s">
        <v>9</v>
      </c>
      <c r="C412" s="115">
        <v>4823</v>
      </c>
      <c r="D412" s="127" t="str">
        <f>IF(A412="COMPOSIÇÃO",VLOOKUP(C412,'SINAPI_COMPOSIÇÕES 062020'!A:B,2,FALSE),VLOOKUP(C412,'SINAPI_INSUMOS 062020'!A:B,2,FALSE))</f>
        <v>MASSA PLASTICA PARA MARMORE/GRANITO</v>
      </c>
      <c r="E412" s="126" t="str">
        <f>IF(A412="COMPOSIÇÃO",VLOOKUP(C412,'SINAPI_COMPOSIÇÕES 062020'!A:C,3,FALSE),VLOOKUP(C412,'SINAPI_INSUMOS 062020'!A:C,3,FALSE))</f>
        <v xml:space="preserve">KG    </v>
      </c>
      <c r="F412" s="74">
        <f>(0.5228/(1.5*0.6))*(2.2*0.6)</f>
        <v>0.76677333333333353</v>
      </c>
      <c r="G412" s="128">
        <f>IF(A412="COMPOSIÇÃO",VLOOKUP(C412,'SINAPI_COMPOSIÇÕES 062020'!A:D,4,FALSE),VLOOKUP(C412,'SINAPI_INSUMOS 062020'!A:D,4,FALSE))</f>
        <v>37.57</v>
      </c>
      <c r="H412" s="75">
        <f t="shared" si="31"/>
        <v>28.8</v>
      </c>
    </row>
    <row r="413" spans="1:8" ht="51" x14ac:dyDescent="0.25">
      <c r="A413" s="125" t="s">
        <v>400</v>
      </c>
      <c r="B413" s="115" t="s">
        <v>9</v>
      </c>
      <c r="C413" s="115">
        <v>7568</v>
      </c>
      <c r="D413" s="127" t="str">
        <f>IF(A413="COMPOSIÇÃO",VLOOKUP(C413,'SINAPI_COMPOSIÇÕES 062020'!A:B,2,FALSE),VLOOKUP(C413,'SINAPI_INSUMOS 062020'!A:B,2,FALSE))</f>
        <v>BUCHA DE NYLON SEM ABA S10, COM PARAFUSO DE 6,10 X 65 MM EM ACO ZINCADO COM ROSCA SOBERBA, CABECA CHATA E FENDA PHILLIPS</v>
      </c>
      <c r="E413" s="126" t="str">
        <f>IF(A413="COMPOSIÇÃO",VLOOKUP(C413,'SINAPI_COMPOSIÇÕES 062020'!A:C,3,FALSE),VLOOKUP(C413,'SINAPI_INSUMOS 062020'!A:C,3,FALSE))</f>
        <v xml:space="preserve">UN    </v>
      </c>
      <c r="F413" s="74">
        <f>(6/(1.5*0.6))*(2.2*0.6)</f>
        <v>8.8000000000000007</v>
      </c>
      <c r="G413" s="128">
        <f>IF(A413="COMPOSIÇÃO",VLOOKUP(C413,'SINAPI_COMPOSIÇÕES 062020'!A:D,4,FALSE),VLOOKUP(C413,'SINAPI_INSUMOS 062020'!A:D,4,FALSE))</f>
        <v>0.43</v>
      </c>
      <c r="H413" s="75">
        <f t="shared" si="31"/>
        <v>3.78</v>
      </c>
    </row>
    <row r="414" spans="1:8" ht="51" x14ac:dyDescent="0.25">
      <c r="A414" s="125" t="s">
        <v>400</v>
      </c>
      <c r="B414" s="115" t="s">
        <v>9</v>
      </c>
      <c r="C414" s="115">
        <v>11795</v>
      </c>
      <c r="D414" s="127" t="str">
        <f>IF(A414="COMPOSIÇÃO",VLOOKUP(C414,'SINAPI_COMPOSIÇÕES 062020'!A:B,2,FALSE),VLOOKUP(C414,'SINAPI_INSUMOS 062020'!A:B,2,FALSE))</f>
        <v>GRANITO PARA BANCADA, POLIDO, TIPO ANDORINHA/ QUARTZ/ CASTELO/ CORUMBA OU OUTROS EQUIVALENTES DA REGIAO, E=  *2,5* CM</v>
      </c>
      <c r="E414" s="126" t="str">
        <f>IF(A414="COMPOSIÇÃO",VLOOKUP(C414,'SINAPI_COMPOSIÇÕES 062020'!A:C,3,FALSE),VLOOKUP(C414,'SINAPI_INSUMOS 062020'!A:C,3,FALSE))</f>
        <v xml:space="preserve">M2    </v>
      </c>
      <c r="F414" s="74">
        <v>1.99</v>
      </c>
      <c r="G414" s="128">
        <f>IF(A414="COMPOSIÇÃO",VLOOKUP(C414,'SINAPI_COMPOSIÇÕES 062020'!A:D,4,FALSE),VLOOKUP(C414,'SINAPI_INSUMOS 062020'!A:D,4,FALSE))</f>
        <v>543.39</v>
      </c>
      <c r="H414" s="75">
        <f t="shared" si="31"/>
        <v>1081.3399999999999</v>
      </c>
    </row>
    <row r="415" spans="1:8" x14ac:dyDescent="0.25">
      <c r="A415" s="125" t="s">
        <v>400</v>
      </c>
      <c r="B415" s="115" t="s">
        <v>9</v>
      </c>
      <c r="C415" s="115">
        <v>37329</v>
      </c>
      <c r="D415" s="127" t="str">
        <f>IF(A415="COMPOSIÇÃO",VLOOKUP(C415,'SINAPI_COMPOSIÇÕES 062020'!A:B,2,FALSE),VLOOKUP(C415,'SINAPI_INSUMOS 062020'!A:B,2,FALSE))</f>
        <v>REJUNTE EPOXI BRANCO</v>
      </c>
      <c r="E415" s="126" t="str">
        <f>IF(A415="COMPOSIÇÃO",VLOOKUP(C415,'SINAPI_COMPOSIÇÕES 062020'!A:C,3,FALSE),VLOOKUP(C415,'SINAPI_INSUMOS 062020'!A:C,3,FALSE))</f>
        <v xml:space="preserve">KG    </v>
      </c>
      <c r="F415" s="74">
        <f>(1.49/(1.5*0.6))*(2.2*0.6)</f>
        <v>2.1853333333333338</v>
      </c>
      <c r="G415" s="128">
        <f>IF(A415="COMPOSIÇÃO",VLOOKUP(C415,'SINAPI_COMPOSIÇÕES 062020'!A:D,4,FALSE),VLOOKUP(C415,'SINAPI_INSUMOS 062020'!A:D,4,FALSE))</f>
        <v>57.59</v>
      </c>
      <c r="H415" s="75">
        <f t="shared" si="31"/>
        <v>125.85</v>
      </c>
    </row>
    <row r="416" spans="1:8" ht="38.25" x14ac:dyDescent="0.25">
      <c r="A416" s="125" t="s">
        <v>400</v>
      </c>
      <c r="B416" s="115" t="s">
        <v>9</v>
      </c>
      <c r="C416" s="115">
        <v>37591</v>
      </c>
      <c r="D416" s="127" t="str">
        <f>IF(A416="COMPOSIÇÃO",VLOOKUP(C416,'SINAPI_COMPOSIÇÕES 062020'!A:B,2,FALSE),VLOOKUP(C416,'SINAPI_INSUMOS 062020'!A:B,2,FALSE))</f>
        <v>SUPORTE MAO-FRANCESA EM ACO, ABAS IGUAIS 40 CM, CAPACIDADE MINIMA 70 KG, BRANCO</v>
      </c>
      <c r="E416" s="126" t="str">
        <f>IF(A416="COMPOSIÇÃO",VLOOKUP(C416,'SINAPI_COMPOSIÇÕES 062020'!A:C,3,FALSE),VLOOKUP(C416,'SINAPI_INSUMOS 062020'!A:C,3,FALSE))</f>
        <v xml:space="preserve">UN    </v>
      </c>
      <c r="F416" s="74">
        <v>4</v>
      </c>
      <c r="G416" s="128">
        <f>IF(A416="COMPOSIÇÃO",VLOOKUP(C416,'SINAPI_COMPOSIÇÕES 062020'!A:D,4,FALSE),VLOOKUP(C416,'SINAPI_INSUMOS 062020'!A:D,4,FALSE))</f>
        <v>12.2</v>
      </c>
      <c r="H416" s="75">
        <f t="shared" si="31"/>
        <v>48.8</v>
      </c>
    </row>
    <row r="417" spans="1:8" ht="13.5" thickBot="1" x14ac:dyDescent="0.3">
      <c r="A417" s="267" t="str">
        <f>CONCATENATE("TOTAL DO ÍTEM - ",A404)</f>
        <v>TOTAL DO ÍTEM - MPMT-02552</v>
      </c>
      <c r="B417" s="268"/>
      <c r="C417" s="268"/>
      <c r="D417" s="268"/>
      <c r="E417" s="268"/>
      <c r="F417" s="268"/>
      <c r="G417" s="269"/>
      <c r="H417" s="188">
        <f>TRUNC(SUM(H408:H416),2)</f>
        <v>1777.6</v>
      </c>
    </row>
    <row r="418" spans="1:8" ht="13.5" thickBot="1" x14ac:dyDescent="0.3">
      <c r="A418" s="302" t="s">
        <v>12065</v>
      </c>
      <c r="B418" s="303"/>
      <c r="C418" s="303"/>
      <c r="D418" s="303"/>
      <c r="E418" s="303"/>
      <c r="F418" s="303"/>
      <c r="G418" s="303"/>
      <c r="H418" s="304"/>
    </row>
    <row r="419" spans="1:8" ht="13.5" thickBot="1" x14ac:dyDescent="0.3">
      <c r="A419" s="189"/>
      <c r="B419" s="189"/>
      <c r="C419" s="189"/>
      <c r="D419" s="190"/>
      <c r="E419" s="189"/>
      <c r="F419" s="191"/>
      <c r="G419" s="191"/>
      <c r="H419" s="191"/>
    </row>
    <row r="420" spans="1:8" ht="25.5" x14ac:dyDescent="0.25">
      <c r="A420" s="120" t="s">
        <v>90</v>
      </c>
      <c r="B420" s="286" t="s">
        <v>91</v>
      </c>
      <c r="C420" s="287"/>
      <c r="D420" s="287"/>
      <c r="E420" s="287"/>
      <c r="F420" s="287"/>
      <c r="G420" s="288"/>
      <c r="H420" s="121" t="s">
        <v>4</v>
      </c>
    </row>
    <row r="421" spans="1:8" ht="13.5" thickBot="1" x14ac:dyDescent="0.3">
      <c r="A421" s="113" t="s">
        <v>12067</v>
      </c>
      <c r="B421" s="289" t="s">
        <v>12066</v>
      </c>
      <c r="C421" s="290"/>
      <c r="D421" s="290"/>
      <c r="E421" s="290"/>
      <c r="F421" s="290"/>
      <c r="G421" s="291"/>
      <c r="H421" s="114" t="s">
        <v>4</v>
      </c>
    </row>
    <row r="422" spans="1:8" x14ac:dyDescent="0.25">
      <c r="A422" s="273" t="s">
        <v>13834</v>
      </c>
      <c r="B422" s="275" t="s">
        <v>92</v>
      </c>
      <c r="C422" s="276"/>
      <c r="D422" s="185" t="s">
        <v>12064</v>
      </c>
      <c r="E422" s="239" t="s">
        <v>93</v>
      </c>
      <c r="F422" s="186">
        <v>0</v>
      </c>
      <c r="G422" s="277" t="s">
        <v>94</v>
      </c>
      <c r="H422" s="278"/>
    </row>
    <row r="423" spans="1:8" x14ac:dyDescent="0.25">
      <c r="A423" s="274"/>
      <c r="B423" s="281" t="s">
        <v>95</v>
      </c>
      <c r="C423" s="282"/>
      <c r="D423" s="187">
        <v>44025</v>
      </c>
      <c r="E423" s="240" t="s">
        <v>96</v>
      </c>
      <c r="F423" s="187">
        <v>44025</v>
      </c>
      <c r="G423" s="279"/>
      <c r="H423" s="280"/>
    </row>
    <row r="424" spans="1:8" x14ac:dyDescent="0.25">
      <c r="A424" s="122" t="s">
        <v>11885</v>
      </c>
      <c r="B424" s="123" t="s">
        <v>97</v>
      </c>
      <c r="C424" s="123" t="s">
        <v>98</v>
      </c>
      <c r="D424" s="123" t="s">
        <v>3</v>
      </c>
      <c r="E424" s="123" t="s">
        <v>4</v>
      </c>
      <c r="F424" s="123" t="s">
        <v>99</v>
      </c>
      <c r="G424" s="123" t="s">
        <v>100</v>
      </c>
      <c r="H424" s="124" t="s">
        <v>101</v>
      </c>
    </row>
    <row r="425" spans="1:8" ht="25.5" x14ac:dyDescent="0.25">
      <c r="A425" s="125" t="s">
        <v>398</v>
      </c>
      <c r="B425" s="115" t="s">
        <v>9</v>
      </c>
      <c r="C425" s="115">
        <v>88274</v>
      </c>
      <c r="D425" s="127" t="str">
        <f>IF(A425="COMPOSIÇÃO",VLOOKUP(C425,'SINAPI_COMPOSIÇÕES 062020'!A:B,2,FALSE),VLOOKUP(C425,'SINAPI_INSUMOS 062020'!A:B,2,FALSE))</f>
        <v>MARMORISTA/GRANITEIRO COM ENCARGOS COMPLEMENTARES</v>
      </c>
      <c r="E425" s="126" t="str">
        <f>IF(A425="COMPOSIÇÃO",VLOOKUP(C425,'SINAPI_COMPOSIÇÕES 062020'!A:C,3,FALSE),VLOOKUP(C425,'SINAPI_INSUMOS 062020'!A:C,3,FALSE))</f>
        <v>H</v>
      </c>
      <c r="F425" s="74">
        <f>(1.49/(1.5*0.6))*(2.45*0.6)</f>
        <v>2.4336666666666669</v>
      </c>
      <c r="G425" s="128">
        <f>IF(A425="COMPOSIÇÃO",VLOOKUP(C425,'SINAPI_COMPOSIÇÕES 062020'!A:D,4,FALSE),VLOOKUP(C425,'SINAPI_INSUMOS 062020'!A:D,4,FALSE))</f>
        <v>17.98</v>
      </c>
      <c r="H425" s="75">
        <f t="shared" ref="H425:H433" si="32">TRUNC(G425*F425,2)</f>
        <v>43.75</v>
      </c>
    </row>
    <row r="426" spans="1:8" ht="25.5" x14ac:dyDescent="0.25">
      <c r="A426" s="125" t="s">
        <v>398</v>
      </c>
      <c r="B426" s="115" t="s">
        <v>9</v>
      </c>
      <c r="C426" s="115">
        <v>88316</v>
      </c>
      <c r="D426" s="127" t="str">
        <f>IF(A426="COMPOSIÇÃO",VLOOKUP(C426,'SINAPI_COMPOSIÇÕES 062020'!A:B,2,FALSE),VLOOKUP(C426,'SINAPI_INSUMOS 062020'!A:B,2,FALSE))</f>
        <v>SERVENTE COM ENCARGOS COMPLEMENTARES</v>
      </c>
      <c r="E426" s="126" t="str">
        <f>IF(A426="COMPOSIÇÃO",VLOOKUP(C426,'SINAPI_COMPOSIÇÕES 062020'!A:C,3,FALSE),VLOOKUP(C426,'SINAPI_INSUMOS 062020'!A:C,3,FALSE))</f>
        <v>H</v>
      </c>
      <c r="F426" s="74">
        <f>(0.98/(1.5*0.6))*(2.45*0.6)</f>
        <v>1.6006666666666669</v>
      </c>
      <c r="G426" s="128">
        <f>IF(A426="COMPOSIÇÃO",VLOOKUP(C426,'SINAPI_COMPOSIÇÕES 062020'!A:D,4,FALSE),VLOOKUP(C426,'SINAPI_INSUMOS 062020'!A:D,4,FALSE))</f>
        <v>14.37</v>
      </c>
      <c r="H426" s="75">
        <f t="shared" si="32"/>
        <v>23</v>
      </c>
    </row>
    <row r="427" spans="1:8" ht="51" x14ac:dyDescent="0.25">
      <c r="A427" s="125" t="s">
        <v>400</v>
      </c>
      <c r="B427" s="115" t="s">
        <v>9</v>
      </c>
      <c r="C427" s="115">
        <v>38605</v>
      </c>
      <c r="D427" s="127" t="str">
        <f>IF(A427="COMPOSIÇÃO",VLOOKUP(C427,'SINAPI_COMPOSIÇÕES 062020'!A:B,2,FALSE),VLOOKUP(C427,'SINAPI_INSUMOS 062020'!A:B,2,FALSE))</f>
        <v>ABERTURA PARA ENCAIXE DE CUBA OU LAVATORIO EM BANCADA DE MARMORE/ GRANITO OU OUTRO TIPO DE PEDRA NATURAL</v>
      </c>
      <c r="E427" s="126" t="str">
        <f>IF(A427="COMPOSIÇÃO",VLOOKUP(C427,'SINAPI_COMPOSIÇÕES 062020'!A:C,3,FALSE),VLOOKUP(C427,'SINAPI_INSUMOS 062020'!A:C,3,FALSE))</f>
        <v xml:space="preserve">UN    </v>
      </c>
      <c r="F427" s="74">
        <v>4</v>
      </c>
      <c r="G427" s="128">
        <f>IF(A427="COMPOSIÇÃO",VLOOKUP(C427,'SINAPI_COMPOSIÇÕES 062020'!A:D,4,FALSE),VLOOKUP(C427,'SINAPI_INSUMOS 062020'!A:D,4,FALSE))</f>
        <v>124.38</v>
      </c>
      <c r="H427" s="75">
        <f t="shared" si="32"/>
        <v>497.52</v>
      </c>
    </row>
    <row r="428" spans="1:8" ht="51" x14ac:dyDescent="0.25">
      <c r="A428" s="125" t="s">
        <v>400</v>
      </c>
      <c r="B428" s="115" t="s">
        <v>9</v>
      </c>
      <c r="C428" s="115">
        <v>38633</v>
      </c>
      <c r="D428" s="127" t="str">
        <f>IF(A428="COMPOSIÇÃO",VLOOKUP(C428,'SINAPI_COMPOSIÇÕES 062020'!A:B,2,FALSE),VLOOKUP(C428,'SINAPI_INSUMOS 062020'!A:B,2,FALSE))</f>
        <v>FURO PARA TORNEIRA OU OUTROS ACESSORIOS  EM BANCADA DE MARMORE/ GRANITO OU OUTRO TIPO DE PEDRA NATURAL</v>
      </c>
      <c r="E428" s="126" t="str">
        <f>IF(A428="COMPOSIÇÃO",VLOOKUP(C428,'SINAPI_COMPOSIÇÕES 062020'!A:C,3,FALSE),VLOOKUP(C428,'SINAPI_INSUMOS 062020'!A:C,3,FALSE))</f>
        <v xml:space="preserve">UN    </v>
      </c>
      <c r="F428" s="74">
        <v>4</v>
      </c>
      <c r="G428" s="128">
        <f>IF(A428="COMPOSIÇÃO",VLOOKUP(C428,'SINAPI_COMPOSIÇÕES 062020'!A:D,4,FALSE),VLOOKUP(C428,'SINAPI_INSUMOS 062020'!A:D,4,FALSE))</f>
        <v>18.649999999999999</v>
      </c>
      <c r="H428" s="75">
        <f t="shared" si="32"/>
        <v>74.599999999999994</v>
      </c>
    </row>
    <row r="429" spans="1:8" x14ac:dyDescent="0.25">
      <c r="A429" s="125" t="s">
        <v>400</v>
      </c>
      <c r="B429" s="115" t="s">
        <v>9</v>
      </c>
      <c r="C429" s="115">
        <v>4823</v>
      </c>
      <c r="D429" s="127" t="str">
        <f>IF(A429="COMPOSIÇÃO",VLOOKUP(C429,'SINAPI_COMPOSIÇÕES 062020'!A:B,2,FALSE),VLOOKUP(C429,'SINAPI_INSUMOS 062020'!A:B,2,FALSE))</f>
        <v>MASSA PLASTICA PARA MARMORE/GRANITO</v>
      </c>
      <c r="E429" s="126" t="str">
        <f>IF(A429="COMPOSIÇÃO",VLOOKUP(C429,'SINAPI_COMPOSIÇÕES 062020'!A:C,3,FALSE),VLOOKUP(C429,'SINAPI_INSUMOS 062020'!A:C,3,FALSE))</f>
        <v xml:space="preserve">KG    </v>
      </c>
      <c r="F429" s="74">
        <f>(0.5228/(1.5*0.6))*(2.45*0.6)</f>
        <v>0.85390666666666681</v>
      </c>
      <c r="G429" s="128">
        <f>IF(A429="COMPOSIÇÃO",VLOOKUP(C429,'SINAPI_COMPOSIÇÕES 062020'!A:D,4,FALSE),VLOOKUP(C429,'SINAPI_INSUMOS 062020'!A:D,4,FALSE))</f>
        <v>37.57</v>
      </c>
      <c r="H429" s="75">
        <f t="shared" si="32"/>
        <v>32.08</v>
      </c>
    </row>
    <row r="430" spans="1:8" ht="51" x14ac:dyDescent="0.25">
      <c r="A430" s="125" t="s">
        <v>400</v>
      </c>
      <c r="B430" s="115" t="s">
        <v>9</v>
      </c>
      <c r="C430" s="115">
        <v>7568</v>
      </c>
      <c r="D430" s="127" t="str">
        <f>IF(A430="COMPOSIÇÃO",VLOOKUP(C430,'SINAPI_COMPOSIÇÕES 062020'!A:B,2,FALSE),VLOOKUP(C430,'SINAPI_INSUMOS 062020'!A:B,2,FALSE))</f>
        <v>BUCHA DE NYLON SEM ABA S10, COM PARAFUSO DE 6,10 X 65 MM EM ACO ZINCADO COM ROSCA SOBERBA, CABECA CHATA E FENDA PHILLIPS</v>
      </c>
      <c r="E430" s="126" t="str">
        <f>IF(A430="COMPOSIÇÃO",VLOOKUP(C430,'SINAPI_COMPOSIÇÕES 062020'!A:C,3,FALSE),VLOOKUP(C430,'SINAPI_INSUMOS 062020'!A:C,3,FALSE))</f>
        <v xml:space="preserve">UN    </v>
      </c>
      <c r="F430" s="74">
        <f>(6/(1.5*0.6))*(2.45*0.6)</f>
        <v>9.8000000000000007</v>
      </c>
      <c r="G430" s="128">
        <f>IF(A430="COMPOSIÇÃO",VLOOKUP(C430,'SINAPI_COMPOSIÇÕES 062020'!A:D,4,FALSE),VLOOKUP(C430,'SINAPI_INSUMOS 062020'!A:D,4,FALSE))</f>
        <v>0.43</v>
      </c>
      <c r="H430" s="75">
        <f t="shared" si="32"/>
        <v>4.21</v>
      </c>
    </row>
    <row r="431" spans="1:8" ht="51" x14ac:dyDescent="0.25">
      <c r="A431" s="125" t="s">
        <v>400</v>
      </c>
      <c r="B431" s="115" t="s">
        <v>9</v>
      </c>
      <c r="C431" s="115">
        <v>11795</v>
      </c>
      <c r="D431" s="127" t="str">
        <f>IF(A431="COMPOSIÇÃO",VLOOKUP(C431,'SINAPI_COMPOSIÇÕES 062020'!A:B,2,FALSE),VLOOKUP(C431,'SINAPI_INSUMOS 062020'!A:B,2,FALSE))</f>
        <v>GRANITO PARA BANCADA, POLIDO, TIPO ANDORINHA/ QUARTZ/ CASTELO/ CORUMBA OU OUTROS EQUIVALENTES DA REGIAO, E=  *2,5* CM</v>
      </c>
      <c r="E431" s="126" t="str">
        <f>IF(A431="COMPOSIÇÃO",VLOOKUP(C431,'SINAPI_COMPOSIÇÕES 062020'!A:C,3,FALSE),VLOOKUP(C431,'SINAPI_INSUMOS 062020'!A:C,3,FALSE))</f>
        <v xml:space="preserve">M2    </v>
      </c>
      <c r="F431" s="74">
        <v>2.08</v>
      </c>
      <c r="G431" s="128">
        <f>IF(A431="COMPOSIÇÃO",VLOOKUP(C431,'SINAPI_COMPOSIÇÕES 062020'!A:D,4,FALSE),VLOOKUP(C431,'SINAPI_INSUMOS 062020'!A:D,4,FALSE))</f>
        <v>543.39</v>
      </c>
      <c r="H431" s="75">
        <f t="shared" si="32"/>
        <v>1130.25</v>
      </c>
    </row>
    <row r="432" spans="1:8" x14ac:dyDescent="0.25">
      <c r="A432" s="125" t="s">
        <v>400</v>
      </c>
      <c r="B432" s="115" t="s">
        <v>9</v>
      </c>
      <c r="C432" s="115">
        <v>37329</v>
      </c>
      <c r="D432" s="127" t="str">
        <f>IF(A432="COMPOSIÇÃO",VLOOKUP(C432,'SINAPI_COMPOSIÇÕES 062020'!A:B,2,FALSE),VLOOKUP(C432,'SINAPI_INSUMOS 062020'!A:B,2,FALSE))</f>
        <v>REJUNTE EPOXI BRANCO</v>
      </c>
      <c r="E432" s="126" t="str">
        <f>IF(A432="COMPOSIÇÃO",VLOOKUP(C432,'SINAPI_COMPOSIÇÕES 062020'!A:C,3,FALSE),VLOOKUP(C432,'SINAPI_INSUMOS 062020'!A:C,3,FALSE))</f>
        <v xml:space="preserve">KG    </v>
      </c>
      <c r="F432" s="74">
        <f>(1.49/(1.5*0.6))*(2.45*0.6)</f>
        <v>2.4336666666666669</v>
      </c>
      <c r="G432" s="128">
        <f>IF(A432="COMPOSIÇÃO",VLOOKUP(C432,'SINAPI_COMPOSIÇÕES 062020'!A:D,4,FALSE),VLOOKUP(C432,'SINAPI_INSUMOS 062020'!A:D,4,FALSE))</f>
        <v>57.59</v>
      </c>
      <c r="H432" s="75">
        <f t="shared" si="32"/>
        <v>140.15</v>
      </c>
    </row>
    <row r="433" spans="1:8" ht="38.25" x14ac:dyDescent="0.25">
      <c r="A433" s="125" t="s">
        <v>400</v>
      </c>
      <c r="B433" s="115" t="s">
        <v>9</v>
      </c>
      <c r="C433" s="115">
        <v>37591</v>
      </c>
      <c r="D433" s="127" t="str">
        <f>IF(A433="COMPOSIÇÃO",VLOOKUP(C433,'SINAPI_COMPOSIÇÕES 062020'!A:B,2,FALSE),VLOOKUP(C433,'SINAPI_INSUMOS 062020'!A:B,2,FALSE))</f>
        <v>SUPORTE MAO-FRANCESA EM ACO, ABAS IGUAIS 40 CM, CAPACIDADE MINIMA 70 KG, BRANCO</v>
      </c>
      <c r="E433" s="126" t="str">
        <f>IF(A433="COMPOSIÇÃO",VLOOKUP(C433,'SINAPI_COMPOSIÇÕES 062020'!A:C,3,FALSE),VLOOKUP(C433,'SINAPI_INSUMOS 062020'!A:C,3,FALSE))</f>
        <v xml:space="preserve">UN    </v>
      </c>
      <c r="F433" s="74">
        <v>4</v>
      </c>
      <c r="G433" s="128">
        <f>IF(A433="COMPOSIÇÃO",VLOOKUP(C433,'SINAPI_COMPOSIÇÕES 062020'!A:D,4,FALSE),VLOOKUP(C433,'SINAPI_INSUMOS 062020'!A:D,4,FALSE))</f>
        <v>12.2</v>
      </c>
      <c r="H433" s="75">
        <f t="shared" si="32"/>
        <v>48.8</v>
      </c>
    </row>
    <row r="434" spans="1:8" ht="13.5" thickBot="1" x14ac:dyDescent="0.3">
      <c r="A434" s="267" t="str">
        <f>CONCATENATE("TOTAL DO ÍTEM - ",A421)</f>
        <v>TOTAL DO ÍTEM - MPMT-02553</v>
      </c>
      <c r="B434" s="268"/>
      <c r="C434" s="268"/>
      <c r="D434" s="268"/>
      <c r="E434" s="268"/>
      <c r="F434" s="268"/>
      <c r="G434" s="269"/>
      <c r="H434" s="188">
        <f>TRUNC(SUM(H425:H433),2)</f>
        <v>1994.36</v>
      </c>
    </row>
    <row r="435" spans="1:8" ht="13.5" thickBot="1" x14ac:dyDescent="0.3">
      <c r="A435" s="302" t="s">
        <v>12065</v>
      </c>
      <c r="B435" s="303"/>
      <c r="C435" s="303"/>
      <c r="D435" s="303"/>
      <c r="E435" s="303"/>
      <c r="F435" s="303"/>
      <c r="G435" s="303"/>
      <c r="H435" s="304"/>
    </row>
    <row r="436" spans="1:8" ht="13.5" thickBot="1" x14ac:dyDescent="0.3"/>
    <row r="437" spans="1:8" ht="25.5" x14ac:dyDescent="0.25">
      <c r="A437" s="120" t="s">
        <v>90</v>
      </c>
      <c r="B437" s="286" t="s">
        <v>91</v>
      </c>
      <c r="C437" s="287"/>
      <c r="D437" s="287"/>
      <c r="E437" s="287"/>
      <c r="F437" s="287"/>
      <c r="G437" s="288"/>
      <c r="H437" s="121" t="s">
        <v>4</v>
      </c>
    </row>
    <row r="438" spans="1:8" ht="13.5" thickBot="1" x14ac:dyDescent="0.3">
      <c r="A438" s="113" t="s">
        <v>12068</v>
      </c>
      <c r="B438" s="289" t="s">
        <v>12069</v>
      </c>
      <c r="C438" s="290"/>
      <c r="D438" s="290"/>
      <c r="E438" s="290"/>
      <c r="F438" s="290"/>
      <c r="G438" s="291"/>
      <c r="H438" s="114" t="s">
        <v>4</v>
      </c>
    </row>
    <row r="439" spans="1:8" x14ac:dyDescent="0.25">
      <c r="A439" s="273" t="s">
        <v>13834</v>
      </c>
      <c r="B439" s="275" t="s">
        <v>92</v>
      </c>
      <c r="C439" s="276"/>
      <c r="D439" s="185" t="s">
        <v>12064</v>
      </c>
      <c r="E439" s="239" t="s">
        <v>93</v>
      </c>
      <c r="F439" s="193" t="s">
        <v>11957</v>
      </c>
      <c r="G439" s="277" t="s">
        <v>94</v>
      </c>
      <c r="H439" s="278"/>
    </row>
    <row r="440" spans="1:8" x14ac:dyDescent="0.25">
      <c r="A440" s="274"/>
      <c r="B440" s="281" t="s">
        <v>95</v>
      </c>
      <c r="C440" s="282"/>
      <c r="D440" s="187">
        <v>44025</v>
      </c>
      <c r="E440" s="240" t="s">
        <v>96</v>
      </c>
      <c r="F440" s="187">
        <v>44025</v>
      </c>
      <c r="G440" s="279"/>
      <c r="H440" s="280"/>
    </row>
    <row r="441" spans="1:8" x14ac:dyDescent="0.25">
      <c r="A441" s="122" t="s">
        <v>11885</v>
      </c>
      <c r="B441" s="123" t="s">
        <v>97</v>
      </c>
      <c r="C441" s="123" t="s">
        <v>98</v>
      </c>
      <c r="D441" s="123" t="s">
        <v>3</v>
      </c>
      <c r="E441" s="123" t="s">
        <v>4</v>
      </c>
      <c r="F441" s="123" t="s">
        <v>99</v>
      </c>
      <c r="G441" s="123" t="s">
        <v>100</v>
      </c>
      <c r="H441" s="124" t="s">
        <v>101</v>
      </c>
    </row>
    <row r="442" spans="1:8" ht="25.5" x14ac:dyDescent="0.25">
      <c r="A442" s="125" t="s">
        <v>398</v>
      </c>
      <c r="B442" s="115" t="s">
        <v>9</v>
      </c>
      <c r="C442" s="115">
        <v>88274</v>
      </c>
      <c r="D442" s="127" t="str">
        <f>IF(A442="COMPOSIÇÃO",VLOOKUP(C442,'SINAPI_COMPOSIÇÕES 062020'!A:B,2,FALSE),VLOOKUP(C442,'SINAPI_INSUMOS 062020'!A:B,2,FALSE))</f>
        <v>MARMORISTA/GRANITEIRO COM ENCARGOS COMPLEMENTARES</v>
      </c>
      <c r="E442" s="126" t="str">
        <f>IF(A442="COMPOSIÇÃO",VLOOKUP(C442,'SINAPI_COMPOSIÇÕES 062020'!A:C,3,FALSE),VLOOKUP(C442,'SINAPI_INSUMOS 062020'!A:C,3,FALSE))</f>
        <v>H</v>
      </c>
      <c r="F442" s="74">
        <f>(1.49/(1.5*0.6))*(1.3*0.6)</f>
        <v>1.2913333333333334</v>
      </c>
      <c r="G442" s="128">
        <f>IF(A442="COMPOSIÇÃO",VLOOKUP(C442,'SINAPI_COMPOSIÇÕES 062020'!A:D,4,FALSE),VLOOKUP(C442,'SINAPI_INSUMOS 062020'!A:D,4,FALSE))</f>
        <v>17.98</v>
      </c>
      <c r="H442" s="75">
        <f t="shared" ref="H442:H450" si="33">TRUNC(G442*F442,2)</f>
        <v>23.21</v>
      </c>
    </row>
    <row r="443" spans="1:8" ht="25.5" x14ac:dyDescent="0.25">
      <c r="A443" s="125" t="s">
        <v>398</v>
      </c>
      <c r="B443" s="115" t="s">
        <v>9</v>
      </c>
      <c r="C443" s="115">
        <v>88316</v>
      </c>
      <c r="D443" s="127" t="str">
        <f>IF(A443="COMPOSIÇÃO",VLOOKUP(C443,'SINAPI_COMPOSIÇÕES 062020'!A:B,2,FALSE),VLOOKUP(C443,'SINAPI_INSUMOS 062020'!A:B,2,FALSE))</f>
        <v>SERVENTE COM ENCARGOS COMPLEMENTARES</v>
      </c>
      <c r="E443" s="126" t="str">
        <f>IF(A443="COMPOSIÇÃO",VLOOKUP(C443,'SINAPI_COMPOSIÇÕES 062020'!A:C,3,FALSE),VLOOKUP(C443,'SINAPI_INSUMOS 062020'!A:C,3,FALSE))</f>
        <v>H</v>
      </c>
      <c r="F443" s="74">
        <f>(0.98/(1.5*0.6))*(1.3*0.6)</f>
        <v>0.8493333333333335</v>
      </c>
      <c r="G443" s="128">
        <f>IF(A443="COMPOSIÇÃO",VLOOKUP(C443,'SINAPI_COMPOSIÇÕES 062020'!A:D,4,FALSE),VLOOKUP(C443,'SINAPI_INSUMOS 062020'!A:D,4,FALSE))</f>
        <v>14.37</v>
      </c>
      <c r="H443" s="75">
        <f t="shared" si="33"/>
        <v>12.2</v>
      </c>
    </row>
    <row r="444" spans="1:8" ht="51" x14ac:dyDescent="0.25">
      <c r="A444" s="125" t="s">
        <v>400</v>
      </c>
      <c r="B444" s="115" t="s">
        <v>9</v>
      </c>
      <c r="C444" s="115">
        <v>38605</v>
      </c>
      <c r="D444" s="127" t="str">
        <f>IF(A444="COMPOSIÇÃO",VLOOKUP(C444,'SINAPI_COMPOSIÇÕES 062020'!A:B,2,FALSE),VLOOKUP(C444,'SINAPI_INSUMOS 062020'!A:B,2,FALSE))</f>
        <v>ABERTURA PARA ENCAIXE DE CUBA OU LAVATORIO EM BANCADA DE MARMORE/ GRANITO OU OUTRO TIPO DE PEDRA NATURAL</v>
      </c>
      <c r="E444" s="126" t="str">
        <f>IF(A444="COMPOSIÇÃO",VLOOKUP(C444,'SINAPI_COMPOSIÇÕES 062020'!A:C,3,FALSE),VLOOKUP(C444,'SINAPI_INSUMOS 062020'!A:C,3,FALSE))</f>
        <v xml:space="preserve">UN    </v>
      </c>
      <c r="F444" s="74">
        <v>1</v>
      </c>
      <c r="G444" s="128">
        <f>IF(A444="COMPOSIÇÃO",VLOOKUP(C444,'SINAPI_COMPOSIÇÕES 062020'!A:D,4,FALSE),VLOOKUP(C444,'SINAPI_INSUMOS 062020'!A:D,4,FALSE))</f>
        <v>124.38</v>
      </c>
      <c r="H444" s="75">
        <f t="shared" si="33"/>
        <v>124.38</v>
      </c>
    </row>
    <row r="445" spans="1:8" ht="51" x14ac:dyDescent="0.25">
      <c r="A445" s="125" t="s">
        <v>400</v>
      </c>
      <c r="B445" s="115" t="s">
        <v>9</v>
      </c>
      <c r="C445" s="115">
        <v>38633</v>
      </c>
      <c r="D445" s="127" t="str">
        <f>IF(A445="COMPOSIÇÃO",VLOOKUP(C445,'SINAPI_COMPOSIÇÕES 062020'!A:B,2,FALSE),VLOOKUP(C445,'SINAPI_INSUMOS 062020'!A:B,2,FALSE))</f>
        <v>FURO PARA TORNEIRA OU OUTROS ACESSORIOS  EM BANCADA DE MARMORE/ GRANITO OU OUTRO TIPO DE PEDRA NATURAL</v>
      </c>
      <c r="E445" s="126" t="str">
        <f>IF(A445="COMPOSIÇÃO",VLOOKUP(C445,'SINAPI_COMPOSIÇÕES 062020'!A:C,3,FALSE),VLOOKUP(C445,'SINAPI_INSUMOS 062020'!A:C,3,FALSE))</f>
        <v xml:space="preserve">UN    </v>
      </c>
      <c r="F445" s="74">
        <v>1</v>
      </c>
      <c r="G445" s="128">
        <f>IF(A445="COMPOSIÇÃO",VLOOKUP(C445,'SINAPI_COMPOSIÇÕES 062020'!A:D,4,FALSE),VLOOKUP(C445,'SINAPI_INSUMOS 062020'!A:D,4,FALSE))</f>
        <v>18.649999999999999</v>
      </c>
      <c r="H445" s="75">
        <f t="shared" si="33"/>
        <v>18.649999999999999</v>
      </c>
    </row>
    <row r="446" spans="1:8" x14ac:dyDescent="0.25">
      <c r="A446" s="125" t="s">
        <v>400</v>
      </c>
      <c r="B446" s="115" t="s">
        <v>9</v>
      </c>
      <c r="C446" s="115">
        <v>4823</v>
      </c>
      <c r="D446" s="127" t="str">
        <f>IF(A446="COMPOSIÇÃO",VLOOKUP(C446,'SINAPI_COMPOSIÇÕES 062020'!A:B,2,FALSE),VLOOKUP(C446,'SINAPI_INSUMOS 062020'!A:B,2,FALSE))</f>
        <v>MASSA PLASTICA PARA MARMORE/GRANITO</v>
      </c>
      <c r="E446" s="126" t="str">
        <f>IF(A446="COMPOSIÇÃO",VLOOKUP(C446,'SINAPI_COMPOSIÇÕES 062020'!A:C,3,FALSE),VLOOKUP(C446,'SINAPI_INSUMOS 062020'!A:C,3,FALSE))</f>
        <v xml:space="preserve">KG    </v>
      </c>
      <c r="F446" s="74">
        <f>(0.5228/(1.5*0.6))*(1.3*0.6)</f>
        <v>0.45309333333333346</v>
      </c>
      <c r="G446" s="128">
        <f>IF(A446="COMPOSIÇÃO",VLOOKUP(C446,'SINAPI_COMPOSIÇÕES 062020'!A:D,4,FALSE),VLOOKUP(C446,'SINAPI_INSUMOS 062020'!A:D,4,FALSE))</f>
        <v>37.57</v>
      </c>
      <c r="H446" s="75">
        <f t="shared" si="33"/>
        <v>17.02</v>
      </c>
    </row>
    <row r="447" spans="1:8" ht="51" x14ac:dyDescent="0.25">
      <c r="A447" s="125" t="s">
        <v>400</v>
      </c>
      <c r="B447" s="115" t="s">
        <v>9</v>
      </c>
      <c r="C447" s="115">
        <v>7568</v>
      </c>
      <c r="D447" s="127" t="str">
        <f>IF(A447="COMPOSIÇÃO",VLOOKUP(C447,'SINAPI_COMPOSIÇÕES 062020'!A:B,2,FALSE),VLOOKUP(C447,'SINAPI_INSUMOS 062020'!A:B,2,FALSE))</f>
        <v>BUCHA DE NYLON SEM ABA S10, COM PARAFUSO DE 6,10 X 65 MM EM ACO ZINCADO COM ROSCA SOBERBA, CABECA CHATA E FENDA PHILLIPS</v>
      </c>
      <c r="E447" s="126" t="str">
        <f>IF(A447="COMPOSIÇÃO",VLOOKUP(C447,'SINAPI_COMPOSIÇÕES 062020'!A:C,3,FALSE),VLOOKUP(C447,'SINAPI_INSUMOS 062020'!A:C,3,FALSE))</f>
        <v xml:space="preserve">UN    </v>
      </c>
      <c r="F447" s="74">
        <f>(6/(1.5*0.6))*(1.3*0.6)</f>
        <v>5.2</v>
      </c>
      <c r="G447" s="128">
        <f>IF(A447="COMPOSIÇÃO",VLOOKUP(C447,'SINAPI_COMPOSIÇÕES 062020'!A:D,4,FALSE),VLOOKUP(C447,'SINAPI_INSUMOS 062020'!A:D,4,FALSE))</f>
        <v>0.43</v>
      </c>
      <c r="H447" s="75">
        <f t="shared" si="33"/>
        <v>2.23</v>
      </c>
    </row>
    <row r="448" spans="1:8" ht="51" x14ac:dyDescent="0.25">
      <c r="A448" s="125" t="s">
        <v>400</v>
      </c>
      <c r="B448" s="115" t="s">
        <v>9</v>
      </c>
      <c r="C448" s="115">
        <v>11795</v>
      </c>
      <c r="D448" s="127" t="str">
        <f>IF(A448="COMPOSIÇÃO",VLOOKUP(C448,'SINAPI_COMPOSIÇÕES 062020'!A:B,2,FALSE),VLOOKUP(C448,'SINAPI_INSUMOS 062020'!A:B,2,FALSE))</f>
        <v>GRANITO PARA BANCADA, POLIDO, TIPO ANDORINHA/ QUARTZ/ CASTELO/ CORUMBA OU OUTROS EQUIVALENTES DA REGIAO, E=  *2,5* CM</v>
      </c>
      <c r="E448" s="126" t="str">
        <f>IF(A448="COMPOSIÇÃO",VLOOKUP(C448,'SINAPI_COMPOSIÇÕES 062020'!A:C,3,FALSE),VLOOKUP(C448,'SINAPI_INSUMOS 062020'!A:C,3,FALSE))</f>
        <v xml:space="preserve">M2    </v>
      </c>
      <c r="F448" s="74">
        <v>0.91</v>
      </c>
      <c r="G448" s="128">
        <f>IF(A448="COMPOSIÇÃO",VLOOKUP(C448,'SINAPI_COMPOSIÇÕES 062020'!A:D,4,FALSE),VLOOKUP(C448,'SINAPI_INSUMOS 062020'!A:D,4,FALSE))</f>
        <v>543.39</v>
      </c>
      <c r="H448" s="75">
        <f t="shared" si="33"/>
        <v>494.48</v>
      </c>
    </row>
    <row r="449" spans="1:8" x14ac:dyDescent="0.25">
      <c r="A449" s="125" t="s">
        <v>400</v>
      </c>
      <c r="B449" s="115" t="s">
        <v>9</v>
      </c>
      <c r="C449" s="115">
        <v>37329</v>
      </c>
      <c r="D449" s="127" t="str">
        <f>IF(A449="COMPOSIÇÃO",VLOOKUP(C449,'SINAPI_COMPOSIÇÕES 062020'!A:B,2,FALSE),VLOOKUP(C449,'SINAPI_INSUMOS 062020'!A:B,2,FALSE))</f>
        <v>REJUNTE EPOXI BRANCO</v>
      </c>
      <c r="E449" s="126" t="str">
        <f>IF(A449="COMPOSIÇÃO",VLOOKUP(C449,'SINAPI_COMPOSIÇÕES 062020'!A:C,3,FALSE),VLOOKUP(C449,'SINAPI_INSUMOS 062020'!A:C,3,FALSE))</f>
        <v xml:space="preserve">KG    </v>
      </c>
      <c r="F449" s="74">
        <f>(1.49/(1.5*0.6))*(1.3*0.6)</f>
        <v>1.2913333333333334</v>
      </c>
      <c r="G449" s="128">
        <f>IF(A449="COMPOSIÇÃO",VLOOKUP(C449,'SINAPI_COMPOSIÇÕES 062020'!A:D,4,FALSE),VLOOKUP(C449,'SINAPI_INSUMOS 062020'!A:D,4,FALSE))</f>
        <v>57.59</v>
      </c>
      <c r="H449" s="75">
        <f t="shared" si="33"/>
        <v>74.36</v>
      </c>
    </row>
    <row r="450" spans="1:8" ht="38.25" x14ac:dyDescent="0.25">
      <c r="A450" s="125" t="s">
        <v>400</v>
      </c>
      <c r="B450" s="115" t="s">
        <v>9</v>
      </c>
      <c r="C450" s="115">
        <v>37591</v>
      </c>
      <c r="D450" s="127" t="str">
        <f>IF(A450="COMPOSIÇÃO",VLOOKUP(C450,'SINAPI_COMPOSIÇÕES 062020'!A:B,2,FALSE),VLOOKUP(C450,'SINAPI_INSUMOS 062020'!A:B,2,FALSE))</f>
        <v>SUPORTE MAO-FRANCESA EM ACO, ABAS IGUAIS 40 CM, CAPACIDADE MINIMA 70 KG, BRANCO</v>
      </c>
      <c r="E450" s="126" t="str">
        <f>IF(A450="COMPOSIÇÃO",VLOOKUP(C450,'SINAPI_COMPOSIÇÕES 062020'!A:C,3,FALSE),VLOOKUP(C450,'SINAPI_INSUMOS 062020'!A:C,3,FALSE))</f>
        <v xml:space="preserve">UN    </v>
      </c>
      <c r="F450" s="74">
        <v>2</v>
      </c>
      <c r="G450" s="128">
        <f>IF(A450="COMPOSIÇÃO",VLOOKUP(C450,'SINAPI_COMPOSIÇÕES 062020'!A:D,4,FALSE),VLOOKUP(C450,'SINAPI_INSUMOS 062020'!A:D,4,FALSE))</f>
        <v>12.2</v>
      </c>
      <c r="H450" s="75">
        <f t="shared" si="33"/>
        <v>24.4</v>
      </c>
    </row>
    <row r="451" spans="1:8" ht="13.5" thickBot="1" x14ac:dyDescent="0.3">
      <c r="A451" s="267" t="str">
        <f>CONCATENATE("TOTAL DO ÍTEM - ",A438)</f>
        <v>TOTAL DO ÍTEM - MPMT-02554</v>
      </c>
      <c r="B451" s="268"/>
      <c r="C451" s="268"/>
      <c r="D451" s="268"/>
      <c r="E451" s="268"/>
      <c r="F451" s="268"/>
      <c r="G451" s="269"/>
      <c r="H451" s="188">
        <f>TRUNC(SUM(H442:H450),2)</f>
        <v>790.93</v>
      </c>
    </row>
    <row r="452" spans="1:8" ht="13.5" thickBot="1" x14ac:dyDescent="0.3">
      <c r="A452" s="302" t="s">
        <v>12065</v>
      </c>
      <c r="B452" s="303"/>
      <c r="C452" s="303"/>
      <c r="D452" s="303"/>
      <c r="E452" s="303"/>
      <c r="F452" s="303"/>
      <c r="G452" s="303"/>
      <c r="H452" s="304"/>
    </row>
    <row r="453" spans="1:8" ht="13.5" thickBot="1" x14ac:dyDescent="0.3"/>
    <row r="454" spans="1:8" ht="25.5" x14ac:dyDescent="0.25">
      <c r="A454" s="120" t="s">
        <v>90</v>
      </c>
      <c r="B454" s="286" t="s">
        <v>91</v>
      </c>
      <c r="C454" s="287"/>
      <c r="D454" s="287"/>
      <c r="E454" s="287"/>
      <c r="F454" s="287"/>
      <c r="G454" s="288"/>
      <c r="H454" s="121" t="s">
        <v>4</v>
      </c>
    </row>
    <row r="455" spans="1:8" ht="13.5" thickBot="1" x14ac:dyDescent="0.3">
      <c r="A455" s="113" t="s">
        <v>12070</v>
      </c>
      <c r="B455" s="289" t="s">
        <v>12071</v>
      </c>
      <c r="C455" s="290"/>
      <c r="D455" s="290"/>
      <c r="E455" s="290"/>
      <c r="F455" s="290"/>
      <c r="G455" s="291"/>
      <c r="H455" s="114" t="s">
        <v>4</v>
      </c>
    </row>
    <row r="456" spans="1:8" x14ac:dyDescent="0.25">
      <c r="A456" s="273" t="s">
        <v>13834</v>
      </c>
      <c r="B456" s="275" t="s">
        <v>92</v>
      </c>
      <c r="C456" s="276"/>
      <c r="D456" s="185" t="s">
        <v>12064</v>
      </c>
      <c r="E456" s="239" t="s">
        <v>93</v>
      </c>
      <c r="F456" s="193" t="s">
        <v>11957</v>
      </c>
      <c r="G456" s="277" t="s">
        <v>94</v>
      </c>
      <c r="H456" s="278"/>
    </row>
    <row r="457" spans="1:8" x14ac:dyDescent="0.25">
      <c r="A457" s="274"/>
      <c r="B457" s="281" t="s">
        <v>95</v>
      </c>
      <c r="C457" s="282"/>
      <c r="D457" s="187">
        <v>44025</v>
      </c>
      <c r="E457" s="240" t="s">
        <v>96</v>
      </c>
      <c r="F457" s="187">
        <v>44025</v>
      </c>
      <c r="G457" s="279"/>
      <c r="H457" s="280"/>
    </row>
    <row r="458" spans="1:8" x14ac:dyDescent="0.25">
      <c r="A458" s="122" t="s">
        <v>11885</v>
      </c>
      <c r="B458" s="123" t="s">
        <v>97</v>
      </c>
      <c r="C458" s="123" t="s">
        <v>98</v>
      </c>
      <c r="D458" s="123" t="s">
        <v>3</v>
      </c>
      <c r="E458" s="123" t="s">
        <v>4</v>
      </c>
      <c r="F458" s="123" t="s">
        <v>99</v>
      </c>
      <c r="G458" s="123" t="s">
        <v>100</v>
      </c>
      <c r="H458" s="124" t="s">
        <v>101</v>
      </c>
    </row>
    <row r="459" spans="1:8" ht="25.5" x14ac:dyDescent="0.25">
      <c r="A459" s="125" t="s">
        <v>398</v>
      </c>
      <c r="B459" s="115" t="s">
        <v>9</v>
      </c>
      <c r="C459" s="115">
        <v>88274</v>
      </c>
      <c r="D459" s="127" t="str">
        <f>IF(A459="COMPOSIÇÃO",VLOOKUP(C459,'SINAPI_COMPOSIÇÕES 062020'!A:B,2,FALSE),VLOOKUP(C459,'SINAPI_INSUMOS 062020'!A:B,2,FALSE))</f>
        <v>MARMORISTA/GRANITEIRO COM ENCARGOS COMPLEMENTARES</v>
      </c>
      <c r="E459" s="126" t="str">
        <f>IF(A459="COMPOSIÇÃO",VLOOKUP(C459,'SINAPI_COMPOSIÇÕES 062020'!A:C,3,FALSE),VLOOKUP(C459,'SINAPI_INSUMOS 062020'!A:C,3,FALSE))</f>
        <v>H</v>
      </c>
      <c r="F459" s="74">
        <f>(1.49/(1.5*0.6))*(2.05*0.6)</f>
        <v>2.0363333333333329</v>
      </c>
      <c r="G459" s="128">
        <f>IF(A459="COMPOSIÇÃO",VLOOKUP(C459,'SINAPI_COMPOSIÇÕES 062020'!A:D,4,FALSE),VLOOKUP(C459,'SINAPI_INSUMOS 062020'!A:D,4,FALSE))</f>
        <v>17.98</v>
      </c>
      <c r="H459" s="75">
        <f t="shared" ref="H459:H467" si="34">TRUNC(G459*F459,2)</f>
        <v>36.61</v>
      </c>
    </row>
    <row r="460" spans="1:8" ht="25.5" x14ac:dyDescent="0.25">
      <c r="A460" s="125" t="s">
        <v>398</v>
      </c>
      <c r="B460" s="115" t="s">
        <v>9</v>
      </c>
      <c r="C460" s="115">
        <v>88316</v>
      </c>
      <c r="D460" s="127" t="str">
        <f>IF(A460="COMPOSIÇÃO",VLOOKUP(C460,'SINAPI_COMPOSIÇÕES 062020'!A:B,2,FALSE),VLOOKUP(C460,'SINAPI_INSUMOS 062020'!A:B,2,FALSE))</f>
        <v>SERVENTE COM ENCARGOS COMPLEMENTARES</v>
      </c>
      <c r="E460" s="126" t="str">
        <f>IF(A460="COMPOSIÇÃO",VLOOKUP(C460,'SINAPI_COMPOSIÇÕES 062020'!A:C,3,FALSE),VLOOKUP(C460,'SINAPI_INSUMOS 062020'!A:C,3,FALSE))</f>
        <v>H</v>
      </c>
      <c r="F460" s="74">
        <f>(0.98/(1.5*0.6))*(2.05*0.6)</f>
        <v>1.3393333333333333</v>
      </c>
      <c r="G460" s="128">
        <f>IF(A460="COMPOSIÇÃO",VLOOKUP(C460,'SINAPI_COMPOSIÇÕES 062020'!A:D,4,FALSE),VLOOKUP(C460,'SINAPI_INSUMOS 062020'!A:D,4,FALSE))</f>
        <v>14.37</v>
      </c>
      <c r="H460" s="75">
        <f t="shared" si="34"/>
        <v>19.239999999999998</v>
      </c>
    </row>
    <row r="461" spans="1:8" ht="51" x14ac:dyDescent="0.25">
      <c r="A461" s="125" t="s">
        <v>400</v>
      </c>
      <c r="B461" s="115" t="s">
        <v>9</v>
      </c>
      <c r="C461" s="115">
        <v>38605</v>
      </c>
      <c r="D461" s="127" t="str">
        <f>IF(A461="COMPOSIÇÃO",VLOOKUP(C461,'SINAPI_COMPOSIÇÕES 062020'!A:B,2,FALSE),VLOOKUP(C461,'SINAPI_INSUMOS 062020'!A:B,2,FALSE))</f>
        <v>ABERTURA PARA ENCAIXE DE CUBA OU LAVATORIO EM BANCADA DE MARMORE/ GRANITO OU OUTRO TIPO DE PEDRA NATURAL</v>
      </c>
      <c r="E461" s="126" t="str">
        <f>IF(A461="COMPOSIÇÃO",VLOOKUP(C461,'SINAPI_COMPOSIÇÕES 062020'!A:C,3,FALSE),VLOOKUP(C461,'SINAPI_INSUMOS 062020'!A:C,3,FALSE))</f>
        <v xml:space="preserve">UN    </v>
      </c>
      <c r="F461" s="74">
        <v>1</v>
      </c>
      <c r="G461" s="128">
        <f>IF(A461="COMPOSIÇÃO",VLOOKUP(C461,'SINAPI_COMPOSIÇÕES 062020'!A:D,4,FALSE),VLOOKUP(C461,'SINAPI_INSUMOS 062020'!A:D,4,FALSE))</f>
        <v>124.38</v>
      </c>
      <c r="H461" s="75">
        <f t="shared" si="34"/>
        <v>124.38</v>
      </c>
    </row>
    <row r="462" spans="1:8" ht="51" x14ac:dyDescent="0.25">
      <c r="A462" s="125" t="s">
        <v>400</v>
      </c>
      <c r="B462" s="115" t="s">
        <v>9</v>
      </c>
      <c r="C462" s="115">
        <v>38633</v>
      </c>
      <c r="D462" s="127" t="str">
        <f>IF(A462="COMPOSIÇÃO",VLOOKUP(C462,'SINAPI_COMPOSIÇÕES 062020'!A:B,2,FALSE),VLOOKUP(C462,'SINAPI_INSUMOS 062020'!A:B,2,FALSE))</f>
        <v>FURO PARA TORNEIRA OU OUTROS ACESSORIOS  EM BANCADA DE MARMORE/ GRANITO OU OUTRO TIPO DE PEDRA NATURAL</v>
      </c>
      <c r="E462" s="126" t="str">
        <f>IF(A462="COMPOSIÇÃO",VLOOKUP(C462,'SINAPI_COMPOSIÇÕES 062020'!A:C,3,FALSE),VLOOKUP(C462,'SINAPI_INSUMOS 062020'!A:C,3,FALSE))</f>
        <v xml:space="preserve">UN    </v>
      </c>
      <c r="F462" s="74">
        <v>1</v>
      </c>
      <c r="G462" s="128">
        <f>IF(A462="COMPOSIÇÃO",VLOOKUP(C462,'SINAPI_COMPOSIÇÕES 062020'!A:D,4,FALSE),VLOOKUP(C462,'SINAPI_INSUMOS 062020'!A:D,4,FALSE))</f>
        <v>18.649999999999999</v>
      </c>
      <c r="H462" s="75">
        <f t="shared" si="34"/>
        <v>18.649999999999999</v>
      </c>
    </row>
    <row r="463" spans="1:8" x14ac:dyDescent="0.25">
      <c r="A463" s="125" t="s">
        <v>400</v>
      </c>
      <c r="B463" s="115" t="s">
        <v>9</v>
      </c>
      <c r="C463" s="115">
        <v>4823</v>
      </c>
      <c r="D463" s="127" t="str">
        <f>IF(A463="COMPOSIÇÃO",VLOOKUP(C463,'SINAPI_COMPOSIÇÕES 062020'!A:B,2,FALSE),VLOOKUP(C463,'SINAPI_INSUMOS 062020'!A:B,2,FALSE))</f>
        <v>MASSA PLASTICA PARA MARMORE/GRANITO</v>
      </c>
      <c r="E463" s="126" t="str">
        <f>IF(A463="COMPOSIÇÃO",VLOOKUP(C463,'SINAPI_COMPOSIÇÕES 062020'!A:C,3,FALSE),VLOOKUP(C463,'SINAPI_INSUMOS 062020'!A:C,3,FALSE))</f>
        <v xml:space="preserve">KG    </v>
      </c>
      <c r="F463" s="74">
        <f>(0.5228/(1.5*0.6))*(2.05*0.6)</f>
        <v>0.71449333333333331</v>
      </c>
      <c r="G463" s="128">
        <f>IF(A463="COMPOSIÇÃO",VLOOKUP(C463,'SINAPI_COMPOSIÇÕES 062020'!A:D,4,FALSE),VLOOKUP(C463,'SINAPI_INSUMOS 062020'!A:D,4,FALSE))</f>
        <v>37.57</v>
      </c>
      <c r="H463" s="75">
        <f t="shared" si="34"/>
        <v>26.84</v>
      </c>
    </row>
    <row r="464" spans="1:8" ht="51" x14ac:dyDescent="0.25">
      <c r="A464" s="125" t="s">
        <v>400</v>
      </c>
      <c r="B464" s="115" t="s">
        <v>9</v>
      </c>
      <c r="C464" s="115">
        <v>7568</v>
      </c>
      <c r="D464" s="127" t="str">
        <f>IF(A464="COMPOSIÇÃO",VLOOKUP(C464,'SINAPI_COMPOSIÇÕES 062020'!A:B,2,FALSE),VLOOKUP(C464,'SINAPI_INSUMOS 062020'!A:B,2,FALSE))</f>
        <v>BUCHA DE NYLON SEM ABA S10, COM PARAFUSO DE 6,10 X 65 MM EM ACO ZINCADO COM ROSCA SOBERBA, CABECA CHATA E FENDA PHILLIPS</v>
      </c>
      <c r="E464" s="126" t="str">
        <f>IF(A464="COMPOSIÇÃO",VLOOKUP(C464,'SINAPI_COMPOSIÇÕES 062020'!A:C,3,FALSE),VLOOKUP(C464,'SINAPI_INSUMOS 062020'!A:C,3,FALSE))</f>
        <v xml:space="preserve">UN    </v>
      </c>
      <c r="F464" s="74">
        <f>(6/(1.5*0.6))*(2.05*0.6)</f>
        <v>8.1999999999999993</v>
      </c>
      <c r="G464" s="128">
        <f>IF(A464="COMPOSIÇÃO",VLOOKUP(C464,'SINAPI_COMPOSIÇÕES 062020'!A:D,4,FALSE),VLOOKUP(C464,'SINAPI_INSUMOS 062020'!A:D,4,FALSE))</f>
        <v>0.43</v>
      </c>
      <c r="H464" s="75">
        <f t="shared" si="34"/>
        <v>3.52</v>
      </c>
    </row>
    <row r="465" spans="1:8" ht="51" x14ac:dyDescent="0.25">
      <c r="A465" s="125" t="s">
        <v>400</v>
      </c>
      <c r="B465" s="115" t="s">
        <v>9</v>
      </c>
      <c r="C465" s="115">
        <v>11795</v>
      </c>
      <c r="D465" s="127" t="str">
        <f>IF(A465="COMPOSIÇÃO",VLOOKUP(C465,'SINAPI_COMPOSIÇÕES 062020'!A:B,2,FALSE),VLOOKUP(C465,'SINAPI_INSUMOS 062020'!A:B,2,FALSE))</f>
        <v>GRANITO PARA BANCADA, POLIDO, TIPO ANDORINHA/ QUARTZ/ CASTELO/ CORUMBA OU OUTROS EQUIVALENTES DA REGIAO, E=  *2,5* CM</v>
      </c>
      <c r="E465" s="126" t="str">
        <f>IF(A465="COMPOSIÇÃO",VLOOKUP(C465,'SINAPI_COMPOSIÇÕES 062020'!A:C,3,FALSE),VLOOKUP(C465,'SINAPI_INSUMOS 062020'!A:C,3,FALSE))</f>
        <v xml:space="preserve">M2    </v>
      </c>
      <c r="F465" s="74">
        <v>1.44</v>
      </c>
      <c r="G465" s="128">
        <f>IF(A465="COMPOSIÇÃO",VLOOKUP(C465,'SINAPI_COMPOSIÇÕES 062020'!A:D,4,FALSE),VLOOKUP(C465,'SINAPI_INSUMOS 062020'!A:D,4,FALSE))</f>
        <v>543.39</v>
      </c>
      <c r="H465" s="75">
        <f t="shared" si="34"/>
        <v>782.48</v>
      </c>
    </row>
    <row r="466" spans="1:8" x14ac:dyDescent="0.25">
      <c r="A466" s="125" t="s">
        <v>400</v>
      </c>
      <c r="B466" s="115" t="s">
        <v>9</v>
      </c>
      <c r="C466" s="115">
        <v>37329</v>
      </c>
      <c r="D466" s="127" t="str">
        <f>IF(A466="COMPOSIÇÃO",VLOOKUP(C466,'SINAPI_COMPOSIÇÕES 062020'!A:B,2,FALSE),VLOOKUP(C466,'SINAPI_INSUMOS 062020'!A:B,2,FALSE))</f>
        <v>REJUNTE EPOXI BRANCO</v>
      </c>
      <c r="E466" s="126" t="str">
        <f>IF(A466="COMPOSIÇÃO",VLOOKUP(C466,'SINAPI_COMPOSIÇÕES 062020'!A:C,3,FALSE),VLOOKUP(C466,'SINAPI_INSUMOS 062020'!A:C,3,FALSE))</f>
        <v xml:space="preserve">KG    </v>
      </c>
      <c r="F466" s="74">
        <f>(1.49/(1.5*0.6))*(2.05*0.6)</f>
        <v>2.0363333333333329</v>
      </c>
      <c r="G466" s="128">
        <f>IF(A466="COMPOSIÇÃO",VLOOKUP(C466,'SINAPI_COMPOSIÇÕES 062020'!A:D,4,FALSE),VLOOKUP(C466,'SINAPI_INSUMOS 062020'!A:D,4,FALSE))</f>
        <v>57.59</v>
      </c>
      <c r="H466" s="75">
        <f t="shared" si="34"/>
        <v>117.27</v>
      </c>
    </row>
    <row r="467" spans="1:8" ht="38.25" x14ac:dyDescent="0.25">
      <c r="A467" s="125" t="s">
        <v>400</v>
      </c>
      <c r="B467" s="115" t="s">
        <v>9</v>
      </c>
      <c r="C467" s="115">
        <v>37591</v>
      </c>
      <c r="D467" s="127" t="str">
        <f>IF(A467="COMPOSIÇÃO",VLOOKUP(C467,'SINAPI_COMPOSIÇÕES 062020'!A:B,2,FALSE),VLOOKUP(C467,'SINAPI_INSUMOS 062020'!A:B,2,FALSE))</f>
        <v>SUPORTE MAO-FRANCESA EM ACO, ABAS IGUAIS 40 CM, CAPACIDADE MINIMA 70 KG, BRANCO</v>
      </c>
      <c r="E467" s="126" t="str">
        <f>IF(A467="COMPOSIÇÃO",VLOOKUP(C467,'SINAPI_COMPOSIÇÕES 062020'!A:C,3,FALSE),VLOOKUP(C467,'SINAPI_INSUMOS 062020'!A:C,3,FALSE))</f>
        <v xml:space="preserve">UN    </v>
      </c>
      <c r="F467" s="74">
        <v>3</v>
      </c>
      <c r="G467" s="128">
        <f>IF(A467="COMPOSIÇÃO",VLOOKUP(C467,'SINAPI_COMPOSIÇÕES 062020'!A:D,4,FALSE),VLOOKUP(C467,'SINAPI_INSUMOS 062020'!A:D,4,FALSE))</f>
        <v>12.2</v>
      </c>
      <c r="H467" s="75">
        <f t="shared" si="34"/>
        <v>36.6</v>
      </c>
    </row>
    <row r="468" spans="1:8" ht="13.5" thickBot="1" x14ac:dyDescent="0.3">
      <c r="A468" s="267" t="str">
        <f>CONCATENATE("TOTAL DO ÍTEM - ",A455)</f>
        <v>TOTAL DO ÍTEM - MPMT-02555</v>
      </c>
      <c r="B468" s="268"/>
      <c r="C468" s="268"/>
      <c r="D468" s="268"/>
      <c r="E468" s="268"/>
      <c r="F468" s="268"/>
      <c r="G468" s="269"/>
      <c r="H468" s="188">
        <f>TRUNC(SUM(H459:H467),2)</f>
        <v>1165.5899999999999</v>
      </c>
    </row>
    <row r="469" spans="1:8" ht="13.5" thickBot="1" x14ac:dyDescent="0.3">
      <c r="A469" s="302" t="s">
        <v>12065</v>
      </c>
      <c r="B469" s="303"/>
      <c r="C469" s="303"/>
      <c r="D469" s="303"/>
      <c r="E469" s="303"/>
      <c r="F469" s="303"/>
      <c r="G469" s="303"/>
      <c r="H469" s="304"/>
    </row>
    <row r="470" spans="1:8" ht="13.5" thickBot="1" x14ac:dyDescent="0.3"/>
    <row r="471" spans="1:8" ht="25.5" x14ac:dyDescent="0.25">
      <c r="A471" s="120" t="s">
        <v>90</v>
      </c>
      <c r="B471" s="286" t="s">
        <v>91</v>
      </c>
      <c r="C471" s="287"/>
      <c r="D471" s="287"/>
      <c r="E471" s="287"/>
      <c r="F471" s="287"/>
      <c r="G471" s="288"/>
      <c r="H471" s="121" t="s">
        <v>4</v>
      </c>
    </row>
    <row r="472" spans="1:8" ht="13.5" thickBot="1" x14ac:dyDescent="0.3">
      <c r="A472" s="113" t="s">
        <v>12072</v>
      </c>
      <c r="B472" s="289" t="s">
        <v>12073</v>
      </c>
      <c r="C472" s="290"/>
      <c r="D472" s="290"/>
      <c r="E472" s="290"/>
      <c r="F472" s="290"/>
      <c r="G472" s="291"/>
      <c r="H472" s="114" t="s">
        <v>4</v>
      </c>
    </row>
    <row r="473" spans="1:8" x14ac:dyDescent="0.25">
      <c r="A473" s="273" t="s">
        <v>13834</v>
      </c>
      <c r="B473" s="275" t="s">
        <v>92</v>
      </c>
      <c r="C473" s="276"/>
      <c r="D473" s="185" t="s">
        <v>12064</v>
      </c>
      <c r="E473" s="239" t="s">
        <v>93</v>
      </c>
      <c r="F473" s="186">
        <v>0</v>
      </c>
      <c r="G473" s="277" t="s">
        <v>94</v>
      </c>
      <c r="H473" s="278"/>
    </row>
    <row r="474" spans="1:8" x14ac:dyDescent="0.25">
      <c r="A474" s="274"/>
      <c r="B474" s="281" t="s">
        <v>95</v>
      </c>
      <c r="C474" s="282"/>
      <c r="D474" s="187">
        <v>44025</v>
      </c>
      <c r="E474" s="240" t="s">
        <v>96</v>
      </c>
      <c r="F474" s="187">
        <v>44025</v>
      </c>
      <c r="G474" s="279"/>
      <c r="H474" s="280"/>
    </row>
    <row r="475" spans="1:8" x14ac:dyDescent="0.25">
      <c r="A475" s="122" t="s">
        <v>11885</v>
      </c>
      <c r="B475" s="123" t="s">
        <v>97</v>
      </c>
      <c r="C475" s="123" t="s">
        <v>98</v>
      </c>
      <c r="D475" s="123" t="s">
        <v>3</v>
      </c>
      <c r="E475" s="123" t="s">
        <v>4</v>
      </c>
      <c r="F475" s="123" t="s">
        <v>99</v>
      </c>
      <c r="G475" s="123" t="s">
        <v>100</v>
      </c>
      <c r="H475" s="124" t="s">
        <v>101</v>
      </c>
    </row>
    <row r="476" spans="1:8" ht="25.5" x14ac:dyDescent="0.25">
      <c r="A476" s="125" t="s">
        <v>398</v>
      </c>
      <c r="B476" s="115" t="s">
        <v>9</v>
      </c>
      <c r="C476" s="115">
        <v>88274</v>
      </c>
      <c r="D476" s="127" t="str">
        <f>IF(A476="COMPOSIÇÃO",VLOOKUP(C476,'SINAPI_COMPOSIÇÕES 062020'!A:B,2,FALSE),VLOOKUP(C476,'SINAPI_INSUMOS 062020'!A:B,2,FALSE))</f>
        <v>MARMORISTA/GRANITEIRO COM ENCARGOS COMPLEMENTARES</v>
      </c>
      <c r="E476" s="126" t="str">
        <f>IF(A476="COMPOSIÇÃO",VLOOKUP(C476,'SINAPI_COMPOSIÇÕES 062020'!A:C,3,FALSE),VLOOKUP(C476,'SINAPI_INSUMOS 062020'!A:C,3,FALSE))</f>
        <v>H</v>
      </c>
      <c r="F476" s="74">
        <f>(1.49/(1.5*0.6))*(1.5*0.5)</f>
        <v>1.2416666666666667</v>
      </c>
      <c r="G476" s="128">
        <f>IF(A476="COMPOSIÇÃO",VLOOKUP(C476,'SINAPI_COMPOSIÇÕES 062020'!A:D,4,FALSE),VLOOKUP(C476,'SINAPI_INSUMOS 062020'!A:D,4,FALSE))</f>
        <v>17.98</v>
      </c>
      <c r="H476" s="75">
        <f t="shared" ref="H476:H482" si="35">TRUNC(G476*F476,2)</f>
        <v>22.32</v>
      </c>
    </row>
    <row r="477" spans="1:8" ht="25.5" x14ac:dyDescent="0.25">
      <c r="A477" s="125" t="s">
        <v>398</v>
      </c>
      <c r="B477" s="115" t="s">
        <v>9</v>
      </c>
      <c r="C477" s="115">
        <v>88316</v>
      </c>
      <c r="D477" s="127" t="str">
        <f>IF(A477="COMPOSIÇÃO",VLOOKUP(C477,'SINAPI_COMPOSIÇÕES 062020'!A:B,2,FALSE),VLOOKUP(C477,'SINAPI_INSUMOS 062020'!A:B,2,FALSE))</f>
        <v>SERVENTE COM ENCARGOS COMPLEMENTARES</v>
      </c>
      <c r="E477" s="126" t="str">
        <f>IF(A477="COMPOSIÇÃO",VLOOKUP(C477,'SINAPI_COMPOSIÇÕES 062020'!A:C,3,FALSE),VLOOKUP(C477,'SINAPI_INSUMOS 062020'!A:C,3,FALSE))</f>
        <v>H</v>
      </c>
      <c r="F477" s="74">
        <f>(0.98/(1.5*0.6))*(1.5*0.5)</f>
        <v>0.81666666666666676</v>
      </c>
      <c r="G477" s="128">
        <f>IF(A477="COMPOSIÇÃO",VLOOKUP(C477,'SINAPI_COMPOSIÇÕES 062020'!A:D,4,FALSE),VLOOKUP(C477,'SINAPI_INSUMOS 062020'!A:D,4,FALSE))</f>
        <v>14.37</v>
      </c>
      <c r="H477" s="75">
        <f t="shared" si="35"/>
        <v>11.73</v>
      </c>
    </row>
    <row r="478" spans="1:8" x14ac:dyDescent="0.25">
      <c r="A478" s="125" t="s">
        <v>400</v>
      </c>
      <c r="B478" s="115" t="s">
        <v>9</v>
      </c>
      <c r="C478" s="115">
        <v>4823</v>
      </c>
      <c r="D478" s="127" t="str">
        <f>IF(A478="COMPOSIÇÃO",VLOOKUP(C478,'SINAPI_COMPOSIÇÕES 062020'!A:B,2,FALSE),VLOOKUP(C478,'SINAPI_INSUMOS 062020'!A:B,2,FALSE))</f>
        <v>MASSA PLASTICA PARA MARMORE/GRANITO</v>
      </c>
      <c r="E478" s="126" t="str">
        <f>IF(A478="COMPOSIÇÃO",VLOOKUP(C478,'SINAPI_COMPOSIÇÕES 062020'!A:C,3,FALSE),VLOOKUP(C478,'SINAPI_INSUMOS 062020'!A:C,3,FALSE))</f>
        <v xml:space="preserve">KG    </v>
      </c>
      <c r="F478" s="74">
        <f>(0.5228/(1.5*0.6))*(1.5*0.5)</f>
        <v>0.43566666666666676</v>
      </c>
      <c r="G478" s="128">
        <f>IF(A478="COMPOSIÇÃO",VLOOKUP(C478,'SINAPI_COMPOSIÇÕES 062020'!A:D,4,FALSE),VLOOKUP(C478,'SINAPI_INSUMOS 062020'!A:D,4,FALSE))</f>
        <v>37.57</v>
      </c>
      <c r="H478" s="75">
        <f t="shared" si="35"/>
        <v>16.36</v>
      </c>
    </row>
    <row r="479" spans="1:8" ht="51" x14ac:dyDescent="0.25">
      <c r="A479" s="125" t="s">
        <v>400</v>
      </c>
      <c r="B479" s="115" t="s">
        <v>9</v>
      </c>
      <c r="C479" s="115">
        <v>7568</v>
      </c>
      <c r="D479" s="127" t="str">
        <f>IF(A479="COMPOSIÇÃO",VLOOKUP(C479,'SINAPI_COMPOSIÇÕES 062020'!A:B,2,FALSE),VLOOKUP(C479,'SINAPI_INSUMOS 062020'!A:B,2,FALSE))</f>
        <v>BUCHA DE NYLON SEM ABA S10, COM PARAFUSO DE 6,10 X 65 MM EM ACO ZINCADO COM ROSCA SOBERBA, CABECA CHATA E FENDA PHILLIPS</v>
      </c>
      <c r="E479" s="126" t="str">
        <f>IF(A479="COMPOSIÇÃO",VLOOKUP(C479,'SINAPI_COMPOSIÇÕES 062020'!A:C,3,FALSE),VLOOKUP(C479,'SINAPI_INSUMOS 062020'!A:C,3,FALSE))</f>
        <v xml:space="preserve">UN    </v>
      </c>
      <c r="F479" s="74">
        <f>(6/(1.5*0.6))*(1.5*0.5)</f>
        <v>5</v>
      </c>
      <c r="G479" s="128">
        <f>IF(A479="COMPOSIÇÃO",VLOOKUP(C479,'SINAPI_COMPOSIÇÕES 062020'!A:D,4,FALSE),VLOOKUP(C479,'SINAPI_INSUMOS 062020'!A:D,4,FALSE))</f>
        <v>0.43</v>
      </c>
      <c r="H479" s="75">
        <f t="shared" si="35"/>
        <v>2.15</v>
      </c>
    </row>
    <row r="480" spans="1:8" ht="51" x14ac:dyDescent="0.25">
      <c r="A480" s="125" t="s">
        <v>400</v>
      </c>
      <c r="B480" s="115" t="s">
        <v>9</v>
      </c>
      <c r="C480" s="115">
        <v>11795</v>
      </c>
      <c r="D480" s="127" t="str">
        <f>IF(A480="COMPOSIÇÃO",VLOOKUP(C480,'SINAPI_COMPOSIÇÕES 062020'!A:B,2,FALSE),VLOOKUP(C480,'SINAPI_INSUMOS 062020'!A:B,2,FALSE))</f>
        <v>GRANITO PARA BANCADA, POLIDO, TIPO ANDORINHA/ QUARTZ/ CASTELO/ CORUMBA OU OUTROS EQUIVALENTES DA REGIAO, E=  *2,5* CM</v>
      </c>
      <c r="E480" s="126" t="str">
        <f>IF(A480="COMPOSIÇÃO",VLOOKUP(C480,'SINAPI_COMPOSIÇÕES 062020'!A:C,3,FALSE),VLOOKUP(C480,'SINAPI_INSUMOS 062020'!A:C,3,FALSE))</f>
        <v xml:space="preserve">M2    </v>
      </c>
      <c r="F480" s="74">
        <v>0.75</v>
      </c>
      <c r="G480" s="128">
        <f>IF(A480="COMPOSIÇÃO",VLOOKUP(C480,'SINAPI_COMPOSIÇÕES 062020'!A:D,4,FALSE),VLOOKUP(C480,'SINAPI_INSUMOS 062020'!A:D,4,FALSE))</f>
        <v>543.39</v>
      </c>
      <c r="H480" s="75">
        <f t="shared" si="35"/>
        <v>407.54</v>
      </c>
    </row>
    <row r="481" spans="1:8" x14ac:dyDescent="0.25">
      <c r="A481" s="125" t="s">
        <v>400</v>
      </c>
      <c r="B481" s="115" t="s">
        <v>9</v>
      </c>
      <c r="C481" s="115">
        <v>37329</v>
      </c>
      <c r="D481" s="127" t="str">
        <f>IF(A481="COMPOSIÇÃO",VLOOKUP(C481,'SINAPI_COMPOSIÇÕES 062020'!A:B,2,FALSE),VLOOKUP(C481,'SINAPI_INSUMOS 062020'!A:B,2,FALSE))</f>
        <v>REJUNTE EPOXI BRANCO</v>
      </c>
      <c r="E481" s="126" t="str">
        <f>IF(A481="COMPOSIÇÃO",VLOOKUP(C481,'SINAPI_COMPOSIÇÕES 062020'!A:C,3,FALSE),VLOOKUP(C481,'SINAPI_INSUMOS 062020'!A:C,3,FALSE))</f>
        <v xml:space="preserve">KG    </v>
      </c>
      <c r="F481" s="74">
        <f>(1.49/(1.5*0.6))*(1.5*0.5)</f>
        <v>1.2416666666666667</v>
      </c>
      <c r="G481" s="128">
        <f>IF(A481="COMPOSIÇÃO",VLOOKUP(C481,'SINAPI_COMPOSIÇÕES 062020'!A:D,4,FALSE),VLOOKUP(C481,'SINAPI_INSUMOS 062020'!A:D,4,FALSE))</f>
        <v>57.59</v>
      </c>
      <c r="H481" s="75">
        <f t="shared" si="35"/>
        <v>71.5</v>
      </c>
    </row>
    <row r="482" spans="1:8" ht="38.25" x14ac:dyDescent="0.25">
      <c r="A482" s="125" t="s">
        <v>400</v>
      </c>
      <c r="B482" s="115" t="s">
        <v>9</v>
      </c>
      <c r="C482" s="115">
        <v>37591</v>
      </c>
      <c r="D482" s="127" t="str">
        <f>IF(A482="COMPOSIÇÃO",VLOOKUP(C482,'SINAPI_COMPOSIÇÕES 062020'!A:B,2,FALSE),VLOOKUP(C482,'SINAPI_INSUMOS 062020'!A:B,2,FALSE))</f>
        <v>SUPORTE MAO-FRANCESA EM ACO, ABAS IGUAIS 40 CM, CAPACIDADE MINIMA 70 KG, BRANCO</v>
      </c>
      <c r="E482" s="126" t="str">
        <f>IF(A482="COMPOSIÇÃO",VLOOKUP(C482,'SINAPI_COMPOSIÇÕES 062020'!A:C,3,FALSE),VLOOKUP(C482,'SINAPI_INSUMOS 062020'!A:C,3,FALSE))</f>
        <v xml:space="preserve">UN    </v>
      </c>
      <c r="F482" s="74">
        <v>2</v>
      </c>
      <c r="G482" s="128">
        <f>IF(A482="COMPOSIÇÃO",VLOOKUP(C482,'SINAPI_COMPOSIÇÕES 062020'!A:D,4,FALSE),VLOOKUP(C482,'SINAPI_INSUMOS 062020'!A:D,4,FALSE))</f>
        <v>12.2</v>
      </c>
      <c r="H482" s="75">
        <f t="shared" si="35"/>
        <v>24.4</v>
      </c>
    </row>
    <row r="483" spans="1:8" ht="13.5" thickBot="1" x14ac:dyDescent="0.3">
      <c r="A483" s="267" t="str">
        <f>CONCATENATE("TOTAL DO ÍTEM - ",A472)</f>
        <v>TOTAL DO ÍTEM - MPMT-02556</v>
      </c>
      <c r="B483" s="268"/>
      <c r="C483" s="268"/>
      <c r="D483" s="268"/>
      <c r="E483" s="268"/>
      <c r="F483" s="268"/>
      <c r="G483" s="269"/>
      <c r="H483" s="188">
        <f>TRUNC(SUM(H476:H482),2)</f>
        <v>556</v>
      </c>
    </row>
    <row r="484" spans="1:8" ht="13.5" thickBot="1" x14ac:dyDescent="0.3">
      <c r="A484" s="302" t="s">
        <v>12065</v>
      </c>
      <c r="B484" s="303"/>
      <c r="C484" s="303"/>
      <c r="D484" s="303"/>
      <c r="E484" s="303"/>
      <c r="F484" s="303"/>
      <c r="G484" s="303"/>
      <c r="H484" s="304"/>
    </row>
    <row r="485" spans="1:8" ht="13.5" thickBot="1" x14ac:dyDescent="0.3">
      <c r="A485" s="189"/>
      <c r="B485" s="189"/>
      <c r="C485" s="189"/>
      <c r="D485" s="190"/>
      <c r="E485" s="189"/>
      <c r="F485" s="191"/>
      <c r="G485" s="191"/>
      <c r="H485" s="191"/>
    </row>
    <row r="486" spans="1:8" ht="25.5" x14ac:dyDescent="0.25">
      <c r="A486" s="120" t="s">
        <v>90</v>
      </c>
      <c r="B486" s="286" t="s">
        <v>91</v>
      </c>
      <c r="C486" s="287"/>
      <c r="D486" s="287"/>
      <c r="E486" s="287"/>
      <c r="F486" s="287"/>
      <c r="G486" s="288"/>
      <c r="H486" s="121" t="s">
        <v>4</v>
      </c>
    </row>
    <row r="487" spans="1:8" ht="13.5" thickBot="1" x14ac:dyDescent="0.3">
      <c r="A487" s="113" t="s">
        <v>12074</v>
      </c>
      <c r="B487" s="289" t="s">
        <v>12075</v>
      </c>
      <c r="C487" s="290"/>
      <c r="D487" s="290"/>
      <c r="E487" s="290"/>
      <c r="F487" s="290"/>
      <c r="G487" s="291"/>
      <c r="H487" s="114" t="s">
        <v>4</v>
      </c>
    </row>
    <row r="488" spans="1:8" x14ac:dyDescent="0.25">
      <c r="A488" s="273" t="s">
        <v>13834</v>
      </c>
      <c r="B488" s="275" t="s">
        <v>92</v>
      </c>
      <c r="C488" s="276"/>
      <c r="D488" s="185" t="s">
        <v>12064</v>
      </c>
      <c r="E488" s="239" t="s">
        <v>93</v>
      </c>
      <c r="F488" s="186">
        <v>0</v>
      </c>
      <c r="G488" s="277" t="s">
        <v>94</v>
      </c>
      <c r="H488" s="278"/>
    </row>
    <row r="489" spans="1:8" x14ac:dyDescent="0.25">
      <c r="A489" s="274"/>
      <c r="B489" s="281" t="s">
        <v>95</v>
      </c>
      <c r="C489" s="282"/>
      <c r="D489" s="187">
        <v>44025</v>
      </c>
      <c r="E489" s="240" t="s">
        <v>96</v>
      </c>
      <c r="F489" s="187">
        <v>44025</v>
      </c>
      <c r="G489" s="279"/>
      <c r="H489" s="280"/>
    </row>
    <row r="490" spans="1:8" x14ac:dyDescent="0.25">
      <c r="A490" s="122" t="s">
        <v>11885</v>
      </c>
      <c r="B490" s="123" t="s">
        <v>97</v>
      </c>
      <c r="C490" s="123" t="s">
        <v>98</v>
      </c>
      <c r="D490" s="123" t="s">
        <v>3</v>
      </c>
      <c r="E490" s="123" t="s">
        <v>4</v>
      </c>
      <c r="F490" s="123" t="s">
        <v>99</v>
      </c>
      <c r="G490" s="123" t="s">
        <v>100</v>
      </c>
      <c r="H490" s="124" t="s">
        <v>101</v>
      </c>
    </row>
    <row r="491" spans="1:8" ht="25.5" x14ac:dyDescent="0.25">
      <c r="A491" s="125" t="s">
        <v>398</v>
      </c>
      <c r="B491" s="115" t="s">
        <v>9</v>
      </c>
      <c r="C491" s="115">
        <v>88274</v>
      </c>
      <c r="D491" s="127" t="str">
        <f>IF(A491="COMPOSIÇÃO",VLOOKUP(C491,'SINAPI_COMPOSIÇÕES 062020'!A:B,2,FALSE),VLOOKUP(C491,'SINAPI_INSUMOS 062020'!A:B,2,FALSE))</f>
        <v>MARMORISTA/GRANITEIRO COM ENCARGOS COMPLEMENTARES</v>
      </c>
      <c r="E491" s="126" t="str">
        <f>IF(A491="COMPOSIÇÃO",VLOOKUP(C491,'SINAPI_COMPOSIÇÕES 062020'!A:C,3,FALSE),VLOOKUP(C491,'SINAPI_INSUMOS 062020'!A:C,3,FALSE))</f>
        <v>H</v>
      </c>
      <c r="F491" s="74">
        <f>(1.49/(1.5*0.6))*(2.55*0.5)</f>
        <v>2.1108333333333333</v>
      </c>
      <c r="G491" s="128">
        <f>IF(A491="COMPOSIÇÃO",VLOOKUP(C491,'SINAPI_COMPOSIÇÕES 062020'!A:D,4,FALSE),VLOOKUP(C491,'SINAPI_INSUMOS 062020'!A:D,4,FALSE))</f>
        <v>17.98</v>
      </c>
      <c r="H491" s="75">
        <f t="shared" ref="H491:H497" si="36">TRUNC(G491*F491,2)</f>
        <v>37.950000000000003</v>
      </c>
    </row>
    <row r="492" spans="1:8" ht="25.5" x14ac:dyDescent="0.25">
      <c r="A492" s="125" t="s">
        <v>398</v>
      </c>
      <c r="B492" s="115" t="s">
        <v>9</v>
      </c>
      <c r="C492" s="115">
        <v>88316</v>
      </c>
      <c r="D492" s="127" t="str">
        <f>IF(A492="COMPOSIÇÃO",VLOOKUP(C492,'SINAPI_COMPOSIÇÕES 062020'!A:B,2,FALSE),VLOOKUP(C492,'SINAPI_INSUMOS 062020'!A:B,2,FALSE))</f>
        <v>SERVENTE COM ENCARGOS COMPLEMENTARES</v>
      </c>
      <c r="E492" s="126" t="str">
        <f>IF(A492="COMPOSIÇÃO",VLOOKUP(C492,'SINAPI_COMPOSIÇÕES 062020'!A:C,3,FALSE),VLOOKUP(C492,'SINAPI_INSUMOS 062020'!A:C,3,FALSE))</f>
        <v>H</v>
      </c>
      <c r="F492" s="74">
        <f>(0.98/(1.5*0.6))*(2.55*0.5)</f>
        <v>1.3883333333333334</v>
      </c>
      <c r="G492" s="128">
        <f>IF(A492="COMPOSIÇÃO",VLOOKUP(C492,'SINAPI_COMPOSIÇÕES 062020'!A:D,4,FALSE),VLOOKUP(C492,'SINAPI_INSUMOS 062020'!A:D,4,FALSE))</f>
        <v>14.37</v>
      </c>
      <c r="H492" s="75">
        <f t="shared" si="36"/>
        <v>19.95</v>
      </c>
    </row>
    <row r="493" spans="1:8" x14ac:dyDescent="0.25">
      <c r="A493" s="125" t="s">
        <v>400</v>
      </c>
      <c r="B493" s="115" t="s">
        <v>9</v>
      </c>
      <c r="C493" s="115">
        <v>4823</v>
      </c>
      <c r="D493" s="127" t="str">
        <f>IF(A493="COMPOSIÇÃO",VLOOKUP(C493,'SINAPI_COMPOSIÇÕES 062020'!A:B,2,FALSE),VLOOKUP(C493,'SINAPI_INSUMOS 062020'!A:B,2,FALSE))</f>
        <v>MASSA PLASTICA PARA MARMORE/GRANITO</v>
      </c>
      <c r="E493" s="126" t="str">
        <f>IF(A493="COMPOSIÇÃO",VLOOKUP(C493,'SINAPI_COMPOSIÇÕES 062020'!A:C,3,FALSE),VLOOKUP(C493,'SINAPI_INSUMOS 062020'!A:C,3,FALSE))</f>
        <v xml:space="preserve">KG    </v>
      </c>
      <c r="F493" s="74">
        <f>(0.5228/(1.5*0.6))*(2.55*0.5)</f>
        <v>0.74063333333333348</v>
      </c>
      <c r="G493" s="128">
        <f>IF(A493="COMPOSIÇÃO",VLOOKUP(C493,'SINAPI_COMPOSIÇÕES 062020'!A:D,4,FALSE),VLOOKUP(C493,'SINAPI_INSUMOS 062020'!A:D,4,FALSE))</f>
        <v>37.57</v>
      </c>
      <c r="H493" s="75">
        <f t="shared" si="36"/>
        <v>27.82</v>
      </c>
    </row>
    <row r="494" spans="1:8" ht="51" x14ac:dyDescent="0.25">
      <c r="A494" s="125" t="s">
        <v>400</v>
      </c>
      <c r="B494" s="115" t="s">
        <v>9</v>
      </c>
      <c r="C494" s="115">
        <v>7568</v>
      </c>
      <c r="D494" s="127" t="str">
        <f>IF(A494="COMPOSIÇÃO",VLOOKUP(C494,'SINAPI_COMPOSIÇÕES 062020'!A:B,2,FALSE),VLOOKUP(C494,'SINAPI_INSUMOS 062020'!A:B,2,FALSE))</f>
        <v>BUCHA DE NYLON SEM ABA S10, COM PARAFUSO DE 6,10 X 65 MM EM ACO ZINCADO COM ROSCA SOBERBA, CABECA CHATA E FENDA PHILLIPS</v>
      </c>
      <c r="E494" s="126" t="str">
        <f>IF(A494="COMPOSIÇÃO",VLOOKUP(C494,'SINAPI_COMPOSIÇÕES 062020'!A:C,3,FALSE),VLOOKUP(C494,'SINAPI_INSUMOS 062020'!A:C,3,FALSE))</f>
        <v xml:space="preserve">UN    </v>
      </c>
      <c r="F494" s="74">
        <f>(6/(1.5*0.6))*(2.55*0.5)</f>
        <v>8.5</v>
      </c>
      <c r="G494" s="128">
        <f>IF(A494="COMPOSIÇÃO",VLOOKUP(C494,'SINAPI_COMPOSIÇÕES 062020'!A:D,4,FALSE),VLOOKUP(C494,'SINAPI_INSUMOS 062020'!A:D,4,FALSE))</f>
        <v>0.43</v>
      </c>
      <c r="H494" s="75">
        <f t="shared" si="36"/>
        <v>3.65</v>
      </c>
    </row>
    <row r="495" spans="1:8" ht="51" x14ac:dyDescent="0.25">
      <c r="A495" s="125" t="s">
        <v>400</v>
      </c>
      <c r="B495" s="115" t="s">
        <v>9</v>
      </c>
      <c r="C495" s="115">
        <v>11795</v>
      </c>
      <c r="D495" s="127" t="str">
        <f>IF(A495="COMPOSIÇÃO",VLOOKUP(C495,'SINAPI_COMPOSIÇÕES 062020'!A:B,2,FALSE),VLOOKUP(C495,'SINAPI_INSUMOS 062020'!A:B,2,FALSE))</f>
        <v>GRANITO PARA BANCADA, POLIDO, TIPO ANDORINHA/ QUARTZ/ CASTELO/ CORUMBA OU OUTROS EQUIVALENTES DA REGIAO, E=  *2,5* CM</v>
      </c>
      <c r="E495" s="126" t="str">
        <f>IF(A495="COMPOSIÇÃO",VLOOKUP(C495,'SINAPI_COMPOSIÇÕES 062020'!A:C,3,FALSE),VLOOKUP(C495,'SINAPI_INSUMOS 062020'!A:C,3,FALSE))</f>
        <v xml:space="preserve">M2    </v>
      </c>
      <c r="F495" s="74">
        <v>1.28</v>
      </c>
      <c r="G495" s="128">
        <f>IF(A495="COMPOSIÇÃO",VLOOKUP(C495,'SINAPI_COMPOSIÇÕES 062020'!A:D,4,FALSE),VLOOKUP(C495,'SINAPI_INSUMOS 062020'!A:D,4,FALSE))</f>
        <v>543.39</v>
      </c>
      <c r="H495" s="75">
        <f t="shared" si="36"/>
        <v>695.53</v>
      </c>
    </row>
    <row r="496" spans="1:8" x14ac:dyDescent="0.25">
      <c r="A496" s="125" t="s">
        <v>400</v>
      </c>
      <c r="B496" s="115" t="s">
        <v>9</v>
      </c>
      <c r="C496" s="115">
        <v>37329</v>
      </c>
      <c r="D496" s="127" t="str">
        <f>IF(A496="COMPOSIÇÃO",VLOOKUP(C496,'SINAPI_COMPOSIÇÕES 062020'!A:B,2,FALSE),VLOOKUP(C496,'SINAPI_INSUMOS 062020'!A:B,2,FALSE))</f>
        <v>REJUNTE EPOXI BRANCO</v>
      </c>
      <c r="E496" s="126" t="str">
        <f>IF(A496="COMPOSIÇÃO",VLOOKUP(C496,'SINAPI_COMPOSIÇÕES 062020'!A:C,3,FALSE),VLOOKUP(C496,'SINAPI_INSUMOS 062020'!A:C,3,FALSE))</f>
        <v xml:space="preserve">KG    </v>
      </c>
      <c r="F496" s="74">
        <f>(1.49/(1.5*0.6))*(2.55*0.5)</f>
        <v>2.1108333333333333</v>
      </c>
      <c r="G496" s="128">
        <f>IF(A496="COMPOSIÇÃO",VLOOKUP(C496,'SINAPI_COMPOSIÇÕES 062020'!A:D,4,FALSE),VLOOKUP(C496,'SINAPI_INSUMOS 062020'!A:D,4,FALSE))</f>
        <v>57.59</v>
      </c>
      <c r="H496" s="75">
        <f t="shared" si="36"/>
        <v>121.56</v>
      </c>
    </row>
    <row r="497" spans="1:8" ht="38.25" x14ac:dyDescent="0.25">
      <c r="A497" s="125" t="s">
        <v>400</v>
      </c>
      <c r="B497" s="115" t="s">
        <v>9</v>
      </c>
      <c r="C497" s="115">
        <v>37591</v>
      </c>
      <c r="D497" s="127" t="str">
        <f>IF(A497="COMPOSIÇÃO",VLOOKUP(C497,'SINAPI_COMPOSIÇÕES 062020'!A:B,2,FALSE),VLOOKUP(C497,'SINAPI_INSUMOS 062020'!A:B,2,FALSE))</f>
        <v>SUPORTE MAO-FRANCESA EM ACO, ABAS IGUAIS 40 CM, CAPACIDADE MINIMA 70 KG, BRANCO</v>
      </c>
      <c r="E497" s="126" t="str">
        <f>IF(A497="COMPOSIÇÃO",VLOOKUP(C497,'SINAPI_COMPOSIÇÕES 062020'!A:C,3,FALSE),VLOOKUP(C497,'SINAPI_INSUMOS 062020'!A:C,3,FALSE))</f>
        <v xml:space="preserve">UN    </v>
      </c>
      <c r="F497" s="74">
        <v>3</v>
      </c>
      <c r="G497" s="128">
        <f>IF(A497="COMPOSIÇÃO",VLOOKUP(C497,'SINAPI_COMPOSIÇÕES 062020'!A:D,4,FALSE),VLOOKUP(C497,'SINAPI_INSUMOS 062020'!A:D,4,FALSE))</f>
        <v>12.2</v>
      </c>
      <c r="H497" s="75">
        <f t="shared" si="36"/>
        <v>36.6</v>
      </c>
    </row>
    <row r="498" spans="1:8" ht="13.5" thickBot="1" x14ac:dyDescent="0.3">
      <c r="A498" s="267" t="str">
        <f>CONCATENATE("TOTAL DO ÍTEM - ",A487)</f>
        <v>TOTAL DO ÍTEM - MPMT-02557</v>
      </c>
      <c r="B498" s="268"/>
      <c r="C498" s="268"/>
      <c r="D498" s="268"/>
      <c r="E498" s="268"/>
      <c r="F498" s="268"/>
      <c r="G498" s="269"/>
      <c r="H498" s="188">
        <f>TRUNC(SUM(H491:H497),2)</f>
        <v>943.06</v>
      </c>
    </row>
    <row r="499" spans="1:8" ht="13.5" thickBot="1" x14ac:dyDescent="0.3">
      <c r="A499" s="302" t="s">
        <v>12065</v>
      </c>
      <c r="B499" s="303"/>
      <c r="C499" s="303"/>
      <c r="D499" s="303"/>
      <c r="E499" s="303"/>
      <c r="F499" s="303"/>
      <c r="G499" s="303"/>
      <c r="H499" s="304"/>
    </row>
    <row r="500" spans="1:8" ht="13.5" thickBot="1" x14ac:dyDescent="0.3"/>
    <row r="501" spans="1:8" ht="25.5" x14ac:dyDescent="0.25">
      <c r="A501" s="120" t="s">
        <v>90</v>
      </c>
      <c r="B501" s="286" t="s">
        <v>91</v>
      </c>
      <c r="C501" s="287"/>
      <c r="D501" s="287"/>
      <c r="E501" s="287"/>
      <c r="F501" s="287"/>
      <c r="G501" s="288"/>
      <c r="H501" s="121" t="s">
        <v>4</v>
      </c>
    </row>
    <row r="502" spans="1:8" ht="13.5" thickBot="1" x14ac:dyDescent="0.3">
      <c r="A502" s="113" t="s">
        <v>12076</v>
      </c>
      <c r="B502" s="289" t="s">
        <v>12077</v>
      </c>
      <c r="C502" s="290"/>
      <c r="D502" s="290"/>
      <c r="E502" s="290"/>
      <c r="F502" s="290"/>
      <c r="G502" s="291"/>
      <c r="H502" s="114" t="s">
        <v>8</v>
      </c>
    </row>
    <row r="503" spans="1:8" x14ac:dyDescent="0.25">
      <c r="A503" s="273" t="s">
        <v>13834</v>
      </c>
      <c r="B503" s="275" t="s">
        <v>92</v>
      </c>
      <c r="C503" s="276"/>
      <c r="D503" s="185" t="s">
        <v>12078</v>
      </c>
      <c r="E503" s="239" t="s">
        <v>93</v>
      </c>
      <c r="F503" s="193" t="s">
        <v>11957</v>
      </c>
      <c r="G503" s="277" t="s">
        <v>94</v>
      </c>
      <c r="H503" s="278"/>
    </row>
    <row r="504" spans="1:8" x14ac:dyDescent="0.25">
      <c r="A504" s="274"/>
      <c r="B504" s="281" t="s">
        <v>95</v>
      </c>
      <c r="C504" s="282"/>
      <c r="D504" s="187">
        <v>43244</v>
      </c>
      <c r="E504" s="240" t="s">
        <v>96</v>
      </c>
      <c r="F504" s="187">
        <v>44025</v>
      </c>
      <c r="G504" s="279"/>
      <c r="H504" s="280"/>
    </row>
    <row r="505" spans="1:8" x14ac:dyDescent="0.25">
      <c r="A505" s="122" t="s">
        <v>11885</v>
      </c>
      <c r="B505" s="123" t="s">
        <v>97</v>
      </c>
      <c r="C505" s="123" t="s">
        <v>98</v>
      </c>
      <c r="D505" s="123" t="s">
        <v>3</v>
      </c>
      <c r="E505" s="123" t="s">
        <v>4</v>
      </c>
      <c r="F505" s="123" t="s">
        <v>99</v>
      </c>
      <c r="G505" s="123" t="s">
        <v>100</v>
      </c>
      <c r="H505" s="124" t="s">
        <v>101</v>
      </c>
    </row>
    <row r="506" spans="1:8" ht="25.5" x14ac:dyDescent="0.25">
      <c r="A506" s="125" t="s">
        <v>398</v>
      </c>
      <c r="B506" s="115" t="s">
        <v>9</v>
      </c>
      <c r="C506" s="115">
        <v>88256</v>
      </c>
      <c r="D506" s="127" t="str">
        <f>IF(A506="COMPOSIÇÃO",VLOOKUP(C506,'SINAPI_COMPOSIÇÕES 062020'!A:B,2,FALSE),VLOOKUP(C506,'SINAPI_INSUMOS 062020'!A:B,2,FALSE))</f>
        <v>AZULEJISTA OU LADRILHISTA COM ENCARGOS COMPLEMENTARES</v>
      </c>
      <c r="E506" s="126" t="str">
        <f>IF(A506="COMPOSIÇÃO",VLOOKUP(C506,'SINAPI_COMPOSIÇÕES 062020'!A:C,3,FALSE),VLOOKUP(C506,'SINAPI_INSUMOS 062020'!A:C,3,FALSE))</f>
        <v>H</v>
      </c>
      <c r="F506" s="74">
        <v>0.82</v>
      </c>
      <c r="G506" s="128">
        <f>IF(A506="COMPOSIÇÃO",VLOOKUP(C506,'SINAPI_COMPOSIÇÕES 062020'!A:D,4,FALSE),VLOOKUP(C506,'SINAPI_INSUMOS 062020'!A:D,4,FALSE))</f>
        <v>17.71</v>
      </c>
      <c r="H506" s="75">
        <f t="shared" ref="H506:H509" si="37">TRUNC(G506*F506,2)</f>
        <v>14.52</v>
      </c>
    </row>
    <row r="507" spans="1:8" ht="25.5" x14ac:dyDescent="0.25">
      <c r="A507" s="125" t="s">
        <v>398</v>
      </c>
      <c r="B507" s="115" t="s">
        <v>9</v>
      </c>
      <c r="C507" s="115">
        <v>88316</v>
      </c>
      <c r="D507" s="127" t="str">
        <f>IF(A507="COMPOSIÇÃO",VLOOKUP(C507,'SINAPI_COMPOSIÇÕES 062020'!A:B,2,FALSE),VLOOKUP(C507,'SINAPI_INSUMOS 062020'!A:B,2,FALSE))</f>
        <v>SERVENTE COM ENCARGOS COMPLEMENTARES</v>
      </c>
      <c r="E507" s="126" t="str">
        <f>IF(A507="COMPOSIÇÃO",VLOOKUP(C507,'SINAPI_COMPOSIÇÕES 062020'!A:C,3,FALSE),VLOOKUP(C507,'SINAPI_INSUMOS 062020'!A:C,3,FALSE))</f>
        <v>H</v>
      </c>
      <c r="F507" s="74">
        <v>0.31</v>
      </c>
      <c r="G507" s="128">
        <f>IF(A507="COMPOSIÇÃO",VLOOKUP(C507,'SINAPI_COMPOSIÇÕES 062020'!A:D,4,FALSE),VLOOKUP(C507,'SINAPI_INSUMOS 062020'!A:D,4,FALSE))</f>
        <v>14.37</v>
      </c>
      <c r="H507" s="75">
        <f t="shared" si="37"/>
        <v>4.45</v>
      </c>
    </row>
    <row r="508" spans="1:8" x14ac:dyDescent="0.25">
      <c r="A508" s="125" t="s">
        <v>400</v>
      </c>
      <c r="B508" s="115" t="s">
        <v>9</v>
      </c>
      <c r="C508" s="115">
        <v>34357</v>
      </c>
      <c r="D508" s="127" t="str">
        <f>IF(A508="COMPOSIÇÃO",VLOOKUP(C508,'SINAPI_COMPOSIÇÕES 062020'!A:B,2,FALSE),VLOOKUP(C508,'SINAPI_INSUMOS 062020'!A:B,2,FALSE))</f>
        <v>REJUNTE COLORIDO, CIMENTICIO</v>
      </c>
      <c r="E508" s="126" t="str">
        <f>IF(A508="COMPOSIÇÃO",VLOOKUP(C508,'SINAPI_COMPOSIÇÕES 062020'!A:C,3,FALSE),VLOOKUP(C508,'SINAPI_INSUMOS 062020'!A:C,3,FALSE))</f>
        <v xml:space="preserve">KG    </v>
      </c>
      <c r="F508" s="74">
        <v>0.19</v>
      </c>
      <c r="G508" s="128">
        <f>IF(A508="COMPOSIÇÃO",VLOOKUP(C508,'SINAPI_COMPOSIÇÕES 062020'!A:D,4,FALSE),VLOOKUP(C508,'SINAPI_INSUMOS 062020'!A:D,4,FALSE))</f>
        <v>4.13</v>
      </c>
      <c r="H508" s="75">
        <f t="shared" si="37"/>
        <v>0.78</v>
      </c>
    </row>
    <row r="509" spans="1:8" x14ac:dyDescent="0.25">
      <c r="A509" s="125" t="s">
        <v>400</v>
      </c>
      <c r="B509" s="115" t="s">
        <v>9</v>
      </c>
      <c r="C509" s="115">
        <v>1381</v>
      </c>
      <c r="D509" s="127" t="str">
        <f>IF(A509="COMPOSIÇÃO",VLOOKUP(C509,'SINAPI_COMPOSIÇÕES 062020'!A:B,2,FALSE),VLOOKUP(C509,'SINAPI_INSUMOS 062020'!A:B,2,FALSE))</f>
        <v>ARGAMASSA COLANTE AC I PARA CERAMICAS</v>
      </c>
      <c r="E509" s="126" t="str">
        <f>IF(A509="COMPOSIÇÃO",VLOOKUP(C509,'SINAPI_COMPOSIÇÕES 062020'!A:C,3,FALSE),VLOOKUP(C509,'SINAPI_INSUMOS 062020'!A:C,3,FALSE))</f>
        <v xml:space="preserve">KG    </v>
      </c>
      <c r="F509" s="74">
        <v>6.14</v>
      </c>
      <c r="G509" s="128">
        <f>IF(A509="COMPOSIÇÃO",VLOOKUP(C509,'SINAPI_COMPOSIÇÕES 062020'!A:D,4,FALSE),VLOOKUP(C509,'SINAPI_INSUMOS 062020'!A:D,4,FALSE))</f>
        <v>0.65</v>
      </c>
      <c r="H509" s="75">
        <f t="shared" si="37"/>
        <v>3.99</v>
      </c>
    </row>
    <row r="510" spans="1:8" ht="25.5" x14ac:dyDescent="0.25">
      <c r="A510" s="125" t="s">
        <v>11958</v>
      </c>
      <c r="B510" s="115" t="s">
        <v>11959</v>
      </c>
      <c r="C510" s="115" t="s">
        <v>11960</v>
      </c>
      <c r="D510" s="194" t="str">
        <f>B514</f>
        <v>CERAMICA ESMALTADO, 45X45, REF. CARGO PLUS WHITE DUAL OU EQUIVALENTE</v>
      </c>
      <c r="E510" s="115" t="str">
        <f>H514</f>
        <v>M2</v>
      </c>
      <c r="F510" s="74">
        <v>1.1000000000000001</v>
      </c>
      <c r="G510" s="217">
        <f>H519</f>
        <v>34.17</v>
      </c>
      <c r="H510" s="75">
        <f>TRUNC(G510*F510,2)</f>
        <v>37.58</v>
      </c>
    </row>
    <row r="511" spans="1:8" ht="13.5" thickBot="1" x14ac:dyDescent="0.3">
      <c r="A511" s="267" t="str">
        <f>CONCATENATE("TOTAL DO ÍTEM - ",A502)</f>
        <v>TOTAL DO ÍTEM - MPMT-02258</v>
      </c>
      <c r="B511" s="268"/>
      <c r="C511" s="268"/>
      <c r="D511" s="268"/>
      <c r="E511" s="268"/>
      <c r="F511" s="268"/>
      <c r="G511" s="269"/>
      <c r="H511" s="188">
        <f>TRUNC(SUM(H506:H510),2)</f>
        <v>61.32</v>
      </c>
    </row>
    <row r="512" spans="1:8" ht="13.5" thickBot="1" x14ac:dyDescent="0.3">
      <c r="A512" s="302" t="s">
        <v>12079</v>
      </c>
      <c r="B512" s="303"/>
      <c r="C512" s="303"/>
      <c r="D512" s="303"/>
      <c r="E512" s="303"/>
      <c r="F512" s="303"/>
      <c r="G512" s="303"/>
      <c r="H512" s="304"/>
    </row>
    <row r="513" spans="1:8" x14ac:dyDescent="0.25">
      <c r="A513" s="196"/>
      <c r="B513" s="292" t="s">
        <v>11962</v>
      </c>
      <c r="C513" s="292"/>
      <c r="D513" s="292"/>
      <c r="E513" s="292"/>
      <c r="F513" s="292"/>
      <c r="G513" s="292"/>
      <c r="H513" s="197" t="s">
        <v>11963</v>
      </c>
    </row>
    <row r="514" spans="1:8" ht="13.5" thickBot="1" x14ac:dyDescent="0.3">
      <c r="A514" s="215" t="s">
        <v>11960</v>
      </c>
      <c r="B514" s="308" t="s">
        <v>12080</v>
      </c>
      <c r="C514" s="308"/>
      <c r="D514" s="308"/>
      <c r="E514" s="308"/>
      <c r="F514" s="308"/>
      <c r="G514" s="308"/>
      <c r="H514" s="216" t="s">
        <v>8</v>
      </c>
    </row>
    <row r="515" spans="1:8" ht="25.5" x14ac:dyDescent="0.25">
      <c r="A515" s="213" t="s">
        <v>11965</v>
      </c>
      <c r="B515" s="241" t="s">
        <v>11966</v>
      </c>
      <c r="C515" s="241" t="s">
        <v>11967</v>
      </c>
      <c r="D515" s="241" t="s">
        <v>11968</v>
      </c>
      <c r="E515" s="294" t="s">
        <v>11969</v>
      </c>
      <c r="F515" s="294"/>
      <c r="G515" s="241" t="s">
        <v>4</v>
      </c>
      <c r="H515" s="214" t="s">
        <v>11970</v>
      </c>
    </row>
    <row r="516" spans="1:8" x14ac:dyDescent="0.25">
      <c r="A516" s="205">
        <v>44025</v>
      </c>
      <c r="B516" s="206" t="s">
        <v>11971</v>
      </c>
      <c r="C516" s="206" t="s">
        <v>12081</v>
      </c>
      <c r="D516" s="206" t="s">
        <v>12082</v>
      </c>
      <c r="E516" s="295" t="s">
        <v>12026</v>
      </c>
      <c r="F516" s="295"/>
      <c r="G516" s="115" t="s">
        <v>8</v>
      </c>
      <c r="H516" s="218">
        <f>TRUNC(494.26/14.58,2)</f>
        <v>33.89</v>
      </c>
    </row>
    <row r="517" spans="1:8" x14ac:dyDescent="0.25">
      <c r="A517" s="205">
        <v>44025</v>
      </c>
      <c r="B517" s="206" t="s">
        <v>11971</v>
      </c>
      <c r="C517" s="206" t="s">
        <v>11993</v>
      </c>
      <c r="D517" s="206" t="s">
        <v>11979</v>
      </c>
      <c r="E517" s="295" t="s">
        <v>12083</v>
      </c>
      <c r="F517" s="295"/>
      <c r="G517" s="115" t="s">
        <v>8</v>
      </c>
      <c r="H517" s="208">
        <f>TRUNC(20776.18/554.04,2)</f>
        <v>37.49</v>
      </c>
    </row>
    <row r="518" spans="1:8" x14ac:dyDescent="0.25">
      <c r="A518" s="205">
        <v>44025</v>
      </c>
      <c r="B518" s="206" t="s">
        <v>11971</v>
      </c>
      <c r="C518" s="206" t="s">
        <v>12084</v>
      </c>
      <c r="D518" s="206" t="s">
        <v>12085</v>
      </c>
      <c r="E518" s="295" t="s">
        <v>12086</v>
      </c>
      <c r="F518" s="295"/>
      <c r="G518" s="115" t="s">
        <v>8</v>
      </c>
      <c r="H518" s="208">
        <f>TRUNC(18935.4/554.04,2)</f>
        <v>34.17</v>
      </c>
    </row>
    <row r="519" spans="1:8" ht="13.5" thickBot="1" x14ac:dyDescent="0.3">
      <c r="A519" s="296" t="s">
        <v>11981</v>
      </c>
      <c r="B519" s="297"/>
      <c r="C519" s="297"/>
      <c r="D519" s="297"/>
      <c r="E519" s="297"/>
      <c r="F519" s="297"/>
      <c r="G519" s="298"/>
      <c r="H519" s="188">
        <f>TRUNC(MEDIAN(H516:H518),2)</f>
        <v>34.17</v>
      </c>
    </row>
    <row r="520" spans="1:8" ht="13.5" thickBot="1" x14ac:dyDescent="0.3"/>
    <row r="521" spans="1:8" ht="25.5" x14ac:dyDescent="0.25">
      <c r="A521" s="120" t="s">
        <v>90</v>
      </c>
      <c r="B521" s="286" t="s">
        <v>91</v>
      </c>
      <c r="C521" s="287"/>
      <c r="D521" s="287"/>
      <c r="E521" s="287"/>
      <c r="F521" s="287"/>
      <c r="G521" s="288"/>
      <c r="H521" s="121" t="s">
        <v>4</v>
      </c>
    </row>
    <row r="522" spans="1:8" ht="13.5" thickBot="1" x14ac:dyDescent="0.3">
      <c r="A522" s="113" t="s">
        <v>12087</v>
      </c>
      <c r="B522" s="289" t="s">
        <v>12088</v>
      </c>
      <c r="C522" s="290"/>
      <c r="D522" s="290"/>
      <c r="E522" s="290"/>
      <c r="F522" s="290"/>
      <c r="G522" s="291"/>
      <c r="H522" s="114" t="s">
        <v>16</v>
      </c>
    </row>
    <row r="523" spans="1:8" x14ac:dyDescent="0.25">
      <c r="A523" s="273" t="s">
        <v>13834</v>
      </c>
      <c r="B523" s="275" t="s">
        <v>92</v>
      </c>
      <c r="C523" s="276"/>
      <c r="D523" s="185" t="s">
        <v>12089</v>
      </c>
      <c r="E523" s="239" t="s">
        <v>93</v>
      </c>
      <c r="F523" s="186">
        <v>0</v>
      </c>
      <c r="G523" s="277" t="s">
        <v>94</v>
      </c>
      <c r="H523" s="278"/>
    </row>
    <row r="524" spans="1:8" x14ac:dyDescent="0.25">
      <c r="A524" s="274"/>
      <c r="B524" s="281" t="s">
        <v>95</v>
      </c>
      <c r="C524" s="282"/>
      <c r="D524" s="187">
        <v>43244</v>
      </c>
      <c r="E524" s="240" t="s">
        <v>96</v>
      </c>
      <c r="F524" s="187">
        <v>43244</v>
      </c>
      <c r="G524" s="279"/>
      <c r="H524" s="280"/>
    </row>
    <row r="525" spans="1:8" x14ac:dyDescent="0.25">
      <c r="A525" s="122" t="s">
        <v>11885</v>
      </c>
      <c r="B525" s="123" t="s">
        <v>97</v>
      </c>
      <c r="C525" s="123" t="s">
        <v>98</v>
      </c>
      <c r="D525" s="123" t="s">
        <v>3</v>
      </c>
      <c r="E525" s="123" t="s">
        <v>4</v>
      </c>
      <c r="F525" s="123" t="s">
        <v>99</v>
      </c>
      <c r="G525" s="123" t="s">
        <v>100</v>
      </c>
      <c r="H525" s="124" t="s">
        <v>101</v>
      </c>
    </row>
    <row r="526" spans="1:8" ht="25.5" x14ac:dyDescent="0.25">
      <c r="A526" s="125" t="s">
        <v>398</v>
      </c>
      <c r="B526" s="115" t="s">
        <v>9</v>
      </c>
      <c r="C526" s="115">
        <v>88256</v>
      </c>
      <c r="D526" s="127" t="str">
        <f>IF(A526="COMPOSIÇÃO",VLOOKUP(C526,'SINAPI_COMPOSIÇÕES 062020'!A:B,2,FALSE),VLOOKUP(C526,'SINAPI_INSUMOS 062020'!A:B,2,FALSE))</f>
        <v>AZULEJISTA OU LADRILHISTA COM ENCARGOS COMPLEMENTARES</v>
      </c>
      <c r="E526" s="126" t="str">
        <f>IF(A526="COMPOSIÇÃO",VLOOKUP(C526,'SINAPI_COMPOSIÇÕES 062020'!A:C,3,FALSE),VLOOKUP(C526,'SINAPI_INSUMOS 062020'!A:C,3,FALSE))</f>
        <v>H</v>
      </c>
      <c r="F526" s="74">
        <v>7.3999999999999996E-2</v>
      </c>
      <c r="G526" s="128">
        <f>IF(A526="COMPOSIÇÃO",VLOOKUP(C526,'SINAPI_COMPOSIÇÕES 062020'!A:D,4,FALSE),VLOOKUP(C526,'SINAPI_INSUMOS 062020'!A:D,4,FALSE))</f>
        <v>17.71</v>
      </c>
      <c r="H526" s="75">
        <f t="shared" ref="H526:H529" si="38">TRUNC(G526*F526,2)</f>
        <v>1.31</v>
      </c>
    </row>
    <row r="527" spans="1:8" ht="25.5" x14ac:dyDescent="0.25">
      <c r="A527" s="125" t="s">
        <v>398</v>
      </c>
      <c r="B527" s="115" t="s">
        <v>9</v>
      </c>
      <c r="C527" s="115">
        <v>88316</v>
      </c>
      <c r="D527" s="127" t="str">
        <f>IF(A527="COMPOSIÇÃO",VLOOKUP(C527,'SINAPI_COMPOSIÇÕES 062020'!A:B,2,FALSE),VLOOKUP(C527,'SINAPI_INSUMOS 062020'!A:B,2,FALSE))</f>
        <v>SERVENTE COM ENCARGOS COMPLEMENTARES</v>
      </c>
      <c r="E527" s="126" t="str">
        <f>IF(A527="COMPOSIÇÃO",VLOOKUP(C527,'SINAPI_COMPOSIÇÕES 062020'!A:C,3,FALSE),VLOOKUP(C527,'SINAPI_INSUMOS 062020'!A:C,3,FALSE))</f>
        <v>H</v>
      </c>
      <c r="F527" s="74">
        <v>3.1E-2</v>
      </c>
      <c r="G527" s="128">
        <f>IF(A527="COMPOSIÇÃO",VLOOKUP(C527,'SINAPI_COMPOSIÇÕES 062020'!A:D,4,FALSE),VLOOKUP(C527,'SINAPI_INSUMOS 062020'!A:D,4,FALSE))</f>
        <v>14.37</v>
      </c>
      <c r="H527" s="75">
        <f t="shared" si="38"/>
        <v>0.44</v>
      </c>
    </row>
    <row r="528" spans="1:8" x14ac:dyDescent="0.25">
      <c r="A528" s="125" t="s">
        <v>400</v>
      </c>
      <c r="B528" s="115" t="s">
        <v>9</v>
      </c>
      <c r="C528" s="115">
        <v>34357</v>
      </c>
      <c r="D528" s="127" t="str">
        <f>IF(A528="COMPOSIÇÃO",VLOOKUP(C528,'SINAPI_COMPOSIÇÕES 062020'!A:B,2,FALSE),VLOOKUP(C528,'SINAPI_INSUMOS 062020'!A:B,2,FALSE))</f>
        <v>REJUNTE COLORIDO, CIMENTICIO</v>
      </c>
      <c r="E528" s="126" t="str">
        <f>IF(A528="COMPOSIÇÃO",VLOOKUP(C528,'SINAPI_COMPOSIÇÕES 062020'!A:C,3,FALSE),VLOOKUP(C528,'SINAPI_INSUMOS 062020'!A:C,3,FALSE))</f>
        <v xml:space="preserve">KG    </v>
      </c>
      <c r="F528" s="74">
        <v>8.4000000000000005E-2</v>
      </c>
      <c r="G528" s="128">
        <f>IF(A528="COMPOSIÇÃO",VLOOKUP(C528,'SINAPI_COMPOSIÇÕES 062020'!A:D,4,FALSE),VLOOKUP(C528,'SINAPI_INSUMOS 062020'!A:D,4,FALSE))</f>
        <v>4.13</v>
      </c>
      <c r="H528" s="75">
        <f t="shared" si="38"/>
        <v>0.34</v>
      </c>
    </row>
    <row r="529" spans="1:8" x14ac:dyDescent="0.25">
      <c r="A529" s="125" t="s">
        <v>400</v>
      </c>
      <c r="B529" s="115" t="s">
        <v>9</v>
      </c>
      <c r="C529" s="115">
        <v>1381</v>
      </c>
      <c r="D529" s="127" t="str">
        <f>IF(A529="COMPOSIÇÃO",VLOOKUP(C529,'SINAPI_COMPOSIÇÕES 062020'!A:B,2,FALSE),VLOOKUP(C529,'SINAPI_INSUMOS 062020'!A:B,2,FALSE))</f>
        <v>ARGAMASSA COLANTE AC I PARA CERAMICAS</v>
      </c>
      <c r="E529" s="126" t="str">
        <f>IF(A529="COMPOSIÇÃO",VLOOKUP(C529,'SINAPI_COMPOSIÇÕES 062020'!A:C,3,FALSE),VLOOKUP(C529,'SINAPI_INSUMOS 062020'!A:C,3,FALSE))</f>
        <v xml:space="preserve">KG    </v>
      </c>
      <c r="F529" s="74">
        <v>0.60299999999999998</v>
      </c>
      <c r="G529" s="128">
        <f>IF(A529="COMPOSIÇÃO",VLOOKUP(C529,'SINAPI_COMPOSIÇÕES 062020'!A:D,4,FALSE),VLOOKUP(C529,'SINAPI_INSUMOS 062020'!A:D,4,FALSE))</f>
        <v>0.65</v>
      </c>
      <c r="H529" s="75">
        <f t="shared" si="38"/>
        <v>0.39</v>
      </c>
    </row>
    <row r="530" spans="1:8" ht="25.5" x14ac:dyDescent="0.25">
      <c r="A530" s="125" t="s">
        <v>11958</v>
      </c>
      <c r="B530" s="115" t="s">
        <v>11959</v>
      </c>
      <c r="C530" s="115" t="s">
        <v>11960</v>
      </c>
      <c r="D530" s="194" t="str">
        <f>B534</f>
        <v>CERAMICA ESMALTADO, 45X45, REF. CARGO PLUS WHITE DUAL OU EQUIVALENTE</v>
      </c>
      <c r="E530" s="115" t="str">
        <f>H534</f>
        <v>M2</v>
      </c>
      <c r="F530" s="74">
        <v>0.15</v>
      </c>
      <c r="G530" s="217">
        <f>H539</f>
        <v>34.17</v>
      </c>
      <c r="H530" s="75">
        <f>TRUNC(G530*F530,2)</f>
        <v>5.12</v>
      </c>
    </row>
    <row r="531" spans="1:8" ht="13.5" thickBot="1" x14ac:dyDescent="0.3">
      <c r="A531" s="267" t="str">
        <f>CONCATENATE("TOTAL DO ÍTEM - ",A522)</f>
        <v>TOTAL DO ÍTEM - MPMT-02259</v>
      </c>
      <c r="B531" s="268"/>
      <c r="C531" s="268"/>
      <c r="D531" s="268"/>
      <c r="E531" s="268"/>
      <c r="F531" s="268"/>
      <c r="G531" s="269"/>
      <c r="H531" s="188">
        <f>TRUNC(SUM(H526:H530),2)</f>
        <v>7.6</v>
      </c>
    </row>
    <row r="532" spans="1:8" ht="13.5" thickBot="1" x14ac:dyDescent="0.3">
      <c r="A532" s="302" t="s">
        <v>12090</v>
      </c>
      <c r="B532" s="303"/>
      <c r="C532" s="303"/>
      <c r="D532" s="303"/>
      <c r="E532" s="303"/>
      <c r="F532" s="303"/>
      <c r="G532" s="303"/>
      <c r="H532" s="304"/>
    </row>
    <row r="533" spans="1:8" x14ac:dyDescent="0.25">
      <c r="A533" s="196"/>
      <c r="B533" s="292" t="s">
        <v>11962</v>
      </c>
      <c r="C533" s="292"/>
      <c r="D533" s="292"/>
      <c r="E533" s="292"/>
      <c r="F533" s="292"/>
      <c r="G533" s="292"/>
      <c r="H533" s="197" t="s">
        <v>11963</v>
      </c>
    </row>
    <row r="534" spans="1:8" ht="13.5" thickBot="1" x14ac:dyDescent="0.3">
      <c r="A534" s="215" t="s">
        <v>11960</v>
      </c>
      <c r="B534" s="308" t="s">
        <v>12080</v>
      </c>
      <c r="C534" s="308"/>
      <c r="D534" s="308"/>
      <c r="E534" s="308"/>
      <c r="F534" s="308"/>
      <c r="G534" s="308"/>
      <c r="H534" s="216" t="s">
        <v>8</v>
      </c>
    </row>
    <row r="535" spans="1:8" ht="25.5" x14ac:dyDescent="0.25">
      <c r="A535" s="213" t="s">
        <v>11965</v>
      </c>
      <c r="B535" s="241" t="s">
        <v>11966</v>
      </c>
      <c r="C535" s="241" t="s">
        <v>11967</v>
      </c>
      <c r="D535" s="241" t="s">
        <v>11968</v>
      </c>
      <c r="E535" s="294" t="s">
        <v>11969</v>
      </c>
      <c r="F535" s="294"/>
      <c r="G535" s="241" t="s">
        <v>4</v>
      </c>
      <c r="H535" s="214" t="s">
        <v>11970</v>
      </c>
    </row>
    <row r="536" spans="1:8" x14ac:dyDescent="0.25">
      <c r="A536" s="205">
        <v>44025</v>
      </c>
      <c r="B536" s="206" t="s">
        <v>11971</v>
      </c>
      <c r="C536" s="206" t="s">
        <v>12081</v>
      </c>
      <c r="D536" s="206" t="s">
        <v>12082</v>
      </c>
      <c r="E536" s="295" t="s">
        <v>12026</v>
      </c>
      <c r="F536" s="295"/>
      <c r="G536" s="115" t="s">
        <v>8</v>
      </c>
      <c r="H536" s="218">
        <f>TRUNC(494.26/14.58,2)</f>
        <v>33.89</v>
      </c>
    </row>
    <row r="537" spans="1:8" x14ac:dyDescent="0.25">
      <c r="A537" s="205">
        <v>44025</v>
      </c>
      <c r="B537" s="206" t="s">
        <v>11971</v>
      </c>
      <c r="C537" s="206" t="s">
        <v>11993</v>
      </c>
      <c r="D537" s="206" t="s">
        <v>11979</v>
      </c>
      <c r="E537" s="295" t="s">
        <v>12083</v>
      </c>
      <c r="F537" s="295"/>
      <c r="G537" s="115" t="s">
        <v>8</v>
      </c>
      <c r="H537" s="208">
        <f>TRUNC(20776.18/554.04,2)</f>
        <v>37.49</v>
      </c>
    </row>
    <row r="538" spans="1:8" x14ac:dyDescent="0.25">
      <c r="A538" s="205">
        <v>44025</v>
      </c>
      <c r="B538" s="206" t="s">
        <v>11971</v>
      </c>
      <c r="C538" s="206" t="s">
        <v>12084</v>
      </c>
      <c r="D538" s="206" t="s">
        <v>12085</v>
      </c>
      <c r="E538" s="295" t="s">
        <v>12086</v>
      </c>
      <c r="F538" s="295"/>
      <c r="G538" s="115" t="s">
        <v>8</v>
      </c>
      <c r="H538" s="208">
        <f>TRUNC(18935.4/554.04,2)</f>
        <v>34.17</v>
      </c>
    </row>
    <row r="539" spans="1:8" ht="13.5" thickBot="1" x14ac:dyDescent="0.3">
      <c r="A539" s="296" t="s">
        <v>11981</v>
      </c>
      <c r="B539" s="297"/>
      <c r="C539" s="297"/>
      <c r="D539" s="297"/>
      <c r="E539" s="297"/>
      <c r="F539" s="297"/>
      <c r="G539" s="298"/>
      <c r="H539" s="188">
        <f>TRUNC(MEDIAN(H536:H538),2)</f>
        <v>34.17</v>
      </c>
    </row>
    <row r="540" spans="1:8" ht="13.5" thickBot="1" x14ac:dyDescent="0.3"/>
    <row r="541" spans="1:8" ht="25.5" x14ac:dyDescent="0.25">
      <c r="A541" s="120" t="s">
        <v>90</v>
      </c>
      <c r="B541" s="286" t="s">
        <v>91</v>
      </c>
      <c r="C541" s="287"/>
      <c r="D541" s="287"/>
      <c r="E541" s="287"/>
      <c r="F541" s="287"/>
      <c r="G541" s="288"/>
      <c r="H541" s="121" t="s">
        <v>4</v>
      </c>
    </row>
    <row r="542" spans="1:8" ht="13.5" thickBot="1" x14ac:dyDescent="0.3">
      <c r="A542" s="113" t="s">
        <v>12091</v>
      </c>
      <c r="B542" s="289" t="s">
        <v>12092</v>
      </c>
      <c r="C542" s="290"/>
      <c r="D542" s="290"/>
      <c r="E542" s="290"/>
      <c r="F542" s="290"/>
      <c r="G542" s="291"/>
      <c r="H542" s="114" t="s">
        <v>16</v>
      </c>
    </row>
    <row r="543" spans="1:8" x14ac:dyDescent="0.25">
      <c r="A543" s="273" t="s">
        <v>13834</v>
      </c>
      <c r="B543" s="275" t="s">
        <v>92</v>
      </c>
      <c r="C543" s="276"/>
      <c r="D543" s="185" t="s">
        <v>12093</v>
      </c>
      <c r="E543" s="239" t="s">
        <v>93</v>
      </c>
      <c r="F543" s="186">
        <v>0</v>
      </c>
      <c r="G543" s="277" t="s">
        <v>94</v>
      </c>
      <c r="H543" s="278"/>
    </row>
    <row r="544" spans="1:8" x14ac:dyDescent="0.25">
      <c r="A544" s="274"/>
      <c r="B544" s="281" t="s">
        <v>95</v>
      </c>
      <c r="C544" s="282"/>
      <c r="D544" s="187">
        <v>43244</v>
      </c>
      <c r="E544" s="240" t="s">
        <v>96</v>
      </c>
      <c r="F544" s="187">
        <v>43244</v>
      </c>
      <c r="G544" s="279"/>
      <c r="H544" s="280"/>
    </row>
    <row r="545" spans="1:8" x14ac:dyDescent="0.25">
      <c r="A545" s="122" t="s">
        <v>11885</v>
      </c>
      <c r="B545" s="123" t="s">
        <v>97</v>
      </c>
      <c r="C545" s="123" t="s">
        <v>98</v>
      </c>
      <c r="D545" s="123" t="s">
        <v>3</v>
      </c>
      <c r="E545" s="123" t="s">
        <v>4</v>
      </c>
      <c r="F545" s="123" t="s">
        <v>99</v>
      </c>
      <c r="G545" s="123" t="s">
        <v>100</v>
      </c>
      <c r="H545" s="124" t="s">
        <v>101</v>
      </c>
    </row>
    <row r="546" spans="1:8" ht="25.5" x14ac:dyDescent="0.25">
      <c r="A546" s="125" t="s">
        <v>398</v>
      </c>
      <c r="B546" s="115" t="s">
        <v>9</v>
      </c>
      <c r="C546" s="115">
        <v>88309</v>
      </c>
      <c r="D546" s="127" t="str">
        <f>IF(A546="COMPOSIÇÃO",VLOOKUP(C546,'SINAPI_COMPOSIÇÕES 062020'!A:B,2,FALSE),VLOOKUP(C546,'SINAPI_INSUMOS 062020'!A:B,2,FALSE))</f>
        <v>PEDREIRO COM ENCARGOS COMPLEMENTARES</v>
      </c>
      <c r="E546" s="126" t="str">
        <f>IF(A546="COMPOSIÇÃO",VLOOKUP(C546,'SINAPI_COMPOSIÇÕES 062020'!A:C,3,FALSE),VLOOKUP(C546,'SINAPI_INSUMOS 062020'!A:C,3,FALSE))</f>
        <v>H</v>
      </c>
      <c r="F546" s="74">
        <v>0.4</v>
      </c>
      <c r="G546" s="128">
        <f>IF(A546="COMPOSIÇÃO",VLOOKUP(C546,'SINAPI_COMPOSIÇÕES 062020'!A:D,4,FALSE),VLOOKUP(C546,'SINAPI_INSUMOS 062020'!A:D,4,FALSE))</f>
        <v>17.760000000000002</v>
      </c>
      <c r="H546" s="75">
        <f t="shared" ref="H546:H549" si="39">TRUNC(G546*F546,2)</f>
        <v>7.1</v>
      </c>
    </row>
    <row r="547" spans="1:8" ht="25.5" x14ac:dyDescent="0.25">
      <c r="A547" s="125" t="s">
        <v>398</v>
      </c>
      <c r="B547" s="115" t="s">
        <v>9</v>
      </c>
      <c r="C547" s="115">
        <v>88316</v>
      </c>
      <c r="D547" s="127" t="str">
        <f>IF(A547="COMPOSIÇÃO",VLOOKUP(C547,'SINAPI_COMPOSIÇÕES 062020'!A:B,2,FALSE),VLOOKUP(C547,'SINAPI_INSUMOS 062020'!A:B,2,FALSE))</f>
        <v>SERVENTE COM ENCARGOS COMPLEMENTARES</v>
      </c>
      <c r="E547" s="126" t="str">
        <f>IF(A547="COMPOSIÇÃO",VLOOKUP(C547,'SINAPI_COMPOSIÇÕES 062020'!A:C,3,FALSE),VLOOKUP(C547,'SINAPI_INSUMOS 062020'!A:C,3,FALSE))</f>
        <v>H</v>
      </c>
      <c r="F547" s="74">
        <v>0.2</v>
      </c>
      <c r="G547" s="128">
        <f>IF(A547="COMPOSIÇÃO",VLOOKUP(C547,'SINAPI_COMPOSIÇÕES 062020'!A:D,4,FALSE),VLOOKUP(C547,'SINAPI_INSUMOS 062020'!A:D,4,FALSE))</f>
        <v>14.37</v>
      </c>
      <c r="H547" s="75">
        <f t="shared" si="39"/>
        <v>2.87</v>
      </c>
    </row>
    <row r="548" spans="1:8" ht="38.25" x14ac:dyDescent="0.25">
      <c r="A548" s="125" t="s">
        <v>398</v>
      </c>
      <c r="B548" s="115" t="s">
        <v>9</v>
      </c>
      <c r="C548" s="115">
        <v>88631</v>
      </c>
      <c r="D548" s="127" t="str">
        <f>IF(A548="COMPOSIÇÃO",VLOOKUP(C548,'SINAPI_COMPOSIÇÕES 062020'!A:B,2,FALSE),VLOOKUP(C548,'SINAPI_INSUMOS 062020'!A:B,2,FALSE))</f>
        <v>ARGAMASSA TRAÇO 1:4 (EM VOLUME DE CIMENTO E AREIA MÉDIA ÚMIDA), PREPARO MANUAL. AF_08/2019</v>
      </c>
      <c r="E548" s="126" t="str">
        <f>IF(A548="COMPOSIÇÃO",VLOOKUP(C548,'SINAPI_COMPOSIÇÕES 062020'!A:C,3,FALSE),VLOOKUP(C548,'SINAPI_INSUMOS 062020'!A:C,3,FALSE))</f>
        <v>M3</v>
      </c>
      <c r="F548" s="74">
        <v>3.0000000000000001E-3</v>
      </c>
      <c r="G548" s="128">
        <f>IF(A548="COMPOSIÇÃO",VLOOKUP(C548,'SINAPI_COMPOSIÇÕES 062020'!A:D,4,FALSE),VLOOKUP(C548,'SINAPI_INSUMOS 062020'!A:D,4,FALSE))</f>
        <v>381.86</v>
      </c>
      <c r="H548" s="75">
        <f t="shared" si="39"/>
        <v>1.1399999999999999</v>
      </c>
    </row>
    <row r="549" spans="1:8" ht="51" x14ac:dyDescent="0.25">
      <c r="A549" s="125" t="s">
        <v>400</v>
      </c>
      <c r="B549" s="115" t="s">
        <v>9</v>
      </c>
      <c r="C549" s="115">
        <v>11795</v>
      </c>
      <c r="D549" s="127" t="str">
        <f>IF(A549="COMPOSIÇÃO",VLOOKUP(C549,'SINAPI_COMPOSIÇÕES 062020'!A:B,2,FALSE),VLOOKUP(C549,'SINAPI_INSUMOS 062020'!A:B,2,FALSE))</f>
        <v>GRANITO PARA BANCADA, POLIDO, TIPO ANDORINHA/ QUARTZ/ CASTELO/ CORUMBA OU OUTROS EQUIVALENTES DA REGIAO, E=  *2,5* CM</v>
      </c>
      <c r="E549" s="126" t="str">
        <f>IF(A549="COMPOSIÇÃO",VLOOKUP(C549,'SINAPI_COMPOSIÇÕES 062020'!A:C,3,FALSE),VLOOKUP(C549,'SINAPI_INSUMOS 062020'!A:C,3,FALSE))</f>
        <v xml:space="preserve">M2    </v>
      </c>
      <c r="F549" s="74">
        <f>1*0.15</f>
        <v>0.15</v>
      </c>
      <c r="G549" s="128">
        <f>IF(A549="COMPOSIÇÃO",VLOOKUP(C549,'SINAPI_COMPOSIÇÕES 062020'!A:D,4,FALSE),VLOOKUP(C549,'SINAPI_INSUMOS 062020'!A:D,4,FALSE))</f>
        <v>543.39</v>
      </c>
      <c r="H549" s="75">
        <f t="shared" si="39"/>
        <v>81.5</v>
      </c>
    </row>
    <row r="550" spans="1:8" ht="13.5" thickBot="1" x14ac:dyDescent="0.3">
      <c r="A550" s="267" t="str">
        <f>CONCATENATE("TOTAL DO ÍTEM - ",A542)</f>
        <v>TOTAL DO ÍTEM - MPMT-02253</v>
      </c>
      <c r="B550" s="268"/>
      <c r="C550" s="268"/>
      <c r="D550" s="268"/>
      <c r="E550" s="268"/>
      <c r="F550" s="268"/>
      <c r="G550" s="269"/>
      <c r="H550" s="188">
        <f>TRUNC(SUM(H546:H549),2)</f>
        <v>92.61</v>
      </c>
    </row>
    <row r="551" spans="1:8" ht="13.5" thickBot="1" x14ac:dyDescent="0.3">
      <c r="A551" s="270" t="s">
        <v>12094</v>
      </c>
      <c r="B551" s="271"/>
      <c r="C551" s="271"/>
      <c r="D551" s="271"/>
      <c r="E551" s="271"/>
      <c r="F551" s="271"/>
      <c r="G551" s="271"/>
      <c r="H551" s="272"/>
    </row>
    <row r="552" spans="1:8" ht="13.5" thickBot="1" x14ac:dyDescent="0.3"/>
    <row r="553" spans="1:8" ht="25.5" x14ac:dyDescent="0.25">
      <c r="A553" s="120" t="s">
        <v>90</v>
      </c>
      <c r="B553" s="286" t="s">
        <v>91</v>
      </c>
      <c r="C553" s="287"/>
      <c r="D553" s="287"/>
      <c r="E553" s="287"/>
      <c r="F553" s="287"/>
      <c r="G553" s="288"/>
      <c r="H553" s="121" t="s">
        <v>4</v>
      </c>
    </row>
    <row r="554" spans="1:8" ht="13.5" thickBot="1" x14ac:dyDescent="0.3">
      <c r="A554" s="113" t="s">
        <v>12096</v>
      </c>
      <c r="B554" s="289" t="s">
        <v>12097</v>
      </c>
      <c r="C554" s="290"/>
      <c r="D554" s="290"/>
      <c r="E554" s="290"/>
      <c r="F554" s="290"/>
      <c r="G554" s="291"/>
      <c r="H554" s="114" t="s">
        <v>4</v>
      </c>
    </row>
    <row r="555" spans="1:8" ht="25.5" x14ac:dyDescent="0.25">
      <c r="A555" s="273" t="s">
        <v>13834</v>
      </c>
      <c r="B555" s="275" t="s">
        <v>92</v>
      </c>
      <c r="C555" s="276"/>
      <c r="D555" s="185" t="s">
        <v>12098</v>
      </c>
      <c r="E555" s="239" t="s">
        <v>93</v>
      </c>
      <c r="F555" s="186">
        <v>0</v>
      </c>
      <c r="G555" s="277" t="s">
        <v>94</v>
      </c>
      <c r="H555" s="278"/>
    </row>
    <row r="556" spans="1:8" x14ac:dyDescent="0.25">
      <c r="A556" s="274"/>
      <c r="B556" s="281" t="s">
        <v>95</v>
      </c>
      <c r="C556" s="282"/>
      <c r="D556" s="187">
        <v>42858</v>
      </c>
      <c r="E556" s="240" t="s">
        <v>96</v>
      </c>
      <c r="F556" s="187">
        <v>42858</v>
      </c>
      <c r="G556" s="279"/>
      <c r="H556" s="280"/>
    </row>
    <row r="557" spans="1:8" x14ac:dyDescent="0.25">
      <c r="A557" s="122" t="s">
        <v>11885</v>
      </c>
      <c r="B557" s="123" t="s">
        <v>97</v>
      </c>
      <c r="C557" s="123" t="s">
        <v>98</v>
      </c>
      <c r="D557" s="123" t="s">
        <v>3</v>
      </c>
      <c r="E557" s="123" t="s">
        <v>4</v>
      </c>
      <c r="F557" s="123" t="s">
        <v>99</v>
      </c>
      <c r="G557" s="123" t="s">
        <v>100</v>
      </c>
      <c r="H557" s="124" t="s">
        <v>101</v>
      </c>
    </row>
    <row r="558" spans="1:8" ht="25.5" x14ac:dyDescent="0.25">
      <c r="A558" s="125" t="s">
        <v>398</v>
      </c>
      <c r="B558" s="115" t="s">
        <v>9</v>
      </c>
      <c r="C558" s="115">
        <v>88309</v>
      </c>
      <c r="D558" s="127" t="str">
        <f>IF(A558="COMPOSIÇÃO",VLOOKUP(C558,'SINAPI_COMPOSIÇÕES 062020'!A:B,2,FALSE),VLOOKUP(C558,'SINAPI_INSUMOS 062020'!A:B,2,FALSE))</f>
        <v>PEDREIRO COM ENCARGOS COMPLEMENTARES</v>
      </c>
      <c r="E558" s="126" t="str">
        <f>IF(A558="COMPOSIÇÃO",VLOOKUP(C558,'SINAPI_COMPOSIÇÕES 062020'!A:C,3,FALSE),VLOOKUP(C558,'SINAPI_INSUMOS 062020'!A:C,3,FALSE))</f>
        <v>H</v>
      </c>
      <c r="F558" s="74">
        <v>1</v>
      </c>
      <c r="G558" s="128">
        <f>IF(A558="COMPOSIÇÃO",VLOOKUP(C558,'SINAPI_COMPOSIÇÕES 062020'!A:D,4,FALSE),VLOOKUP(C558,'SINAPI_INSUMOS 062020'!A:D,4,FALSE))</f>
        <v>17.760000000000002</v>
      </c>
      <c r="H558" s="75">
        <f t="shared" ref="H558:H561" si="40">TRUNC(G558*F558,2)</f>
        <v>17.760000000000002</v>
      </c>
    </row>
    <row r="559" spans="1:8" ht="25.5" x14ac:dyDescent="0.25">
      <c r="A559" s="125" t="s">
        <v>398</v>
      </c>
      <c r="B559" s="115" t="s">
        <v>9</v>
      </c>
      <c r="C559" s="115">
        <v>88316</v>
      </c>
      <c r="D559" s="127" t="str">
        <f>IF(A559="COMPOSIÇÃO",VLOOKUP(C559,'SINAPI_COMPOSIÇÕES 062020'!A:B,2,FALSE),VLOOKUP(C559,'SINAPI_INSUMOS 062020'!A:B,2,FALSE))</f>
        <v>SERVENTE COM ENCARGOS COMPLEMENTARES</v>
      </c>
      <c r="E559" s="126" t="str">
        <f>IF(A559="COMPOSIÇÃO",VLOOKUP(C559,'SINAPI_COMPOSIÇÕES 062020'!A:C,3,FALSE),VLOOKUP(C559,'SINAPI_INSUMOS 062020'!A:C,3,FALSE))</f>
        <v>H</v>
      </c>
      <c r="F559" s="74">
        <v>1</v>
      </c>
      <c r="G559" s="128">
        <f>IF(A559="COMPOSIÇÃO",VLOOKUP(C559,'SINAPI_COMPOSIÇÕES 062020'!A:D,4,FALSE),VLOOKUP(C559,'SINAPI_INSUMOS 062020'!A:D,4,FALSE))</f>
        <v>14.37</v>
      </c>
      <c r="H559" s="75">
        <f t="shared" si="40"/>
        <v>14.37</v>
      </c>
    </row>
    <row r="560" spans="1:8" ht="51" x14ac:dyDescent="0.25">
      <c r="A560" s="125" t="s">
        <v>400</v>
      </c>
      <c r="B560" s="115" t="s">
        <v>9</v>
      </c>
      <c r="C560" s="115">
        <v>7583</v>
      </c>
      <c r="D560" s="127" t="str">
        <f>IF(A560="COMPOSIÇÃO",VLOOKUP(C560,'SINAPI_COMPOSIÇÕES 062020'!A:B,2,FALSE),VLOOKUP(C560,'SINAPI_INSUMOS 062020'!A:B,2,FALSE))</f>
        <v>BUCHA DE NYLON SEM ABA S8, COM PARAFUSO DE 4,80 X 50 MM EM ACO ZINCADO COM ROSCA SOBERBA, CABECA CHATA E FENDA PHILLIPS</v>
      </c>
      <c r="E560" s="126" t="str">
        <f>IF(A560="COMPOSIÇÃO",VLOOKUP(C560,'SINAPI_COMPOSIÇÕES 062020'!A:C,3,FALSE),VLOOKUP(C560,'SINAPI_INSUMOS 062020'!A:C,3,FALSE))</f>
        <v xml:space="preserve">UN    </v>
      </c>
      <c r="F560" s="74">
        <v>6</v>
      </c>
      <c r="G560" s="128">
        <f>IF(A560="COMPOSIÇÃO",VLOOKUP(C560,'SINAPI_COMPOSIÇÕES 062020'!A:D,4,FALSE),VLOOKUP(C560,'SINAPI_INSUMOS 062020'!A:D,4,FALSE))</f>
        <v>0.28999999999999998</v>
      </c>
      <c r="H560" s="75">
        <f t="shared" si="40"/>
        <v>1.74</v>
      </c>
    </row>
    <row r="561" spans="1:8" ht="38.25" x14ac:dyDescent="0.25">
      <c r="A561" s="125" t="s">
        <v>400</v>
      </c>
      <c r="B561" s="115" t="s">
        <v>9</v>
      </c>
      <c r="C561" s="115">
        <v>36205</v>
      </c>
      <c r="D561" s="127" t="str">
        <f>IF(A561="COMPOSIÇÃO",VLOOKUP(C561,'SINAPI_COMPOSIÇÕES 062020'!A:B,2,FALSE),VLOOKUP(C561,'SINAPI_INSUMOS 062020'!A:B,2,FALSE))</f>
        <v>BARRA DE APOIO RETA, EM ACO INOX POLIDO, COMPRIMENTO 70CM, DIAMETRO MINIMO 3 CM</v>
      </c>
      <c r="E561" s="126" t="str">
        <f>IF(A561="COMPOSIÇÃO",VLOOKUP(C561,'SINAPI_COMPOSIÇÕES 062020'!A:C,3,FALSE),VLOOKUP(C561,'SINAPI_INSUMOS 062020'!A:C,3,FALSE))</f>
        <v xml:space="preserve">UN    </v>
      </c>
      <c r="F561" s="74">
        <v>1</v>
      </c>
      <c r="G561" s="128">
        <f>IF(A561="COMPOSIÇÃO",VLOOKUP(C561,'SINAPI_COMPOSIÇÕES 062020'!A:D,4,FALSE),VLOOKUP(C561,'SINAPI_INSUMOS 062020'!A:D,4,FALSE))</f>
        <v>227.89</v>
      </c>
      <c r="H561" s="75">
        <f t="shared" si="40"/>
        <v>227.89</v>
      </c>
    </row>
    <row r="562" spans="1:8" ht="13.5" thickBot="1" x14ac:dyDescent="0.3">
      <c r="A562" s="267" t="str">
        <f>CONCATENATE("TOTAL DO ÍTEM - ",A554)</f>
        <v>TOTAL DO ÍTEM - MPMT-07006</v>
      </c>
      <c r="B562" s="268"/>
      <c r="C562" s="268"/>
      <c r="D562" s="268"/>
      <c r="E562" s="268"/>
      <c r="F562" s="268"/>
      <c r="G562" s="269"/>
      <c r="H562" s="188">
        <f>TRUNC(SUM(H558:H561),2)</f>
        <v>261.76</v>
      </c>
    </row>
    <row r="563" spans="1:8" ht="13.5" thickBot="1" x14ac:dyDescent="0.3">
      <c r="A563" s="299" t="s">
        <v>12099</v>
      </c>
      <c r="B563" s="300"/>
      <c r="C563" s="300"/>
      <c r="D563" s="300"/>
      <c r="E563" s="300"/>
      <c r="F563" s="300"/>
      <c r="G563" s="300"/>
      <c r="H563" s="301"/>
    </row>
    <row r="564" spans="1:8" ht="13.5" thickBot="1" x14ac:dyDescent="0.3">
      <c r="A564" s="115"/>
      <c r="B564" s="115"/>
      <c r="C564" s="115"/>
      <c r="D564" s="194"/>
      <c r="E564" s="115"/>
      <c r="F564" s="239"/>
      <c r="G564" s="239"/>
      <c r="H564" s="239"/>
    </row>
    <row r="565" spans="1:8" ht="25.5" x14ac:dyDescent="0.25">
      <c r="A565" s="120" t="s">
        <v>90</v>
      </c>
      <c r="B565" s="286" t="s">
        <v>91</v>
      </c>
      <c r="C565" s="287"/>
      <c r="D565" s="287"/>
      <c r="E565" s="287"/>
      <c r="F565" s="287"/>
      <c r="G565" s="288"/>
      <c r="H565" s="121" t="s">
        <v>4</v>
      </c>
    </row>
    <row r="566" spans="1:8" ht="13.5" thickBot="1" x14ac:dyDescent="0.3">
      <c r="A566" s="113" t="s">
        <v>12100</v>
      </c>
      <c r="B566" s="289" t="s">
        <v>12101</v>
      </c>
      <c r="C566" s="290"/>
      <c r="D566" s="290"/>
      <c r="E566" s="290"/>
      <c r="F566" s="290"/>
      <c r="G566" s="291"/>
      <c r="H566" s="114" t="s">
        <v>4</v>
      </c>
    </row>
    <row r="567" spans="1:8" ht="25.5" x14ac:dyDescent="0.25">
      <c r="A567" s="273" t="s">
        <v>13834</v>
      </c>
      <c r="B567" s="275" t="s">
        <v>92</v>
      </c>
      <c r="C567" s="276"/>
      <c r="D567" s="185" t="s">
        <v>12098</v>
      </c>
      <c r="E567" s="239" t="s">
        <v>93</v>
      </c>
      <c r="F567" s="186">
        <v>0</v>
      </c>
      <c r="G567" s="277" t="s">
        <v>94</v>
      </c>
      <c r="H567" s="278"/>
    </row>
    <row r="568" spans="1:8" x14ac:dyDescent="0.25">
      <c r="A568" s="274"/>
      <c r="B568" s="281" t="s">
        <v>95</v>
      </c>
      <c r="C568" s="282"/>
      <c r="D568" s="187">
        <v>42858</v>
      </c>
      <c r="E568" s="240" t="s">
        <v>96</v>
      </c>
      <c r="F568" s="187">
        <v>42858</v>
      </c>
      <c r="G568" s="279"/>
      <c r="H568" s="280"/>
    </row>
    <row r="569" spans="1:8" x14ac:dyDescent="0.25">
      <c r="A569" s="122" t="s">
        <v>11885</v>
      </c>
      <c r="B569" s="123" t="s">
        <v>97</v>
      </c>
      <c r="C569" s="123" t="s">
        <v>98</v>
      </c>
      <c r="D569" s="123" t="s">
        <v>3</v>
      </c>
      <c r="E569" s="123" t="s">
        <v>4</v>
      </c>
      <c r="F569" s="123" t="s">
        <v>99</v>
      </c>
      <c r="G569" s="123" t="s">
        <v>100</v>
      </c>
      <c r="H569" s="124" t="s">
        <v>101</v>
      </c>
    </row>
    <row r="570" spans="1:8" ht="25.5" x14ac:dyDescent="0.25">
      <c r="A570" s="125" t="s">
        <v>398</v>
      </c>
      <c r="B570" s="115" t="s">
        <v>9</v>
      </c>
      <c r="C570" s="115">
        <v>88309</v>
      </c>
      <c r="D570" s="127" t="str">
        <f>IF(A570="COMPOSIÇÃO",VLOOKUP(C570,'SINAPI_COMPOSIÇÕES 062020'!A:B,2,FALSE),VLOOKUP(C570,'SINAPI_INSUMOS 062020'!A:B,2,FALSE))</f>
        <v>PEDREIRO COM ENCARGOS COMPLEMENTARES</v>
      </c>
      <c r="E570" s="126" t="str">
        <f>IF(A570="COMPOSIÇÃO",VLOOKUP(C570,'SINAPI_COMPOSIÇÕES 062020'!A:C,3,FALSE),VLOOKUP(C570,'SINAPI_INSUMOS 062020'!A:C,3,FALSE))</f>
        <v>H</v>
      </c>
      <c r="F570" s="74">
        <v>1</v>
      </c>
      <c r="G570" s="128">
        <f>IF(A570="COMPOSIÇÃO",VLOOKUP(C570,'SINAPI_COMPOSIÇÕES 062020'!A:D,4,FALSE),VLOOKUP(C570,'SINAPI_INSUMOS 062020'!A:D,4,FALSE))</f>
        <v>17.760000000000002</v>
      </c>
      <c r="H570" s="75">
        <f t="shared" ref="H570:H573" si="41">TRUNC(G570*F570,2)</f>
        <v>17.760000000000002</v>
      </c>
    </row>
    <row r="571" spans="1:8" ht="25.5" x14ac:dyDescent="0.25">
      <c r="A571" s="125" t="s">
        <v>398</v>
      </c>
      <c r="B571" s="115" t="s">
        <v>9</v>
      </c>
      <c r="C571" s="115">
        <v>88316</v>
      </c>
      <c r="D571" s="127" t="str">
        <f>IF(A571="COMPOSIÇÃO",VLOOKUP(C571,'SINAPI_COMPOSIÇÕES 062020'!A:B,2,FALSE),VLOOKUP(C571,'SINAPI_INSUMOS 062020'!A:B,2,FALSE))</f>
        <v>SERVENTE COM ENCARGOS COMPLEMENTARES</v>
      </c>
      <c r="E571" s="126" t="str">
        <f>IF(A571="COMPOSIÇÃO",VLOOKUP(C571,'SINAPI_COMPOSIÇÕES 062020'!A:C,3,FALSE),VLOOKUP(C571,'SINAPI_INSUMOS 062020'!A:C,3,FALSE))</f>
        <v>H</v>
      </c>
      <c r="F571" s="74">
        <v>1</v>
      </c>
      <c r="G571" s="128">
        <f>IF(A571="COMPOSIÇÃO",VLOOKUP(C571,'SINAPI_COMPOSIÇÕES 062020'!A:D,4,FALSE),VLOOKUP(C571,'SINAPI_INSUMOS 062020'!A:D,4,FALSE))</f>
        <v>14.37</v>
      </c>
      <c r="H571" s="75">
        <f t="shared" si="41"/>
        <v>14.37</v>
      </c>
    </row>
    <row r="572" spans="1:8" ht="51" x14ac:dyDescent="0.25">
      <c r="A572" s="125" t="s">
        <v>400</v>
      </c>
      <c r="B572" s="115" t="s">
        <v>9</v>
      </c>
      <c r="C572" s="115">
        <v>7583</v>
      </c>
      <c r="D572" s="127" t="str">
        <f>IF(A572="COMPOSIÇÃO",VLOOKUP(C572,'SINAPI_COMPOSIÇÕES 062020'!A:B,2,FALSE),VLOOKUP(C572,'SINAPI_INSUMOS 062020'!A:B,2,FALSE))</f>
        <v>BUCHA DE NYLON SEM ABA S8, COM PARAFUSO DE 4,80 X 50 MM EM ACO ZINCADO COM ROSCA SOBERBA, CABECA CHATA E FENDA PHILLIPS</v>
      </c>
      <c r="E572" s="126" t="str">
        <f>IF(A572="COMPOSIÇÃO",VLOOKUP(C572,'SINAPI_COMPOSIÇÕES 062020'!A:C,3,FALSE),VLOOKUP(C572,'SINAPI_INSUMOS 062020'!A:C,3,FALSE))</f>
        <v xml:space="preserve">UN    </v>
      </c>
      <c r="F572" s="74">
        <v>6</v>
      </c>
      <c r="G572" s="128">
        <f>IF(A572="COMPOSIÇÃO",VLOOKUP(C572,'SINAPI_COMPOSIÇÕES 062020'!A:D,4,FALSE),VLOOKUP(C572,'SINAPI_INSUMOS 062020'!A:D,4,FALSE))</f>
        <v>0.28999999999999998</v>
      </c>
      <c r="H572" s="75">
        <f t="shared" si="41"/>
        <v>1.74</v>
      </c>
    </row>
    <row r="573" spans="1:8" ht="38.25" x14ac:dyDescent="0.25">
      <c r="A573" s="125" t="s">
        <v>400</v>
      </c>
      <c r="B573" s="115" t="s">
        <v>9</v>
      </c>
      <c r="C573" s="115">
        <v>36081</v>
      </c>
      <c r="D573" s="127" t="str">
        <f>IF(A573="COMPOSIÇÃO",VLOOKUP(C573,'SINAPI_COMPOSIÇÕES 062020'!A:B,2,FALSE),VLOOKUP(C573,'SINAPI_INSUMOS 062020'!A:B,2,FALSE))</f>
        <v>BARRA DE APOIO RETA, EM ACO INOX POLIDO, COMPRIMENTO 80CM, DIAMETRO MINIMO 3 CM</v>
      </c>
      <c r="E573" s="126" t="str">
        <f>IF(A573="COMPOSIÇÃO",VLOOKUP(C573,'SINAPI_COMPOSIÇÕES 062020'!A:C,3,FALSE),VLOOKUP(C573,'SINAPI_INSUMOS 062020'!A:C,3,FALSE))</f>
        <v xml:space="preserve">UN    </v>
      </c>
      <c r="F573" s="74">
        <v>1</v>
      </c>
      <c r="G573" s="128">
        <f>IF(A573="COMPOSIÇÃO",VLOOKUP(C573,'SINAPI_COMPOSIÇÕES 062020'!A:D,4,FALSE),VLOOKUP(C573,'SINAPI_INSUMOS 062020'!A:D,4,FALSE))</f>
        <v>242.99</v>
      </c>
      <c r="H573" s="75">
        <f t="shared" si="41"/>
        <v>242.99</v>
      </c>
    </row>
    <row r="574" spans="1:8" ht="13.5" thickBot="1" x14ac:dyDescent="0.3">
      <c r="A574" s="267" t="str">
        <f>CONCATENATE("TOTAL DO ÍTEM - ",A566)</f>
        <v>TOTAL DO ÍTEM - MPMT-07007</v>
      </c>
      <c r="B574" s="268"/>
      <c r="C574" s="268"/>
      <c r="D574" s="268"/>
      <c r="E574" s="268"/>
      <c r="F574" s="268"/>
      <c r="G574" s="269"/>
      <c r="H574" s="188">
        <f>TRUNC(SUM(H570:H573),2)</f>
        <v>276.86</v>
      </c>
    </row>
    <row r="575" spans="1:8" ht="13.5" thickBot="1" x14ac:dyDescent="0.3">
      <c r="A575" s="283" t="s">
        <v>12099</v>
      </c>
      <c r="B575" s="284"/>
      <c r="C575" s="284"/>
      <c r="D575" s="284"/>
      <c r="E575" s="284"/>
      <c r="F575" s="284"/>
      <c r="G575" s="284"/>
      <c r="H575" s="285"/>
    </row>
    <row r="576" spans="1:8" ht="13.5" thickBot="1" x14ac:dyDescent="0.3"/>
    <row r="577" spans="1:8" ht="25.5" x14ac:dyDescent="0.25">
      <c r="A577" s="120" t="s">
        <v>90</v>
      </c>
      <c r="B577" s="286" t="s">
        <v>91</v>
      </c>
      <c r="C577" s="287"/>
      <c r="D577" s="287"/>
      <c r="E577" s="287"/>
      <c r="F577" s="287"/>
      <c r="G577" s="288"/>
      <c r="H577" s="121" t="s">
        <v>4</v>
      </c>
    </row>
    <row r="578" spans="1:8" ht="13.5" thickBot="1" x14ac:dyDescent="0.3">
      <c r="A578" s="113" t="s">
        <v>12102</v>
      </c>
      <c r="B578" s="289" t="s">
        <v>12103</v>
      </c>
      <c r="C578" s="290"/>
      <c r="D578" s="290"/>
      <c r="E578" s="290"/>
      <c r="F578" s="290"/>
      <c r="G578" s="291"/>
      <c r="H578" s="114" t="s">
        <v>4</v>
      </c>
    </row>
    <row r="579" spans="1:8" ht="25.5" x14ac:dyDescent="0.25">
      <c r="A579" s="273" t="s">
        <v>13834</v>
      </c>
      <c r="B579" s="275" t="s">
        <v>92</v>
      </c>
      <c r="C579" s="276"/>
      <c r="D579" s="185" t="s">
        <v>12098</v>
      </c>
      <c r="E579" s="239" t="s">
        <v>93</v>
      </c>
      <c r="F579" s="186">
        <v>0</v>
      </c>
      <c r="G579" s="277" t="s">
        <v>94</v>
      </c>
      <c r="H579" s="278"/>
    </row>
    <row r="580" spans="1:8" x14ac:dyDescent="0.25">
      <c r="A580" s="274"/>
      <c r="B580" s="281" t="s">
        <v>95</v>
      </c>
      <c r="C580" s="282"/>
      <c r="D580" s="187">
        <v>43368</v>
      </c>
      <c r="E580" s="240" t="s">
        <v>96</v>
      </c>
      <c r="F580" s="187">
        <v>43368</v>
      </c>
      <c r="G580" s="279"/>
      <c r="H580" s="280"/>
    </row>
    <row r="581" spans="1:8" x14ac:dyDescent="0.25">
      <c r="A581" s="122" t="s">
        <v>11885</v>
      </c>
      <c r="B581" s="123" t="s">
        <v>97</v>
      </c>
      <c r="C581" s="123" t="s">
        <v>98</v>
      </c>
      <c r="D581" s="123" t="s">
        <v>3</v>
      </c>
      <c r="E581" s="123" t="s">
        <v>4</v>
      </c>
      <c r="F581" s="123" t="s">
        <v>99</v>
      </c>
      <c r="G581" s="123" t="s">
        <v>100</v>
      </c>
      <c r="H581" s="124" t="s">
        <v>101</v>
      </c>
    </row>
    <row r="582" spans="1:8" ht="25.5" x14ac:dyDescent="0.25">
      <c r="A582" s="125" t="s">
        <v>398</v>
      </c>
      <c r="B582" s="115" t="s">
        <v>9</v>
      </c>
      <c r="C582" s="115">
        <v>88309</v>
      </c>
      <c r="D582" s="127" t="str">
        <f>IF(A582="COMPOSIÇÃO",VLOOKUP(C582,'SINAPI_COMPOSIÇÕES 062020'!A:B,2,FALSE),VLOOKUP(C582,'SINAPI_INSUMOS 062020'!A:B,2,FALSE))</f>
        <v>PEDREIRO COM ENCARGOS COMPLEMENTARES</v>
      </c>
      <c r="E582" s="126" t="str">
        <f>IF(A582="COMPOSIÇÃO",VLOOKUP(C582,'SINAPI_COMPOSIÇÕES 062020'!A:C,3,FALSE),VLOOKUP(C582,'SINAPI_INSUMOS 062020'!A:C,3,FALSE))</f>
        <v>H</v>
      </c>
      <c r="F582" s="74">
        <v>1</v>
      </c>
      <c r="G582" s="128">
        <f>IF(A582="COMPOSIÇÃO",VLOOKUP(C582,'SINAPI_COMPOSIÇÕES 062020'!A:D,4,FALSE),VLOOKUP(C582,'SINAPI_INSUMOS 062020'!A:D,4,FALSE))</f>
        <v>17.760000000000002</v>
      </c>
      <c r="H582" s="75">
        <f t="shared" ref="H582:H584" si="42">TRUNC(G582*F582,2)</f>
        <v>17.760000000000002</v>
      </c>
    </row>
    <row r="583" spans="1:8" ht="25.5" x14ac:dyDescent="0.25">
      <c r="A583" s="125" t="s">
        <v>398</v>
      </c>
      <c r="B583" s="115" t="s">
        <v>9</v>
      </c>
      <c r="C583" s="115">
        <v>88316</v>
      </c>
      <c r="D583" s="127" t="str">
        <f>IF(A583="COMPOSIÇÃO",VLOOKUP(C583,'SINAPI_COMPOSIÇÕES 062020'!A:B,2,FALSE),VLOOKUP(C583,'SINAPI_INSUMOS 062020'!A:B,2,FALSE))</f>
        <v>SERVENTE COM ENCARGOS COMPLEMENTARES</v>
      </c>
      <c r="E583" s="126" t="str">
        <f>IF(A583="COMPOSIÇÃO",VLOOKUP(C583,'SINAPI_COMPOSIÇÕES 062020'!A:C,3,FALSE),VLOOKUP(C583,'SINAPI_INSUMOS 062020'!A:C,3,FALSE))</f>
        <v>H</v>
      </c>
      <c r="F583" s="74">
        <v>1</v>
      </c>
      <c r="G583" s="128">
        <f>IF(A583="COMPOSIÇÃO",VLOOKUP(C583,'SINAPI_COMPOSIÇÕES 062020'!A:D,4,FALSE),VLOOKUP(C583,'SINAPI_INSUMOS 062020'!A:D,4,FALSE))</f>
        <v>14.37</v>
      </c>
      <c r="H583" s="75">
        <f t="shared" si="42"/>
        <v>14.37</v>
      </c>
    </row>
    <row r="584" spans="1:8" ht="51" x14ac:dyDescent="0.25">
      <c r="A584" s="125" t="s">
        <v>400</v>
      </c>
      <c r="B584" s="115" t="s">
        <v>9</v>
      </c>
      <c r="C584" s="115">
        <v>7583</v>
      </c>
      <c r="D584" s="127" t="str">
        <f>IF(A584="COMPOSIÇÃO",VLOOKUP(C584,'SINAPI_COMPOSIÇÕES 062020'!A:B,2,FALSE),VLOOKUP(C584,'SINAPI_INSUMOS 062020'!A:B,2,FALSE))</f>
        <v>BUCHA DE NYLON SEM ABA S8, COM PARAFUSO DE 4,80 X 50 MM EM ACO ZINCADO COM ROSCA SOBERBA, CABECA CHATA E FENDA PHILLIPS</v>
      </c>
      <c r="E584" s="126" t="str">
        <f>IF(A584="COMPOSIÇÃO",VLOOKUP(C584,'SINAPI_COMPOSIÇÕES 062020'!A:C,3,FALSE),VLOOKUP(C584,'SINAPI_INSUMOS 062020'!A:C,3,FALSE))</f>
        <v xml:space="preserve">UN    </v>
      </c>
      <c r="F584" s="74">
        <v>6</v>
      </c>
      <c r="G584" s="128">
        <f>IF(A584="COMPOSIÇÃO",VLOOKUP(C584,'SINAPI_COMPOSIÇÕES 062020'!A:D,4,FALSE),VLOOKUP(C584,'SINAPI_INSUMOS 062020'!A:D,4,FALSE))</f>
        <v>0.28999999999999998</v>
      </c>
      <c r="H584" s="75">
        <f t="shared" si="42"/>
        <v>1.74</v>
      </c>
    </row>
    <row r="585" spans="1:8" ht="38.25" x14ac:dyDescent="0.25">
      <c r="A585" s="125" t="s">
        <v>11958</v>
      </c>
      <c r="B585" s="115" t="s">
        <v>11959</v>
      </c>
      <c r="C585" s="115" t="s">
        <v>11960</v>
      </c>
      <c r="D585" s="194" t="str">
        <f>B589</f>
        <v>BARRA DE APOIO RETA, EM INOX, PARA PORTADORES DE NECESSIDADES ESPECIAIS, LARGURA 40CM</v>
      </c>
      <c r="E585" s="115" t="str">
        <f>H589</f>
        <v>UND</v>
      </c>
      <c r="F585" s="74">
        <v>1</v>
      </c>
      <c r="G585" s="195">
        <f>H594</f>
        <v>145.81</v>
      </c>
      <c r="H585" s="75">
        <f t="shared" ref="H585" si="43">TRUNC(G585*F585,2)</f>
        <v>145.81</v>
      </c>
    </row>
    <row r="586" spans="1:8" ht="13.5" thickBot="1" x14ac:dyDescent="0.3">
      <c r="A586" s="267" t="str">
        <f>CONCATENATE("TOTAL DO ÍTEM - ",A578)</f>
        <v>TOTAL DO ÍTEM - MPMT-07054</v>
      </c>
      <c r="B586" s="268"/>
      <c r="C586" s="268"/>
      <c r="D586" s="268"/>
      <c r="E586" s="268"/>
      <c r="F586" s="268"/>
      <c r="G586" s="269"/>
      <c r="H586" s="188">
        <f>TRUNC(SUM(H582:H585),2)</f>
        <v>179.68</v>
      </c>
    </row>
    <row r="587" spans="1:8" ht="13.5" thickBot="1" x14ac:dyDescent="0.3">
      <c r="A587" s="299" t="s">
        <v>12099</v>
      </c>
      <c r="B587" s="300"/>
      <c r="C587" s="300"/>
      <c r="D587" s="300"/>
      <c r="E587" s="300"/>
      <c r="F587" s="300"/>
      <c r="G587" s="300"/>
      <c r="H587" s="301"/>
    </row>
    <row r="588" spans="1:8" x14ac:dyDescent="0.25">
      <c r="A588" s="196"/>
      <c r="B588" s="292" t="s">
        <v>11962</v>
      </c>
      <c r="C588" s="292"/>
      <c r="D588" s="292"/>
      <c r="E588" s="292"/>
      <c r="F588" s="292"/>
      <c r="G588" s="292"/>
      <c r="H588" s="197" t="s">
        <v>11963</v>
      </c>
    </row>
    <row r="589" spans="1:8" ht="13.5" thickBot="1" x14ac:dyDescent="0.3">
      <c r="A589" s="215" t="s">
        <v>11960</v>
      </c>
      <c r="B589" s="308" t="s">
        <v>12104</v>
      </c>
      <c r="C589" s="308"/>
      <c r="D589" s="308"/>
      <c r="E589" s="308"/>
      <c r="F589" s="308"/>
      <c r="G589" s="308"/>
      <c r="H589" s="216" t="s">
        <v>4</v>
      </c>
    </row>
    <row r="590" spans="1:8" ht="25.5" x14ac:dyDescent="0.25">
      <c r="A590" s="213" t="s">
        <v>11965</v>
      </c>
      <c r="B590" s="241" t="s">
        <v>11966</v>
      </c>
      <c r="C590" s="241" t="s">
        <v>11967</v>
      </c>
      <c r="D590" s="241" t="s">
        <v>11968</v>
      </c>
      <c r="E590" s="294" t="s">
        <v>11969</v>
      </c>
      <c r="F590" s="294"/>
      <c r="G590" s="241" t="s">
        <v>4</v>
      </c>
      <c r="H590" s="214" t="s">
        <v>11970</v>
      </c>
    </row>
    <row r="591" spans="1:8" x14ac:dyDescent="0.25">
      <c r="A591" s="205">
        <v>44026</v>
      </c>
      <c r="B591" s="206" t="s">
        <v>11971</v>
      </c>
      <c r="C591" s="206" t="s">
        <v>12105</v>
      </c>
      <c r="D591" s="207" t="s">
        <v>12106</v>
      </c>
      <c r="E591" s="295" t="s">
        <v>12107</v>
      </c>
      <c r="F591" s="295"/>
      <c r="G591" s="115" t="s">
        <v>4</v>
      </c>
      <c r="H591" s="208">
        <f>1388.7/8</f>
        <v>173.58750000000001</v>
      </c>
    </row>
    <row r="592" spans="1:8" x14ac:dyDescent="0.25">
      <c r="A592" s="205">
        <v>44026</v>
      </c>
      <c r="B592" s="206" t="s">
        <v>11971</v>
      </c>
      <c r="C592" s="206" t="s">
        <v>12041</v>
      </c>
      <c r="D592" s="207" t="s">
        <v>12042</v>
      </c>
      <c r="E592" s="295" t="s">
        <v>12043</v>
      </c>
      <c r="F592" s="295"/>
      <c r="G592" s="115" t="s">
        <v>4</v>
      </c>
      <c r="H592" s="208">
        <f>1166.48/8</f>
        <v>145.81</v>
      </c>
    </row>
    <row r="593" spans="1:8" x14ac:dyDescent="0.25">
      <c r="A593" s="205">
        <v>44026</v>
      </c>
      <c r="B593" s="206" t="s">
        <v>11971</v>
      </c>
      <c r="C593" s="206" t="s">
        <v>12108</v>
      </c>
      <c r="D593" s="207" t="s">
        <v>12109</v>
      </c>
      <c r="E593" s="295" t="s">
        <v>12110</v>
      </c>
      <c r="F593" s="295"/>
      <c r="G593" s="115" t="s">
        <v>4</v>
      </c>
      <c r="H593" s="208">
        <v>112.3</v>
      </c>
    </row>
    <row r="594" spans="1:8" ht="13.5" thickBot="1" x14ac:dyDescent="0.3">
      <c r="A594" s="296" t="s">
        <v>12111</v>
      </c>
      <c r="B594" s="297"/>
      <c r="C594" s="297"/>
      <c r="D594" s="297"/>
      <c r="E594" s="297"/>
      <c r="F594" s="297"/>
      <c r="G594" s="298"/>
      <c r="H594" s="188">
        <f>MEDIAN(H591:H593)</f>
        <v>145.81</v>
      </c>
    </row>
    <row r="595" spans="1:8" ht="13.5" thickBot="1" x14ac:dyDescent="0.3"/>
    <row r="596" spans="1:8" ht="25.5" x14ac:dyDescent="0.25">
      <c r="A596" s="120" t="s">
        <v>90</v>
      </c>
      <c r="B596" s="286" t="s">
        <v>91</v>
      </c>
      <c r="C596" s="287"/>
      <c r="D596" s="287"/>
      <c r="E596" s="287"/>
      <c r="F596" s="287"/>
      <c r="G596" s="288"/>
      <c r="H596" s="121" t="s">
        <v>4</v>
      </c>
    </row>
    <row r="597" spans="1:8" ht="13.5" thickBot="1" x14ac:dyDescent="0.3">
      <c r="A597" s="113" t="s">
        <v>12112</v>
      </c>
      <c r="B597" s="289" t="s">
        <v>12113</v>
      </c>
      <c r="C597" s="290"/>
      <c r="D597" s="290"/>
      <c r="E597" s="290"/>
      <c r="F597" s="290"/>
      <c r="G597" s="291"/>
      <c r="H597" s="114" t="s">
        <v>4</v>
      </c>
    </row>
    <row r="598" spans="1:8" x14ac:dyDescent="0.25">
      <c r="A598" s="273" t="s">
        <v>13834</v>
      </c>
      <c r="B598" s="275" t="s">
        <v>92</v>
      </c>
      <c r="C598" s="276"/>
      <c r="D598" s="185" t="s">
        <v>12114</v>
      </c>
      <c r="E598" s="239" t="s">
        <v>93</v>
      </c>
      <c r="F598" s="186">
        <v>0</v>
      </c>
      <c r="G598" s="277" t="s">
        <v>94</v>
      </c>
      <c r="H598" s="278"/>
    </row>
    <row r="599" spans="1:8" x14ac:dyDescent="0.25">
      <c r="A599" s="274"/>
      <c r="B599" s="281" t="s">
        <v>95</v>
      </c>
      <c r="C599" s="282"/>
      <c r="D599" s="187">
        <v>42926</v>
      </c>
      <c r="E599" s="240" t="s">
        <v>96</v>
      </c>
      <c r="F599" s="187">
        <v>42926</v>
      </c>
      <c r="G599" s="279"/>
      <c r="H599" s="280"/>
    </row>
    <row r="600" spans="1:8" x14ac:dyDescent="0.25">
      <c r="A600" s="122" t="s">
        <v>11885</v>
      </c>
      <c r="B600" s="123" t="s">
        <v>97</v>
      </c>
      <c r="C600" s="123" t="s">
        <v>98</v>
      </c>
      <c r="D600" s="123" t="s">
        <v>3</v>
      </c>
      <c r="E600" s="123" t="s">
        <v>4</v>
      </c>
      <c r="F600" s="123" t="s">
        <v>99</v>
      </c>
      <c r="G600" s="123" t="s">
        <v>100</v>
      </c>
      <c r="H600" s="124" t="s">
        <v>101</v>
      </c>
    </row>
    <row r="601" spans="1:8" ht="25.5" x14ac:dyDescent="0.25">
      <c r="A601" s="125" t="s">
        <v>398</v>
      </c>
      <c r="B601" s="115" t="s">
        <v>9</v>
      </c>
      <c r="C601" s="115">
        <v>88316</v>
      </c>
      <c r="D601" s="127" t="str">
        <f>IF(A601="COMPOSIÇÃO",VLOOKUP(C601,'SINAPI_COMPOSIÇÕES 062020'!A:B,2,FALSE),VLOOKUP(C601,'SINAPI_INSUMOS 062020'!A:B,2,FALSE))</f>
        <v>SERVENTE COM ENCARGOS COMPLEMENTARES</v>
      </c>
      <c r="E601" s="126" t="str">
        <f>IF(A601="COMPOSIÇÃO",VLOOKUP(C601,'SINAPI_COMPOSIÇÕES 062020'!A:C,3,FALSE),VLOOKUP(C601,'SINAPI_INSUMOS 062020'!A:C,3,FALSE))</f>
        <v>H</v>
      </c>
      <c r="F601" s="74">
        <v>0.15</v>
      </c>
      <c r="G601" s="128">
        <f>IF(A601="COMPOSIÇÃO",VLOOKUP(C601,'SINAPI_COMPOSIÇÕES 062020'!A:D,4,FALSE),VLOOKUP(C601,'SINAPI_INSUMOS 062020'!A:D,4,FALSE))</f>
        <v>14.37</v>
      </c>
      <c r="H601" s="75">
        <f t="shared" ref="H601:H602" si="44">TRUNC(G601*F601,2)</f>
        <v>2.15</v>
      </c>
    </row>
    <row r="602" spans="1:8" ht="25.5" x14ac:dyDescent="0.25">
      <c r="A602" s="125" t="s">
        <v>400</v>
      </c>
      <c r="B602" s="115" t="s">
        <v>9</v>
      </c>
      <c r="C602" s="115">
        <v>37400</v>
      </c>
      <c r="D602" s="127" t="str">
        <f>IF(A602="COMPOSIÇÃO",VLOOKUP(C602,'SINAPI_COMPOSIÇÕES 062020'!A:B,2,FALSE),VLOOKUP(C602,'SINAPI_INSUMOS 062020'!A:B,2,FALSE))</f>
        <v>PAPELEIRA PLASTICA TIPO DISPENSER PARA PAPEL HIGIENICO ROLAO</v>
      </c>
      <c r="E602" s="126" t="str">
        <f>IF(A602="COMPOSIÇÃO",VLOOKUP(C602,'SINAPI_COMPOSIÇÕES 062020'!A:C,3,FALSE),VLOOKUP(C602,'SINAPI_INSUMOS 062020'!A:C,3,FALSE))</f>
        <v xml:space="preserve">UN    </v>
      </c>
      <c r="F602" s="74">
        <v>1</v>
      </c>
      <c r="G602" s="128">
        <f>IF(A602="COMPOSIÇÃO",VLOOKUP(C602,'SINAPI_COMPOSIÇÕES 062020'!A:D,4,FALSE),VLOOKUP(C602,'SINAPI_INSUMOS 062020'!A:D,4,FALSE))</f>
        <v>48.15</v>
      </c>
      <c r="H602" s="75">
        <f t="shared" si="44"/>
        <v>48.15</v>
      </c>
    </row>
    <row r="603" spans="1:8" ht="13.5" thickBot="1" x14ac:dyDescent="0.3">
      <c r="A603" s="267" t="str">
        <f>CONCATENATE("TOTAL DO ÍTEM - ",A597)</f>
        <v>TOTAL DO ÍTEM - MPMT-07014</v>
      </c>
      <c r="B603" s="268"/>
      <c r="C603" s="268"/>
      <c r="D603" s="268"/>
      <c r="E603" s="268"/>
      <c r="F603" s="268"/>
      <c r="G603" s="269"/>
      <c r="H603" s="188">
        <f>TRUNC(SUM(H601:H602),2)</f>
        <v>50.3</v>
      </c>
    </row>
    <row r="604" spans="1:8" ht="13.5" thickBot="1" x14ac:dyDescent="0.3">
      <c r="A604" s="283" t="s">
        <v>12115</v>
      </c>
      <c r="B604" s="284"/>
      <c r="C604" s="284"/>
      <c r="D604" s="284"/>
      <c r="E604" s="284"/>
      <c r="F604" s="284"/>
      <c r="G604" s="284"/>
      <c r="H604" s="285"/>
    </row>
    <row r="605" spans="1:8" ht="13.5" thickBot="1" x14ac:dyDescent="0.3"/>
    <row r="606" spans="1:8" ht="25.5" x14ac:dyDescent="0.25">
      <c r="A606" s="120" t="s">
        <v>90</v>
      </c>
      <c r="B606" s="286" t="s">
        <v>91</v>
      </c>
      <c r="C606" s="287"/>
      <c r="D606" s="287"/>
      <c r="E606" s="287"/>
      <c r="F606" s="287"/>
      <c r="G606" s="288"/>
      <c r="H606" s="121" t="s">
        <v>4</v>
      </c>
    </row>
    <row r="607" spans="1:8" ht="13.5" thickBot="1" x14ac:dyDescent="0.3">
      <c r="A607" s="113" t="s">
        <v>12116</v>
      </c>
      <c r="B607" s="289" t="s">
        <v>12117</v>
      </c>
      <c r="C607" s="290"/>
      <c r="D607" s="290"/>
      <c r="E607" s="290"/>
      <c r="F607" s="290"/>
      <c r="G607" s="291"/>
      <c r="H607" s="114" t="s">
        <v>4</v>
      </c>
    </row>
    <row r="608" spans="1:8" x14ac:dyDescent="0.25">
      <c r="A608" s="273" t="s">
        <v>13834</v>
      </c>
      <c r="B608" s="275" t="s">
        <v>92</v>
      </c>
      <c r="C608" s="276"/>
      <c r="D608" s="185" t="s">
        <v>12118</v>
      </c>
      <c r="E608" s="239" t="s">
        <v>93</v>
      </c>
      <c r="F608" s="186">
        <v>0</v>
      </c>
      <c r="G608" s="277" t="s">
        <v>94</v>
      </c>
      <c r="H608" s="278"/>
    </row>
    <row r="609" spans="1:8" x14ac:dyDescent="0.25">
      <c r="A609" s="274"/>
      <c r="B609" s="281" t="s">
        <v>95</v>
      </c>
      <c r="C609" s="282"/>
      <c r="D609" s="187">
        <v>42858</v>
      </c>
      <c r="E609" s="240" t="s">
        <v>96</v>
      </c>
      <c r="F609" s="187">
        <v>42858</v>
      </c>
      <c r="G609" s="279"/>
      <c r="H609" s="280"/>
    </row>
    <row r="610" spans="1:8" x14ac:dyDescent="0.25">
      <c r="A610" s="122" t="s">
        <v>11885</v>
      </c>
      <c r="B610" s="123" t="s">
        <v>97</v>
      </c>
      <c r="C610" s="123" t="s">
        <v>98</v>
      </c>
      <c r="D610" s="123" t="s">
        <v>3</v>
      </c>
      <c r="E610" s="123" t="s">
        <v>4</v>
      </c>
      <c r="F610" s="123" t="s">
        <v>99</v>
      </c>
      <c r="G610" s="123" t="s">
        <v>100</v>
      </c>
      <c r="H610" s="124" t="s">
        <v>101</v>
      </c>
    </row>
    <row r="611" spans="1:8" ht="25.5" x14ac:dyDescent="0.25">
      <c r="A611" s="125" t="s">
        <v>398</v>
      </c>
      <c r="B611" s="115" t="s">
        <v>9</v>
      </c>
      <c r="C611" s="115">
        <v>88316</v>
      </c>
      <c r="D611" s="127" t="str">
        <f>IF(A611="COMPOSIÇÃO",VLOOKUP(C611,'SINAPI_COMPOSIÇÕES 062020'!A:B,2,FALSE),VLOOKUP(C611,'SINAPI_INSUMOS 062020'!A:B,2,FALSE))</f>
        <v>SERVENTE COM ENCARGOS COMPLEMENTARES</v>
      </c>
      <c r="E611" s="126" t="str">
        <f>IF(A611="COMPOSIÇÃO",VLOOKUP(C611,'SINAPI_COMPOSIÇÕES 062020'!A:C,3,FALSE),VLOOKUP(C611,'SINAPI_INSUMOS 062020'!A:C,3,FALSE))</f>
        <v>H</v>
      </c>
      <c r="F611" s="74">
        <v>0.15</v>
      </c>
      <c r="G611" s="128">
        <f>IF(A611="COMPOSIÇÃO",VLOOKUP(C611,'SINAPI_COMPOSIÇÕES 062020'!A:D,4,FALSE),VLOOKUP(C611,'SINAPI_INSUMOS 062020'!A:D,4,FALSE))</f>
        <v>14.37</v>
      </c>
      <c r="H611" s="75">
        <f t="shared" ref="H611:H612" si="45">TRUNC(G611*F611,2)</f>
        <v>2.15</v>
      </c>
    </row>
    <row r="612" spans="1:8" ht="25.5" x14ac:dyDescent="0.25">
      <c r="A612" s="125" t="s">
        <v>400</v>
      </c>
      <c r="B612" s="115" t="s">
        <v>9</v>
      </c>
      <c r="C612" s="115">
        <v>37401</v>
      </c>
      <c r="D612" s="127" t="str">
        <f>IF(A612="COMPOSIÇÃO",VLOOKUP(C612,'SINAPI_COMPOSIÇÕES 062020'!A:B,2,FALSE),VLOOKUP(C612,'SINAPI_INSUMOS 062020'!A:B,2,FALSE))</f>
        <v>TOALHEIRO PLASTICO TIPO DISPENSER PARA PAPEL TOALHA INTERFOLHADO</v>
      </c>
      <c r="E612" s="126" t="str">
        <f>IF(A612="COMPOSIÇÃO",VLOOKUP(C612,'SINAPI_COMPOSIÇÕES 062020'!A:C,3,FALSE),VLOOKUP(C612,'SINAPI_INSUMOS 062020'!A:C,3,FALSE))</f>
        <v xml:space="preserve">UN    </v>
      </c>
      <c r="F612" s="74">
        <v>1</v>
      </c>
      <c r="G612" s="128">
        <f>IF(A612="COMPOSIÇÃO",VLOOKUP(C612,'SINAPI_COMPOSIÇÕES 062020'!A:D,4,FALSE),VLOOKUP(C612,'SINAPI_INSUMOS 062020'!A:D,4,FALSE))</f>
        <v>48.15</v>
      </c>
      <c r="H612" s="75">
        <f t="shared" si="45"/>
        <v>48.15</v>
      </c>
    </row>
    <row r="613" spans="1:8" ht="13.5" thickBot="1" x14ac:dyDescent="0.3">
      <c r="A613" s="267" t="str">
        <f>CONCATENATE("TOTAL DO ÍTEM - ",A607)</f>
        <v>TOTAL DO ÍTEM - MPMT-07008</v>
      </c>
      <c r="B613" s="268"/>
      <c r="C613" s="268"/>
      <c r="D613" s="268"/>
      <c r="E613" s="268"/>
      <c r="F613" s="268"/>
      <c r="G613" s="269"/>
      <c r="H613" s="188">
        <f>TRUNC(SUM(H611:H612),2)</f>
        <v>50.3</v>
      </c>
    </row>
    <row r="614" spans="1:8" ht="13.5" thickBot="1" x14ac:dyDescent="0.3">
      <c r="A614" s="283" t="s">
        <v>12115</v>
      </c>
      <c r="B614" s="284"/>
      <c r="C614" s="284"/>
      <c r="D614" s="284"/>
      <c r="E614" s="284"/>
      <c r="F614" s="284"/>
      <c r="G614" s="284"/>
      <c r="H614" s="285"/>
    </row>
    <row r="615" spans="1:8" ht="13.5" thickBot="1" x14ac:dyDescent="0.3"/>
    <row r="616" spans="1:8" ht="25.5" x14ac:dyDescent="0.25">
      <c r="A616" s="120" t="s">
        <v>90</v>
      </c>
      <c r="B616" s="286" t="s">
        <v>91</v>
      </c>
      <c r="C616" s="287"/>
      <c r="D616" s="287"/>
      <c r="E616" s="287"/>
      <c r="F616" s="287"/>
      <c r="G616" s="288"/>
      <c r="H616" s="121" t="s">
        <v>4</v>
      </c>
    </row>
    <row r="617" spans="1:8" ht="13.5" thickBot="1" x14ac:dyDescent="0.3">
      <c r="A617" s="113" t="s">
        <v>12119</v>
      </c>
      <c r="B617" s="289" t="s">
        <v>12120</v>
      </c>
      <c r="C617" s="290"/>
      <c r="D617" s="290"/>
      <c r="E617" s="290"/>
      <c r="F617" s="290"/>
      <c r="G617" s="291"/>
      <c r="H617" s="114" t="s">
        <v>4</v>
      </c>
    </row>
    <row r="618" spans="1:8" x14ac:dyDescent="0.25">
      <c r="A618" s="273" t="s">
        <v>13834</v>
      </c>
      <c r="B618" s="275" t="s">
        <v>92</v>
      </c>
      <c r="C618" s="276"/>
      <c r="D618" s="185" t="s">
        <v>12121</v>
      </c>
      <c r="E618" s="239" t="s">
        <v>93</v>
      </c>
      <c r="F618" s="186">
        <v>0</v>
      </c>
      <c r="G618" s="277" t="s">
        <v>94</v>
      </c>
      <c r="H618" s="278"/>
    </row>
    <row r="619" spans="1:8" x14ac:dyDescent="0.25">
      <c r="A619" s="274"/>
      <c r="B619" s="281" t="s">
        <v>95</v>
      </c>
      <c r="C619" s="282"/>
      <c r="D619" s="187">
        <v>42941</v>
      </c>
      <c r="E619" s="240" t="s">
        <v>96</v>
      </c>
      <c r="F619" s="187">
        <v>42941</v>
      </c>
      <c r="G619" s="279"/>
      <c r="H619" s="280"/>
    </row>
    <row r="620" spans="1:8" x14ac:dyDescent="0.25">
      <c r="A620" s="122" t="s">
        <v>11885</v>
      </c>
      <c r="B620" s="123" t="s">
        <v>97</v>
      </c>
      <c r="C620" s="123" t="s">
        <v>98</v>
      </c>
      <c r="D620" s="123" t="s">
        <v>3</v>
      </c>
      <c r="E620" s="123" t="s">
        <v>4</v>
      </c>
      <c r="F620" s="123" t="s">
        <v>99</v>
      </c>
      <c r="G620" s="123" t="s">
        <v>100</v>
      </c>
      <c r="H620" s="124" t="s">
        <v>101</v>
      </c>
    </row>
    <row r="621" spans="1:8" ht="38.25" x14ac:dyDescent="0.25">
      <c r="A621" s="125" t="s">
        <v>398</v>
      </c>
      <c r="B621" s="115" t="s">
        <v>9</v>
      </c>
      <c r="C621" s="115">
        <v>95541</v>
      </c>
      <c r="D621" s="127" t="str">
        <f>IF(A621="COMPOSIÇÃO",VLOOKUP(C621,'SINAPI_COMPOSIÇÕES 062020'!A:B,2,FALSE),VLOOKUP(C621,'SINAPI_INSUMOS 062020'!A:B,2,FALSE))</f>
        <v>FIXAÇÃO UTILIZANDO PARAFUSO E BUCHA DE NYLON, SOMENTE MÃO DE OBRA. AF_10/2016</v>
      </c>
      <c r="E621" s="126" t="str">
        <f>IF(A621="COMPOSIÇÃO",VLOOKUP(C621,'SINAPI_COMPOSIÇÕES 062020'!A:C,3,FALSE),VLOOKUP(C621,'SINAPI_INSUMOS 062020'!A:C,3,FALSE))</f>
        <v>UN</v>
      </c>
      <c r="F621" s="74">
        <v>1</v>
      </c>
      <c r="G621" s="128">
        <f>IF(A621="COMPOSIÇÃO",VLOOKUP(C621,'SINAPI_COMPOSIÇÕES 062020'!A:D,4,FALSE),VLOOKUP(C621,'SINAPI_INSUMOS 062020'!A:D,4,FALSE))</f>
        <v>3.19</v>
      </c>
      <c r="H621" s="75">
        <f t="shared" ref="H621" si="46">TRUNC(G621*F621,2)</f>
        <v>3.19</v>
      </c>
    </row>
    <row r="622" spans="1:8" ht="25.5" x14ac:dyDescent="0.25">
      <c r="A622" s="125" t="s">
        <v>11959</v>
      </c>
      <c r="B622" s="115" t="s">
        <v>11958</v>
      </c>
      <c r="C622" s="115" t="s">
        <v>11960</v>
      </c>
      <c r="D622" s="194" t="str">
        <f>B626</f>
        <v>PORTA TOALHA TIPO CABIDE DE METAL CROMADO REF. DECA 2060</v>
      </c>
      <c r="E622" s="115" t="str">
        <f>H626</f>
        <v>UND</v>
      </c>
      <c r="F622" s="74">
        <v>1</v>
      </c>
      <c r="G622" s="195">
        <f>H631</f>
        <v>71.430000000000007</v>
      </c>
      <c r="H622" s="75">
        <f>TRUNC(G622*F622,2)</f>
        <v>71.430000000000007</v>
      </c>
    </row>
    <row r="623" spans="1:8" ht="13.5" thickBot="1" x14ac:dyDescent="0.3">
      <c r="A623" s="267" t="str">
        <f>CONCATENATE("TOTAL DO ÍTEM - ",A617)</f>
        <v>TOTAL DO ÍTEM - MPMT-02097</v>
      </c>
      <c r="B623" s="268"/>
      <c r="C623" s="268"/>
      <c r="D623" s="268"/>
      <c r="E623" s="268"/>
      <c r="F623" s="268"/>
      <c r="G623" s="269"/>
      <c r="H623" s="188">
        <f>TRUNC(SUM(H621:H622),2)</f>
        <v>74.62</v>
      </c>
    </row>
    <row r="624" spans="1:8" ht="13.5" thickBot="1" x14ac:dyDescent="0.3">
      <c r="A624" s="302" t="s">
        <v>12122</v>
      </c>
      <c r="B624" s="303"/>
      <c r="C624" s="303"/>
      <c r="D624" s="303"/>
      <c r="E624" s="303"/>
      <c r="F624" s="303"/>
      <c r="G624" s="303"/>
      <c r="H624" s="304"/>
    </row>
    <row r="625" spans="1:8" x14ac:dyDescent="0.25">
      <c r="A625" s="196"/>
      <c r="B625" s="292" t="s">
        <v>11962</v>
      </c>
      <c r="C625" s="292"/>
      <c r="D625" s="292"/>
      <c r="E625" s="292"/>
      <c r="F625" s="292"/>
      <c r="G625" s="292"/>
      <c r="H625" s="197" t="s">
        <v>11963</v>
      </c>
    </row>
    <row r="626" spans="1:8" ht="13.5" thickBot="1" x14ac:dyDescent="0.3">
      <c r="A626" s="215" t="s">
        <v>11960</v>
      </c>
      <c r="B626" s="308" t="s">
        <v>12123</v>
      </c>
      <c r="C626" s="308"/>
      <c r="D626" s="308"/>
      <c r="E626" s="308"/>
      <c r="F626" s="308"/>
      <c r="G626" s="308"/>
      <c r="H626" s="216" t="s">
        <v>4</v>
      </c>
    </row>
    <row r="627" spans="1:8" ht="25.5" x14ac:dyDescent="0.25">
      <c r="A627" s="213" t="s">
        <v>11965</v>
      </c>
      <c r="B627" s="241" t="s">
        <v>11966</v>
      </c>
      <c r="C627" s="241" t="s">
        <v>11967</v>
      </c>
      <c r="D627" s="241" t="s">
        <v>11968</v>
      </c>
      <c r="E627" s="294" t="s">
        <v>11969</v>
      </c>
      <c r="F627" s="294"/>
      <c r="G627" s="241" t="s">
        <v>4</v>
      </c>
      <c r="H627" s="214" t="s">
        <v>11970</v>
      </c>
    </row>
    <row r="628" spans="1:8" x14ac:dyDescent="0.25">
      <c r="A628" s="205">
        <v>43714</v>
      </c>
      <c r="B628" s="206" t="s">
        <v>11971</v>
      </c>
      <c r="C628" s="206" t="s">
        <v>12124</v>
      </c>
      <c r="D628" s="206" t="s">
        <v>12125</v>
      </c>
      <c r="E628" s="306" t="s">
        <v>12126</v>
      </c>
      <c r="F628" s="306"/>
      <c r="G628" s="115" t="s">
        <v>4</v>
      </c>
      <c r="H628" s="218">
        <v>85.55</v>
      </c>
    </row>
    <row r="629" spans="1:8" x14ac:dyDescent="0.25">
      <c r="A629" s="205">
        <v>43714</v>
      </c>
      <c r="B629" s="206" t="s">
        <v>11971</v>
      </c>
      <c r="C629" s="206" t="s">
        <v>12127</v>
      </c>
      <c r="D629" s="206" t="s">
        <v>12128</v>
      </c>
      <c r="E629" s="295" t="s">
        <v>12129</v>
      </c>
      <c r="F629" s="295"/>
      <c r="G629" s="115" t="s">
        <v>4</v>
      </c>
      <c r="H629" s="208">
        <f>142.86/2</f>
        <v>71.430000000000007</v>
      </c>
    </row>
    <row r="630" spans="1:8" x14ac:dyDescent="0.25">
      <c r="A630" s="205">
        <v>43714</v>
      </c>
      <c r="B630" s="206" t="s">
        <v>11971</v>
      </c>
      <c r="C630" s="206" t="s">
        <v>12130</v>
      </c>
      <c r="D630" s="206" t="s">
        <v>12131</v>
      </c>
      <c r="E630" s="307" t="s">
        <v>12132</v>
      </c>
      <c r="F630" s="307"/>
      <c r="G630" s="115" t="s">
        <v>4</v>
      </c>
      <c r="H630" s="208">
        <f>1816.5/35</f>
        <v>51.9</v>
      </c>
    </row>
    <row r="631" spans="1:8" ht="13.5" thickBot="1" x14ac:dyDescent="0.3">
      <c r="A631" s="296" t="s">
        <v>11981</v>
      </c>
      <c r="B631" s="297"/>
      <c r="C631" s="297"/>
      <c r="D631" s="297"/>
      <c r="E631" s="297"/>
      <c r="F631" s="297"/>
      <c r="G631" s="298"/>
      <c r="H631" s="188">
        <f>TRUNC(MEDIAN(H628:H630),2)</f>
        <v>71.430000000000007</v>
      </c>
    </row>
    <row r="632" spans="1:8" ht="13.5" thickBot="1" x14ac:dyDescent="0.3"/>
    <row r="633" spans="1:8" ht="25.5" x14ac:dyDescent="0.25">
      <c r="A633" s="120" t="s">
        <v>90</v>
      </c>
      <c r="B633" s="286" t="s">
        <v>91</v>
      </c>
      <c r="C633" s="287"/>
      <c r="D633" s="287"/>
      <c r="E633" s="287"/>
      <c r="F633" s="287"/>
      <c r="G633" s="288"/>
      <c r="H633" s="121" t="s">
        <v>4</v>
      </c>
    </row>
    <row r="634" spans="1:8" ht="13.5" thickBot="1" x14ac:dyDescent="0.3">
      <c r="A634" s="113" t="s">
        <v>12133</v>
      </c>
      <c r="B634" s="289" t="s">
        <v>12134</v>
      </c>
      <c r="C634" s="290"/>
      <c r="D634" s="290"/>
      <c r="E634" s="290"/>
      <c r="F634" s="290"/>
      <c r="G634" s="291"/>
      <c r="H634" s="114" t="s">
        <v>4</v>
      </c>
    </row>
    <row r="635" spans="1:8" x14ac:dyDescent="0.25">
      <c r="A635" s="273" t="s">
        <v>13834</v>
      </c>
      <c r="B635" s="275" t="s">
        <v>92</v>
      </c>
      <c r="C635" s="276"/>
      <c r="D635" s="185" t="s">
        <v>12135</v>
      </c>
      <c r="E635" s="239" t="s">
        <v>93</v>
      </c>
      <c r="F635" s="186">
        <v>0</v>
      </c>
      <c r="G635" s="277" t="s">
        <v>94</v>
      </c>
      <c r="H635" s="278"/>
    </row>
    <row r="636" spans="1:8" x14ac:dyDescent="0.25">
      <c r="A636" s="274"/>
      <c r="B636" s="281" t="s">
        <v>95</v>
      </c>
      <c r="C636" s="282"/>
      <c r="D636" s="187">
        <v>42858</v>
      </c>
      <c r="E636" s="240" t="s">
        <v>96</v>
      </c>
      <c r="F636" s="187">
        <v>42858</v>
      </c>
      <c r="G636" s="279"/>
      <c r="H636" s="280"/>
    </row>
    <row r="637" spans="1:8" x14ac:dyDescent="0.25">
      <c r="A637" s="122" t="s">
        <v>11885</v>
      </c>
      <c r="B637" s="123" t="s">
        <v>97</v>
      </c>
      <c r="C637" s="123" t="s">
        <v>98</v>
      </c>
      <c r="D637" s="123" t="s">
        <v>3</v>
      </c>
      <c r="E637" s="123" t="s">
        <v>4</v>
      </c>
      <c r="F637" s="123" t="s">
        <v>99</v>
      </c>
      <c r="G637" s="123" t="s">
        <v>100</v>
      </c>
      <c r="H637" s="124" t="s">
        <v>101</v>
      </c>
    </row>
    <row r="638" spans="1:8" ht="25.5" x14ac:dyDescent="0.25">
      <c r="A638" s="125" t="s">
        <v>398</v>
      </c>
      <c r="B638" s="115" t="s">
        <v>9</v>
      </c>
      <c r="C638" s="115">
        <v>88309</v>
      </c>
      <c r="D638" s="127" t="str">
        <f>IF(A638="COMPOSIÇÃO",VLOOKUP(C638,'SINAPI_COMPOSIÇÕES 062020'!A:B,2,FALSE),VLOOKUP(C638,'SINAPI_INSUMOS 062020'!A:B,2,FALSE))</f>
        <v>PEDREIRO COM ENCARGOS COMPLEMENTARES</v>
      </c>
      <c r="E638" s="126" t="str">
        <f>IF(A638="COMPOSIÇÃO",VLOOKUP(C638,'SINAPI_COMPOSIÇÕES 062020'!A:C,3,FALSE),VLOOKUP(C638,'SINAPI_INSUMOS 062020'!A:C,3,FALSE))</f>
        <v>H</v>
      </c>
      <c r="F638" s="74">
        <v>1</v>
      </c>
      <c r="G638" s="128">
        <f>IF(A638="COMPOSIÇÃO",VLOOKUP(C638,'SINAPI_COMPOSIÇÕES 062020'!A:D,4,FALSE),VLOOKUP(C638,'SINAPI_INSUMOS 062020'!A:D,4,FALSE))</f>
        <v>17.760000000000002</v>
      </c>
      <c r="H638" s="75">
        <f t="shared" ref="H638:H640" si="47">TRUNC(G638*F638,2)</f>
        <v>17.760000000000002</v>
      </c>
    </row>
    <row r="639" spans="1:8" ht="25.5" x14ac:dyDescent="0.25">
      <c r="A639" s="125" t="s">
        <v>398</v>
      </c>
      <c r="B639" s="115" t="s">
        <v>9</v>
      </c>
      <c r="C639" s="115">
        <v>88316</v>
      </c>
      <c r="D639" s="127" t="str">
        <f>IF(A639="COMPOSIÇÃO",VLOOKUP(C639,'SINAPI_COMPOSIÇÕES 062020'!A:B,2,FALSE),VLOOKUP(C639,'SINAPI_INSUMOS 062020'!A:B,2,FALSE))</f>
        <v>SERVENTE COM ENCARGOS COMPLEMENTARES</v>
      </c>
      <c r="E639" s="126" t="str">
        <f>IF(A639="COMPOSIÇÃO",VLOOKUP(C639,'SINAPI_COMPOSIÇÕES 062020'!A:C,3,FALSE),VLOOKUP(C639,'SINAPI_INSUMOS 062020'!A:C,3,FALSE))</f>
        <v>H</v>
      </c>
      <c r="F639" s="74">
        <v>1</v>
      </c>
      <c r="G639" s="128">
        <f>IF(A639="COMPOSIÇÃO",VLOOKUP(C639,'SINAPI_COMPOSIÇÕES 062020'!A:D,4,FALSE),VLOOKUP(C639,'SINAPI_INSUMOS 062020'!A:D,4,FALSE))</f>
        <v>14.37</v>
      </c>
      <c r="H639" s="75">
        <f t="shared" si="47"/>
        <v>14.37</v>
      </c>
    </row>
    <row r="640" spans="1:8" ht="51" x14ac:dyDescent="0.25">
      <c r="A640" s="125" t="s">
        <v>400</v>
      </c>
      <c r="B640" s="115" t="s">
        <v>9</v>
      </c>
      <c r="C640" s="115">
        <v>7583</v>
      </c>
      <c r="D640" s="127" t="str">
        <f>IF(A640="COMPOSIÇÃO",VLOOKUP(C640,'SINAPI_COMPOSIÇÕES 062020'!A:B,2,FALSE),VLOOKUP(C640,'SINAPI_INSUMOS 062020'!A:B,2,FALSE))</f>
        <v>BUCHA DE NYLON SEM ABA S8, COM PARAFUSO DE 4,80 X 50 MM EM ACO ZINCADO COM ROSCA SOBERBA, CABECA CHATA E FENDA PHILLIPS</v>
      </c>
      <c r="E640" s="126" t="str">
        <f>IF(A640="COMPOSIÇÃO",VLOOKUP(C640,'SINAPI_COMPOSIÇÕES 062020'!A:C,3,FALSE),VLOOKUP(C640,'SINAPI_INSUMOS 062020'!A:C,3,FALSE))</f>
        <v xml:space="preserve">UN    </v>
      </c>
      <c r="F640" s="74">
        <v>6</v>
      </c>
      <c r="G640" s="128">
        <f>IF(A640="COMPOSIÇÃO",VLOOKUP(C640,'SINAPI_COMPOSIÇÕES 062020'!A:D,4,FALSE),VLOOKUP(C640,'SINAPI_INSUMOS 062020'!A:D,4,FALSE))</f>
        <v>0.28999999999999998</v>
      </c>
      <c r="H640" s="75">
        <f t="shared" si="47"/>
        <v>1.74</v>
      </c>
    </row>
    <row r="641" spans="1:8" ht="13.5" thickBot="1" x14ac:dyDescent="0.3">
      <c r="A641" s="267" t="str">
        <f>CONCATENATE("TOTAL DO ÍTEM - ",A634)</f>
        <v>TOTAL DO ÍTEM - MPMT-07083</v>
      </c>
      <c r="B641" s="268"/>
      <c r="C641" s="268"/>
      <c r="D641" s="268"/>
      <c r="E641" s="268"/>
      <c r="F641" s="268"/>
      <c r="G641" s="269"/>
      <c r="H641" s="188">
        <f>TRUNC(SUM(H638:H640),2)</f>
        <v>33.869999999999997</v>
      </c>
    </row>
    <row r="642" spans="1:8" ht="13.5" thickBot="1" x14ac:dyDescent="0.3">
      <c r="A642" s="283" t="s">
        <v>12099</v>
      </c>
      <c r="B642" s="284"/>
      <c r="C642" s="284"/>
      <c r="D642" s="284"/>
      <c r="E642" s="284"/>
      <c r="F642" s="284"/>
      <c r="G642" s="284"/>
      <c r="H642" s="285"/>
    </row>
    <row r="643" spans="1:8" ht="13.5" thickBot="1" x14ac:dyDescent="0.3"/>
    <row r="644" spans="1:8" ht="25.5" x14ac:dyDescent="0.25">
      <c r="A644" s="120" t="s">
        <v>90</v>
      </c>
      <c r="B644" s="286" t="s">
        <v>91</v>
      </c>
      <c r="C644" s="287"/>
      <c r="D644" s="287"/>
      <c r="E644" s="287"/>
      <c r="F644" s="287"/>
      <c r="G644" s="288"/>
      <c r="H644" s="121" t="s">
        <v>4</v>
      </c>
    </row>
    <row r="645" spans="1:8" ht="13.5" thickBot="1" x14ac:dyDescent="0.3">
      <c r="A645" s="113" t="s">
        <v>12136</v>
      </c>
      <c r="B645" s="289" t="s">
        <v>12137</v>
      </c>
      <c r="C645" s="290"/>
      <c r="D645" s="290"/>
      <c r="E645" s="290"/>
      <c r="F645" s="290"/>
      <c r="G645" s="291"/>
      <c r="H645" s="114" t="s">
        <v>4</v>
      </c>
    </row>
    <row r="646" spans="1:8" x14ac:dyDescent="0.25">
      <c r="A646" s="273" t="s">
        <v>13834</v>
      </c>
      <c r="B646" s="275" t="s">
        <v>92</v>
      </c>
      <c r="C646" s="276"/>
      <c r="D646" s="185" t="s">
        <v>12121</v>
      </c>
      <c r="E646" s="239" t="s">
        <v>93</v>
      </c>
      <c r="F646" s="186">
        <v>0</v>
      </c>
      <c r="G646" s="277" t="s">
        <v>94</v>
      </c>
      <c r="H646" s="278"/>
    </row>
    <row r="647" spans="1:8" x14ac:dyDescent="0.25">
      <c r="A647" s="274"/>
      <c r="B647" s="281" t="s">
        <v>95</v>
      </c>
      <c r="C647" s="282"/>
      <c r="D647" s="187">
        <v>42941</v>
      </c>
      <c r="E647" s="240" t="s">
        <v>96</v>
      </c>
      <c r="F647" s="187">
        <v>42941</v>
      </c>
      <c r="G647" s="279"/>
      <c r="H647" s="280"/>
    </row>
    <row r="648" spans="1:8" x14ac:dyDescent="0.25">
      <c r="A648" s="122" t="s">
        <v>11885</v>
      </c>
      <c r="B648" s="123" t="s">
        <v>97</v>
      </c>
      <c r="C648" s="123" t="s">
        <v>98</v>
      </c>
      <c r="D648" s="123" t="s">
        <v>3</v>
      </c>
      <c r="E648" s="123" t="s">
        <v>4</v>
      </c>
      <c r="F648" s="123" t="s">
        <v>99</v>
      </c>
      <c r="G648" s="123" t="s">
        <v>100</v>
      </c>
      <c r="H648" s="124" t="s">
        <v>101</v>
      </c>
    </row>
    <row r="649" spans="1:8" ht="38.25" x14ac:dyDescent="0.25">
      <c r="A649" s="125" t="s">
        <v>398</v>
      </c>
      <c r="B649" s="115" t="s">
        <v>9</v>
      </c>
      <c r="C649" s="115">
        <v>95541</v>
      </c>
      <c r="D649" s="127" t="str">
        <f>IF(A649="COMPOSIÇÃO",VLOOKUP(C649,'SINAPI_COMPOSIÇÕES 062020'!A:B,2,FALSE),VLOOKUP(C649,'SINAPI_INSUMOS 062020'!A:B,2,FALSE))</f>
        <v>FIXAÇÃO UTILIZANDO PARAFUSO E BUCHA DE NYLON, SOMENTE MÃO DE OBRA. AF_10/2016</v>
      </c>
      <c r="E649" s="126" t="str">
        <f>IF(A649="COMPOSIÇÃO",VLOOKUP(C649,'SINAPI_COMPOSIÇÕES 062020'!A:C,3,FALSE),VLOOKUP(C649,'SINAPI_INSUMOS 062020'!A:C,3,FALSE))</f>
        <v>UN</v>
      </c>
      <c r="F649" s="74">
        <v>1</v>
      </c>
      <c r="G649" s="128">
        <f>IF(A649="COMPOSIÇÃO",VLOOKUP(C649,'SINAPI_COMPOSIÇÕES 062020'!A:D,4,FALSE),VLOOKUP(C649,'SINAPI_INSUMOS 062020'!A:D,4,FALSE))</f>
        <v>3.19</v>
      </c>
      <c r="H649" s="75">
        <f t="shared" ref="H649" si="48">TRUNC(G649*F649,2)</f>
        <v>3.19</v>
      </c>
    </row>
    <row r="650" spans="1:8" ht="13.5" thickBot="1" x14ac:dyDescent="0.3">
      <c r="A650" s="267" t="str">
        <f>CONCATENATE("TOTAL DO ÍTEM - ",A645)</f>
        <v>TOTAL DO ÍTEM - MPMT-02558</v>
      </c>
      <c r="B650" s="268"/>
      <c r="C650" s="268"/>
      <c r="D650" s="268"/>
      <c r="E650" s="268"/>
      <c r="F650" s="268"/>
      <c r="G650" s="269"/>
      <c r="H650" s="188">
        <f>TRUNC(SUM(H649:H649),2)</f>
        <v>3.19</v>
      </c>
    </row>
    <row r="651" spans="1:8" ht="13.5" thickBot="1" x14ac:dyDescent="0.3">
      <c r="A651" s="302" t="s">
        <v>12122</v>
      </c>
      <c r="B651" s="303"/>
      <c r="C651" s="303"/>
      <c r="D651" s="303"/>
      <c r="E651" s="303"/>
      <c r="F651" s="303"/>
      <c r="G651" s="303"/>
      <c r="H651" s="304"/>
    </row>
    <row r="652" spans="1:8" ht="13.5" thickBot="1" x14ac:dyDescent="0.3"/>
    <row r="653" spans="1:8" ht="25.5" x14ac:dyDescent="0.25">
      <c r="A653" s="120" t="s">
        <v>90</v>
      </c>
      <c r="B653" s="286" t="s">
        <v>91</v>
      </c>
      <c r="C653" s="287"/>
      <c r="D653" s="287"/>
      <c r="E653" s="287"/>
      <c r="F653" s="287"/>
      <c r="G653" s="288"/>
      <c r="H653" s="121" t="s">
        <v>4</v>
      </c>
    </row>
    <row r="654" spans="1:8" ht="13.5" thickBot="1" x14ac:dyDescent="0.3">
      <c r="A654" s="113" t="s">
        <v>12138</v>
      </c>
      <c r="B654" s="289" t="s">
        <v>12139</v>
      </c>
      <c r="C654" s="290"/>
      <c r="D654" s="290"/>
      <c r="E654" s="290"/>
      <c r="F654" s="290"/>
      <c r="G654" s="291"/>
      <c r="H654" s="114" t="s">
        <v>8</v>
      </c>
    </row>
    <row r="655" spans="1:8" x14ac:dyDescent="0.25">
      <c r="A655" s="273" t="s">
        <v>13834</v>
      </c>
      <c r="B655" s="275" t="s">
        <v>92</v>
      </c>
      <c r="C655" s="276"/>
      <c r="D655" s="185" t="s">
        <v>12140</v>
      </c>
      <c r="E655" s="239" t="s">
        <v>93</v>
      </c>
      <c r="F655" s="186">
        <v>0</v>
      </c>
      <c r="G655" s="277" t="s">
        <v>94</v>
      </c>
      <c r="H655" s="278"/>
    </row>
    <row r="656" spans="1:8" x14ac:dyDescent="0.25">
      <c r="A656" s="274"/>
      <c r="B656" s="281" t="s">
        <v>95</v>
      </c>
      <c r="C656" s="282"/>
      <c r="D656" s="187">
        <v>44026</v>
      </c>
      <c r="E656" s="240" t="s">
        <v>96</v>
      </c>
      <c r="F656" s="187">
        <v>44026</v>
      </c>
      <c r="G656" s="279"/>
      <c r="H656" s="280"/>
    </row>
    <row r="657" spans="1:8" x14ac:dyDescent="0.25">
      <c r="A657" s="122" t="s">
        <v>11885</v>
      </c>
      <c r="B657" s="123" t="s">
        <v>97</v>
      </c>
      <c r="C657" s="123" t="s">
        <v>98</v>
      </c>
      <c r="D657" s="123" t="s">
        <v>3</v>
      </c>
      <c r="E657" s="123" t="s">
        <v>4</v>
      </c>
      <c r="F657" s="123" t="s">
        <v>99</v>
      </c>
      <c r="G657" s="123" t="s">
        <v>100</v>
      </c>
      <c r="H657" s="124" t="s">
        <v>101</v>
      </c>
    </row>
    <row r="658" spans="1:8" ht="25.5" x14ac:dyDescent="0.25">
      <c r="A658" s="125" t="s">
        <v>398</v>
      </c>
      <c r="B658" s="115" t="s">
        <v>9</v>
      </c>
      <c r="C658" s="115">
        <v>88309</v>
      </c>
      <c r="D658" s="127" t="str">
        <f>IF(A658="COMPOSIÇÃO",VLOOKUP(C658,'SINAPI_COMPOSIÇÕES 062020'!A:B,2,FALSE),VLOOKUP(C658,'SINAPI_INSUMOS 062020'!A:B,2,FALSE))</f>
        <v>PEDREIRO COM ENCARGOS COMPLEMENTARES</v>
      </c>
      <c r="E658" s="126" t="str">
        <f>IF(A658="COMPOSIÇÃO",VLOOKUP(C658,'SINAPI_COMPOSIÇÕES 062020'!A:C,3,FALSE),VLOOKUP(C658,'SINAPI_INSUMOS 062020'!A:C,3,FALSE))</f>
        <v>H</v>
      </c>
      <c r="F658" s="74">
        <v>0.3826</v>
      </c>
      <c r="G658" s="128">
        <f>IF(A658="COMPOSIÇÃO",VLOOKUP(C658,'SINAPI_COMPOSIÇÕES 062020'!A:D,4,FALSE),VLOOKUP(C658,'SINAPI_INSUMOS 062020'!A:D,4,FALSE))</f>
        <v>17.760000000000002</v>
      </c>
      <c r="H658" s="75">
        <f t="shared" ref="H658:H662" si="49">TRUNC(G658*F658,2)</f>
        <v>6.79</v>
      </c>
    </row>
    <row r="659" spans="1:8" ht="25.5" x14ac:dyDescent="0.25">
      <c r="A659" s="125" t="s">
        <v>398</v>
      </c>
      <c r="B659" s="115" t="s">
        <v>9</v>
      </c>
      <c r="C659" s="115">
        <v>88316</v>
      </c>
      <c r="D659" s="127" t="str">
        <f>IF(A659="COMPOSIÇÃO",VLOOKUP(C659,'SINAPI_COMPOSIÇÕES 062020'!A:B,2,FALSE),VLOOKUP(C659,'SINAPI_INSUMOS 062020'!A:B,2,FALSE))</f>
        <v>SERVENTE COM ENCARGOS COMPLEMENTARES</v>
      </c>
      <c r="E659" s="126" t="str">
        <f>IF(A659="COMPOSIÇÃO",VLOOKUP(C659,'SINAPI_COMPOSIÇÕES 062020'!A:C,3,FALSE),VLOOKUP(C659,'SINAPI_INSUMOS 062020'!A:C,3,FALSE))</f>
        <v>H</v>
      </c>
      <c r="F659" s="74">
        <v>0.191</v>
      </c>
      <c r="G659" s="128">
        <f>IF(A659="COMPOSIÇÃO",VLOOKUP(C659,'SINAPI_COMPOSIÇÕES 062020'!A:D,4,FALSE),VLOOKUP(C659,'SINAPI_INSUMOS 062020'!A:D,4,FALSE))</f>
        <v>14.37</v>
      </c>
      <c r="H659" s="75">
        <f t="shared" si="49"/>
        <v>2.74</v>
      </c>
    </row>
    <row r="660" spans="1:8" ht="38.25" x14ac:dyDescent="0.25">
      <c r="A660" s="125" t="s">
        <v>400</v>
      </c>
      <c r="B660" s="115" t="s">
        <v>9</v>
      </c>
      <c r="C660" s="115">
        <v>142</v>
      </c>
      <c r="D660" s="127" t="str">
        <f>IF(A660="COMPOSIÇÃO",VLOOKUP(C660,'SINAPI_COMPOSIÇÕES 062020'!A:B,2,FALSE),VLOOKUP(C660,'SINAPI_INSUMOS 062020'!A:B,2,FALSE))</f>
        <v>SELANTE ELASTICO MONOCOMPONENTE A BASE DE POLIURETANO (PU) PARA JUNTAS DIVERSAS</v>
      </c>
      <c r="E660" s="126" t="str">
        <f>IF(A660="COMPOSIÇÃO",VLOOKUP(C660,'SINAPI_COMPOSIÇÕES 062020'!A:C,3,FALSE),VLOOKUP(C660,'SINAPI_INSUMOS 062020'!A:C,3,FALSE))</f>
        <v xml:space="preserve">310ML </v>
      </c>
      <c r="F660" s="74">
        <v>0.88290000000000002</v>
      </c>
      <c r="G660" s="128">
        <f>IF(A660="COMPOSIÇÃO",VLOOKUP(C660,'SINAPI_COMPOSIÇÕES 062020'!A:D,4,FALSE),VLOOKUP(C660,'SINAPI_INSUMOS 062020'!A:D,4,FALSE))</f>
        <v>24.17</v>
      </c>
      <c r="H660" s="75">
        <f t="shared" si="49"/>
        <v>21.33</v>
      </c>
    </row>
    <row r="661" spans="1:8" ht="51" x14ac:dyDescent="0.25">
      <c r="A661" s="125" t="s">
        <v>400</v>
      </c>
      <c r="B661" s="115" t="s">
        <v>9</v>
      </c>
      <c r="C661" s="115">
        <v>7568</v>
      </c>
      <c r="D661" s="127" t="str">
        <f>IF(A661="COMPOSIÇÃO",VLOOKUP(C661,'SINAPI_COMPOSIÇÕES 062020'!A:B,2,FALSE),VLOOKUP(C661,'SINAPI_INSUMOS 062020'!A:B,2,FALSE))</f>
        <v>BUCHA DE NYLON SEM ABA S10, COM PARAFUSO DE 6,10 X 65 MM EM ACO ZINCADO COM ROSCA SOBERBA, CABECA CHATA E FENDA PHILLIPS</v>
      </c>
      <c r="E661" s="126" t="str">
        <f>IF(A661="COMPOSIÇÃO",VLOOKUP(C661,'SINAPI_COMPOSIÇÕES 062020'!A:C,3,FALSE),VLOOKUP(C661,'SINAPI_INSUMOS 062020'!A:C,3,FALSE))</f>
        <v xml:space="preserve">UN    </v>
      </c>
      <c r="F661" s="74">
        <v>4.8166000000000002</v>
      </c>
      <c r="G661" s="128">
        <f>IF(A661="COMPOSIÇÃO",VLOOKUP(C661,'SINAPI_COMPOSIÇÕES 062020'!A:D,4,FALSE),VLOOKUP(C661,'SINAPI_INSUMOS 062020'!A:D,4,FALSE))</f>
        <v>0.43</v>
      </c>
      <c r="H661" s="75">
        <f t="shared" si="49"/>
        <v>2.0699999999999998</v>
      </c>
    </row>
    <row r="662" spans="1:8" ht="38.25" x14ac:dyDescent="0.25">
      <c r="A662" s="125" t="s">
        <v>400</v>
      </c>
      <c r="B662" s="115" t="s">
        <v>9</v>
      </c>
      <c r="C662" s="115">
        <v>36888</v>
      </c>
      <c r="D662" s="127" t="str">
        <f>IF(A662="COMPOSIÇÃO",VLOOKUP(C662,'SINAPI_COMPOSIÇÕES 062020'!A:B,2,FALSE),VLOOKUP(C662,'SINAPI_INSUMOS 062020'!A:B,2,FALSE))</f>
        <v>GUARNICAO/MOLDURA DE ACABAMENTO PARA ESQUADRIA DE ALUMINIO ANODIZADO NATURAL, PARA 1 FACE</v>
      </c>
      <c r="E662" s="126" t="str">
        <f>IF(A662="COMPOSIÇÃO",VLOOKUP(C662,'SINAPI_COMPOSIÇÕES 062020'!A:C,3,FALSE),VLOOKUP(C662,'SINAPI_INSUMOS 062020'!A:C,3,FALSE))</f>
        <v xml:space="preserve">M     </v>
      </c>
      <c r="F662" s="74">
        <v>6.8503999999999996</v>
      </c>
      <c r="G662" s="128">
        <f>IF(A662="COMPOSIÇÃO",VLOOKUP(C662,'SINAPI_COMPOSIÇÕES 062020'!A:D,4,FALSE),VLOOKUP(C662,'SINAPI_INSUMOS 062020'!A:D,4,FALSE))</f>
        <v>7.6</v>
      </c>
      <c r="H662" s="75">
        <f t="shared" si="49"/>
        <v>52.06</v>
      </c>
    </row>
    <row r="663" spans="1:8" ht="13.5" thickBot="1" x14ac:dyDescent="0.3">
      <c r="A663" s="267" t="str">
        <f>CONCATENATE("TOTAL DO ÍTEM - ",A654)</f>
        <v>TOTAL DO ÍTEM - MPMT-02559</v>
      </c>
      <c r="B663" s="268"/>
      <c r="C663" s="268"/>
      <c r="D663" s="268"/>
      <c r="E663" s="268"/>
      <c r="F663" s="268"/>
      <c r="G663" s="269"/>
      <c r="H663" s="188">
        <f>TRUNC(SUM(H658:H662),2)</f>
        <v>84.99</v>
      </c>
    </row>
    <row r="664" spans="1:8" ht="13.5" thickBot="1" x14ac:dyDescent="0.3">
      <c r="A664" s="302" t="s">
        <v>12141</v>
      </c>
      <c r="B664" s="303"/>
      <c r="C664" s="303"/>
      <c r="D664" s="303"/>
      <c r="E664" s="303"/>
      <c r="F664" s="303"/>
      <c r="G664" s="303"/>
      <c r="H664" s="304"/>
    </row>
    <row r="665" spans="1:8" ht="13.5" thickBot="1" x14ac:dyDescent="0.3"/>
    <row r="666" spans="1:8" ht="25.5" x14ac:dyDescent="0.25">
      <c r="A666" s="120" t="s">
        <v>90</v>
      </c>
      <c r="B666" s="286" t="s">
        <v>91</v>
      </c>
      <c r="C666" s="287"/>
      <c r="D666" s="287"/>
      <c r="E666" s="287"/>
      <c r="F666" s="287"/>
      <c r="G666" s="288"/>
      <c r="H666" s="121" t="s">
        <v>4</v>
      </c>
    </row>
    <row r="667" spans="1:8" ht="13.5" thickBot="1" x14ac:dyDescent="0.3">
      <c r="A667" s="113" t="s">
        <v>12184</v>
      </c>
      <c r="B667" s="289" t="s">
        <v>12142</v>
      </c>
      <c r="C667" s="290"/>
      <c r="D667" s="290"/>
      <c r="E667" s="290"/>
      <c r="F667" s="290"/>
      <c r="G667" s="291"/>
      <c r="H667" s="114" t="s">
        <v>4</v>
      </c>
    </row>
    <row r="668" spans="1:8" x14ac:dyDescent="0.25">
      <c r="A668" s="273" t="s">
        <v>13834</v>
      </c>
      <c r="B668" s="275" t="s">
        <v>92</v>
      </c>
      <c r="C668" s="276"/>
      <c r="D668" s="185" t="s">
        <v>12140</v>
      </c>
      <c r="E668" s="239" t="s">
        <v>93</v>
      </c>
      <c r="F668" s="186">
        <v>0</v>
      </c>
      <c r="G668" s="277" t="s">
        <v>12143</v>
      </c>
      <c r="H668" s="278"/>
    </row>
    <row r="669" spans="1:8" x14ac:dyDescent="0.25">
      <c r="A669" s="274"/>
      <c r="B669" s="281" t="s">
        <v>95</v>
      </c>
      <c r="C669" s="282"/>
      <c r="D669" s="187">
        <v>43039</v>
      </c>
      <c r="E669" s="240" t="s">
        <v>96</v>
      </c>
      <c r="F669" s="187">
        <v>43039</v>
      </c>
      <c r="G669" s="279"/>
      <c r="H669" s="280"/>
    </row>
    <row r="670" spans="1:8" x14ac:dyDescent="0.25">
      <c r="A670" s="122" t="s">
        <v>11885</v>
      </c>
      <c r="B670" s="123" t="s">
        <v>97</v>
      </c>
      <c r="C670" s="123" t="s">
        <v>98</v>
      </c>
      <c r="D670" s="123" t="s">
        <v>3</v>
      </c>
      <c r="E670" s="123" t="s">
        <v>4</v>
      </c>
      <c r="F670" s="123" t="s">
        <v>99</v>
      </c>
      <c r="G670" s="123" t="s">
        <v>100</v>
      </c>
      <c r="H670" s="124" t="s">
        <v>101</v>
      </c>
    </row>
    <row r="671" spans="1:8" ht="25.5" x14ac:dyDescent="0.25">
      <c r="A671" s="125" t="s">
        <v>398</v>
      </c>
      <c r="B671" s="115" t="s">
        <v>9</v>
      </c>
      <c r="C671" s="115">
        <v>88309</v>
      </c>
      <c r="D671" s="127" t="str">
        <f>IF(A671="COMPOSIÇÃO",VLOOKUP(C671,'SINAPI_COMPOSIÇÕES 062020'!A:B,2,FALSE),VLOOKUP(C671,'SINAPI_INSUMOS 062020'!A:B,2,FALSE))</f>
        <v>PEDREIRO COM ENCARGOS COMPLEMENTARES</v>
      </c>
      <c r="E671" s="126" t="str">
        <f>IF(A671="COMPOSIÇÃO",VLOOKUP(C671,'SINAPI_COMPOSIÇÕES 062020'!A:C,3,FALSE),VLOOKUP(C671,'SINAPI_INSUMOS 062020'!A:C,3,FALSE))</f>
        <v>H</v>
      </c>
      <c r="F671" s="220">
        <f>0.3826*(0.7*1.7)</f>
        <v>0.45529399999999998</v>
      </c>
      <c r="G671" s="128">
        <f>IF(A671="COMPOSIÇÃO",VLOOKUP(C671,'SINAPI_COMPOSIÇÕES 062020'!A:D,4,FALSE),VLOOKUP(C671,'SINAPI_INSUMOS 062020'!A:D,4,FALSE))</f>
        <v>17.760000000000002</v>
      </c>
      <c r="H671" s="75">
        <f t="shared" ref="H671:H678" si="50">TRUNC(G671*F671,2)</f>
        <v>8.08</v>
      </c>
    </row>
    <row r="672" spans="1:8" ht="25.5" x14ac:dyDescent="0.25">
      <c r="A672" s="125" t="s">
        <v>398</v>
      </c>
      <c r="B672" s="115" t="s">
        <v>9</v>
      </c>
      <c r="C672" s="115">
        <v>88316</v>
      </c>
      <c r="D672" s="127" t="str">
        <f>IF(A672="COMPOSIÇÃO",VLOOKUP(C672,'SINAPI_COMPOSIÇÕES 062020'!A:B,2,FALSE),VLOOKUP(C672,'SINAPI_INSUMOS 062020'!A:B,2,FALSE))</f>
        <v>SERVENTE COM ENCARGOS COMPLEMENTARES</v>
      </c>
      <c r="E672" s="126" t="str">
        <f>IF(A672="COMPOSIÇÃO",VLOOKUP(C672,'SINAPI_COMPOSIÇÕES 062020'!A:C,3,FALSE),VLOOKUP(C672,'SINAPI_INSUMOS 062020'!A:C,3,FALSE))</f>
        <v>H</v>
      </c>
      <c r="F672" s="74">
        <f>0.191*(0.7*1.7)</f>
        <v>0.22728999999999999</v>
      </c>
      <c r="G672" s="128">
        <f>IF(A672="COMPOSIÇÃO",VLOOKUP(C672,'SINAPI_COMPOSIÇÕES 062020'!A:D,4,FALSE),VLOOKUP(C672,'SINAPI_INSUMOS 062020'!A:D,4,FALSE))</f>
        <v>14.37</v>
      </c>
      <c r="H672" s="75">
        <f t="shared" si="50"/>
        <v>3.26</v>
      </c>
    </row>
    <row r="673" spans="1:8" ht="38.25" x14ac:dyDescent="0.25">
      <c r="A673" s="125" t="s">
        <v>400</v>
      </c>
      <c r="B673" s="115" t="s">
        <v>9</v>
      </c>
      <c r="C673" s="115">
        <v>142</v>
      </c>
      <c r="D673" s="127" t="str">
        <f>IF(A673="COMPOSIÇÃO",VLOOKUP(C673,'SINAPI_COMPOSIÇÕES 062020'!A:B,2,FALSE),VLOOKUP(C673,'SINAPI_INSUMOS 062020'!A:B,2,FALSE))</f>
        <v>SELANTE ELASTICO MONOCOMPONENTE A BASE DE POLIURETANO (PU) PARA JUNTAS DIVERSAS</v>
      </c>
      <c r="E673" s="126" t="str">
        <f>IF(A673="COMPOSIÇÃO",VLOOKUP(C673,'SINAPI_COMPOSIÇÕES 062020'!A:C,3,FALSE),VLOOKUP(C673,'SINAPI_INSUMOS 062020'!A:C,3,FALSE))</f>
        <v xml:space="preserve">310ML </v>
      </c>
      <c r="F673" s="74">
        <f>0.8829*(0.7*1.7)</f>
        <v>1.050651</v>
      </c>
      <c r="G673" s="128">
        <f>IF(A673="COMPOSIÇÃO",VLOOKUP(C673,'SINAPI_COMPOSIÇÕES 062020'!A:D,4,FALSE),VLOOKUP(C673,'SINAPI_INSUMOS 062020'!A:D,4,FALSE))</f>
        <v>24.17</v>
      </c>
      <c r="H673" s="75">
        <f t="shared" si="50"/>
        <v>25.39</v>
      </c>
    </row>
    <row r="674" spans="1:8" ht="51" x14ac:dyDescent="0.25">
      <c r="A674" s="125" t="s">
        <v>400</v>
      </c>
      <c r="B674" s="115" t="s">
        <v>9</v>
      </c>
      <c r="C674" s="115">
        <v>7568</v>
      </c>
      <c r="D674" s="127" t="str">
        <f>IF(A674="COMPOSIÇÃO",VLOOKUP(C674,'SINAPI_COMPOSIÇÕES 062020'!A:B,2,FALSE),VLOOKUP(C674,'SINAPI_INSUMOS 062020'!A:B,2,FALSE))</f>
        <v>BUCHA DE NYLON SEM ABA S10, COM PARAFUSO DE 6,10 X 65 MM EM ACO ZINCADO COM ROSCA SOBERBA, CABECA CHATA E FENDA PHILLIPS</v>
      </c>
      <c r="E674" s="126" t="str">
        <f>IF(A674="COMPOSIÇÃO",VLOOKUP(C674,'SINAPI_COMPOSIÇÕES 062020'!A:C,3,FALSE),VLOOKUP(C674,'SINAPI_INSUMOS 062020'!A:C,3,FALSE))</f>
        <v xml:space="preserve">UN    </v>
      </c>
      <c r="F674" s="74">
        <f>4.8166*(0.7*1.7)</f>
        <v>5.7317539999999996</v>
      </c>
      <c r="G674" s="128">
        <f>IF(A674="COMPOSIÇÃO",VLOOKUP(C674,'SINAPI_COMPOSIÇÕES 062020'!A:D,4,FALSE),VLOOKUP(C674,'SINAPI_INSUMOS 062020'!A:D,4,FALSE))</f>
        <v>0.43</v>
      </c>
      <c r="H674" s="75">
        <f t="shared" si="50"/>
        <v>2.46</v>
      </c>
    </row>
    <row r="675" spans="1:8" ht="51" x14ac:dyDescent="0.25">
      <c r="A675" s="125" t="s">
        <v>400</v>
      </c>
      <c r="B675" s="115" t="s">
        <v>9</v>
      </c>
      <c r="C675" s="115">
        <v>39025</v>
      </c>
      <c r="D675" s="127" t="str">
        <f>IF(A675="COMPOSIÇÃO",VLOOKUP(C675,'SINAPI_COMPOSIÇÕES 062020'!A:B,2,FALSE),VLOOKUP(C675,'SINAPI_INSUMOS 062020'!A:B,2,FALSE))</f>
        <v>PORTA DE ABRIR EM ALUMINIO TIPO VENEZIANA, ACABAMENTO ANODIZADO NATURAL, SEM GUARNICAO/ALIZAR/VISTA, 87 X 210 CM</v>
      </c>
      <c r="E675" s="126" t="str">
        <f>IF(A675="COMPOSIÇÃO",VLOOKUP(C675,'SINAPI_COMPOSIÇÕES 062020'!A:C,3,FALSE),VLOOKUP(C675,'SINAPI_INSUMOS 062020'!A:C,3,FALSE))</f>
        <v xml:space="preserve">UN    </v>
      </c>
      <c r="F675" s="74">
        <f>0.5473*(0.7*1.7)</f>
        <v>0.65128699999999995</v>
      </c>
      <c r="G675" s="128">
        <f>IF(A675="COMPOSIÇÃO",VLOOKUP(C675,'SINAPI_COMPOSIÇÕES 062020'!A:D,4,FALSE),VLOOKUP(C675,'SINAPI_INSUMOS 062020'!A:D,4,FALSE))</f>
        <v>935.99</v>
      </c>
      <c r="H675" s="75">
        <f t="shared" si="50"/>
        <v>609.59</v>
      </c>
    </row>
    <row r="676" spans="1:8" ht="38.25" x14ac:dyDescent="0.25">
      <c r="A676" s="125" t="s">
        <v>400</v>
      </c>
      <c r="B676" s="115" t="s">
        <v>9</v>
      </c>
      <c r="C676" s="115">
        <v>36888</v>
      </c>
      <c r="D676" s="127" t="str">
        <f>IF(A676="COMPOSIÇÃO",VLOOKUP(C676,'SINAPI_COMPOSIÇÕES 062020'!A:B,2,FALSE),VLOOKUP(C676,'SINAPI_INSUMOS 062020'!A:B,2,FALSE))</f>
        <v>GUARNICAO/MOLDURA DE ACABAMENTO PARA ESQUADRIA DE ALUMINIO ANODIZADO NATURAL, PARA 1 FACE</v>
      </c>
      <c r="E676" s="126" t="str">
        <f>IF(A676="COMPOSIÇÃO",VLOOKUP(C676,'SINAPI_COMPOSIÇÕES 062020'!A:C,3,FALSE),VLOOKUP(C676,'SINAPI_INSUMOS 062020'!A:C,3,FALSE))</f>
        <v xml:space="preserve">M     </v>
      </c>
      <c r="F676" s="74">
        <f>6.8504*(0.7*1.7)</f>
        <v>8.1519759999999994</v>
      </c>
      <c r="G676" s="128">
        <f>IF(A676="COMPOSIÇÃO",VLOOKUP(C676,'SINAPI_COMPOSIÇÕES 062020'!A:D,4,FALSE),VLOOKUP(C676,'SINAPI_INSUMOS 062020'!A:D,4,FALSE))</f>
        <v>7.6</v>
      </c>
      <c r="H676" s="75">
        <f t="shared" si="50"/>
        <v>61.95</v>
      </c>
    </row>
    <row r="677" spans="1:8" ht="38.25" x14ac:dyDescent="0.25">
      <c r="A677" s="125" t="s">
        <v>400</v>
      </c>
      <c r="B677" s="115" t="s">
        <v>9</v>
      </c>
      <c r="C677" s="115">
        <v>11581</v>
      </c>
      <c r="D677" s="127" t="str">
        <f>IF(A677="COMPOSIÇÃO",VLOOKUP(C677,'SINAPI_COMPOSIÇÕES 062020'!A:B,2,FALSE),VLOOKUP(C677,'SINAPI_INSUMOS 062020'!A:B,2,FALSE))</f>
        <v>TRILHO EM ALUMINIO "U", COM ABAULADO PARA ROLDANA DE PORTA DE CORRER, *40 X 40* MM</v>
      </c>
      <c r="E677" s="126" t="str">
        <f>IF(A677="COMPOSIÇÃO",VLOOKUP(C677,'SINAPI_COMPOSIÇÕES 062020'!A:C,3,FALSE),VLOOKUP(C677,'SINAPI_INSUMOS 062020'!A:C,3,FALSE))</f>
        <v xml:space="preserve">M     </v>
      </c>
      <c r="F677" s="74">
        <f>1.15*2</f>
        <v>2.2999999999999998</v>
      </c>
      <c r="G677" s="128">
        <f>IF(A677="COMPOSIÇÃO",VLOOKUP(C677,'SINAPI_COMPOSIÇÕES 062020'!A:D,4,FALSE),VLOOKUP(C677,'SINAPI_INSUMOS 062020'!A:D,4,FALSE))</f>
        <v>25.52</v>
      </c>
      <c r="H677" s="75">
        <f t="shared" si="50"/>
        <v>58.69</v>
      </c>
    </row>
    <row r="678" spans="1:8" ht="38.25" x14ac:dyDescent="0.25">
      <c r="A678" s="125" t="s">
        <v>400</v>
      </c>
      <c r="B678" s="115" t="s">
        <v>9</v>
      </c>
      <c r="C678" s="115">
        <v>11575</v>
      </c>
      <c r="D678" s="127" t="str">
        <f>IF(A678="COMPOSIÇÃO",VLOOKUP(C678,'SINAPI_COMPOSIÇÕES 062020'!A:B,2,FALSE),VLOOKUP(C678,'SINAPI_INSUMOS 062020'!A:B,2,FALSE))</f>
        <v>ROLDANA DUPLA, EM ZAMAC COM CHAPA DE LATAO, ROLAMENTOS EM ACO, PARA PORTA E JANELA DE CORRER</v>
      </c>
      <c r="E678" s="126" t="str">
        <f>IF(A678="COMPOSIÇÃO",VLOOKUP(C678,'SINAPI_COMPOSIÇÕES 062020'!A:C,3,FALSE),VLOOKUP(C678,'SINAPI_INSUMOS 062020'!A:C,3,FALSE))</f>
        <v xml:space="preserve">UN    </v>
      </c>
      <c r="F678" s="74">
        <v>4</v>
      </c>
      <c r="G678" s="128">
        <f>IF(A678="COMPOSIÇÃO",VLOOKUP(C678,'SINAPI_COMPOSIÇÕES 062020'!A:D,4,FALSE),VLOOKUP(C678,'SINAPI_INSUMOS 062020'!A:D,4,FALSE))</f>
        <v>31.21</v>
      </c>
      <c r="H678" s="75">
        <f t="shared" si="50"/>
        <v>124.84</v>
      </c>
    </row>
    <row r="679" spans="1:8" ht="13.5" thickBot="1" x14ac:dyDescent="0.3">
      <c r="A679" s="267" t="str">
        <f>CONCATENATE("TOTAL DO ÍTEM - ",A667)</f>
        <v>TOTAL DO ÍTEM - MPMT-02560</v>
      </c>
      <c r="B679" s="268"/>
      <c r="C679" s="268"/>
      <c r="D679" s="268"/>
      <c r="E679" s="268"/>
      <c r="F679" s="268"/>
      <c r="G679" s="269"/>
      <c r="H679" s="188">
        <f>TRUNC(SUM(H671:H678),2)</f>
        <v>894.26</v>
      </c>
    </row>
    <row r="680" spans="1:8" ht="13.5" thickBot="1" x14ac:dyDescent="0.3">
      <c r="A680" s="270" t="s">
        <v>12144</v>
      </c>
      <c r="B680" s="271"/>
      <c r="C680" s="271"/>
      <c r="D680" s="271"/>
      <c r="E680" s="271"/>
      <c r="F680" s="271"/>
      <c r="G680" s="271"/>
      <c r="H680" s="272"/>
    </row>
    <row r="681" spans="1:8" ht="13.5" thickBot="1" x14ac:dyDescent="0.3"/>
    <row r="682" spans="1:8" ht="25.5" x14ac:dyDescent="0.25">
      <c r="A682" s="120" t="s">
        <v>90</v>
      </c>
      <c r="B682" s="286" t="s">
        <v>91</v>
      </c>
      <c r="C682" s="287"/>
      <c r="D682" s="287"/>
      <c r="E682" s="287"/>
      <c r="F682" s="287"/>
      <c r="G682" s="288"/>
      <c r="H682" s="121" t="s">
        <v>4</v>
      </c>
    </row>
    <row r="683" spans="1:8" ht="13.5" thickBot="1" x14ac:dyDescent="0.3">
      <c r="A683" s="113" t="s">
        <v>12145</v>
      </c>
      <c r="B683" s="289" t="s">
        <v>12146</v>
      </c>
      <c r="C683" s="290"/>
      <c r="D683" s="290"/>
      <c r="E683" s="290"/>
      <c r="F683" s="290"/>
      <c r="G683" s="291"/>
      <c r="H683" s="114" t="s">
        <v>16</v>
      </c>
    </row>
    <row r="684" spans="1:8" x14ac:dyDescent="0.25">
      <c r="A684" s="273" t="s">
        <v>13834</v>
      </c>
      <c r="B684" s="275" t="s">
        <v>92</v>
      </c>
      <c r="C684" s="276"/>
      <c r="D684" s="185" t="s">
        <v>12147</v>
      </c>
      <c r="E684" s="239" t="s">
        <v>93</v>
      </c>
      <c r="F684" s="186">
        <v>0</v>
      </c>
      <c r="G684" s="277" t="s">
        <v>94</v>
      </c>
      <c r="H684" s="278"/>
    </row>
    <row r="685" spans="1:8" x14ac:dyDescent="0.25">
      <c r="A685" s="274"/>
      <c r="B685" s="281" t="s">
        <v>95</v>
      </c>
      <c r="C685" s="282"/>
      <c r="D685" s="187">
        <v>43661</v>
      </c>
      <c r="E685" s="240" t="s">
        <v>96</v>
      </c>
      <c r="F685" s="187">
        <v>43661</v>
      </c>
      <c r="G685" s="279"/>
      <c r="H685" s="280"/>
    </row>
    <row r="686" spans="1:8" x14ac:dyDescent="0.25">
      <c r="A686" s="122" t="s">
        <v>11885</v>
      </c>
      <c r="B686" s="123" t="s">
        <v>97</v>
      </c>
      <c r="C686" s="123" t="s">
        <v>98</v>
      </c>
      <c r="D686" s="123" t="s">
        <v>3</v>
      </c>
      <c r="E686" s="123" t="s">
        <v>4</v>
      </c>
      <c r="F686" s="123" t="s">
        <v>99</v>
      </c>
      <c r="G686" s="123" t="s">
        <v>100</v>
      </c>
      <c r="H686" s="124" t="s">
        <v>101</v>
      </c>
    </row>
    <row r="687" spans="1:8" ht="25.5" x14ac:dyDescent="0.25">
      <c r="A687" s="125" t="s">
        <v>398</v>
      </c>
      <c r="B687" s="115" t="s">
        <v>9</v>
      </c>
      <c r="C687" s="115">
        <v>88247</v>
      </c>
      <c r="D687" s="127" t="str">
        <f>IF(A687="COMPOSIÇÃO",VLOOKUP(C687,'SINAPI_COMPOSIÇÕES 062020'!A:B,2,FALSE),VLOOKUP(C687,'SINAPI_INSUMOS 062020'!A:B,2,FALSE))</f>
        <v>AUXILIAR DE ELETRICISTA COM ENCARGOS COMPLEMENTARES</v>
      </c>
      <c r="E687" s="126" t="str">
        <f>IF(A687="COMPOSIÇÃO",VLOOKUP(C687,'SINAPI_COMPOSIÇÕES 062020'!A:C,3,FALSE),VLOOKUP(C687,'SINAPI_INSUMOS 062020'!A:C,3,FALSE))</f>
        <v>H</v>
      </c>
      <c r="F687" s="74">
        <v>0.107</v>
      </c>
      <c r="G687" s="128">
        <f>IF(A687="COMPOSIÇÃO",VLOOKUP(C687,'SINAPI_COMPOSIÇÕES 062020'!A:D,4,FALSE),VLOOKUP(C687,'SINAPI_INSUMOS 062020'!A:D,4,FALSE))</f>
        <v>14.33</v>
      </c>
      <c r="H687" s="75">
        <f t="shared" ref="H687:H689" si="51">TRUNC(G687*F687,2)</f>
        <v>1.53</v>
      </c>
    </row>
    <row r="688" spans="1:8" ht="25.5" x14ac:dyDescent="0.25">
      <c r="A688" s="125" t="s">
        <v>398</v>
      </c>
      <c r="B688" s="115" t="s">
        <v>9</v>
      </c>
      <c r="C688" s="115">
        <v>88264</v>
      </c>
      <c r="D688" s="127" t="str">
        <f>IF(A688="COMPOSIÇÃO",VLOOKUP(C688,'SINAPI_COMPOSIÇÕES 062020'!A:B,2,FALSE),VLOOKUP(C688,'SINAPI_INSUMOS 062020'!A:B,2,FALSE))</f>
        <v>ELETRICISTA COM ENCARGOS COMPLEMENTARES</v>
      </c>
      <c r="E688" s="126" t="str">
        <f>IF(A688="COMPOSIÇÃO",VLOOKUP(C688,'SINAPI_COMPOSIÇÕES 062020'!A:C,3,FALSE),VLOOKUP(C688,'SINAPI_INSUMOS 062020'!A:C,3,FALSE))</f>
        <v>H</v>
      </c>
      <c r="F688" s="74">
        <v>0.107</v>
      </c>
      <c r="G688" s="128">
        <f>IF(A688="COMPOSIÇÃO",VLOOKUP(C688,'SINAPI_COMPOSIÇÕES 062020'!A:D,4,FALSE),VLOOKUP(C688,'SINAPI_INSUMOS 062020'!A:D,4,FALSE))</f>
        <v>18.38</v>
      </c>
      <c r="H688" s="75">
        <f t="shared" si="51"/>
        <v>1.96</v>
      </c>
    </row>
    <row r="689" spans="1:8" ht="25.5" x14ac:dyDescent="0.25">
      <c r="A689" s="125" t="s">
        <v>400</v>
      </c>
      <c r="B689" s="115" t="s">
        <v>9</v>
      </c>
      <c r="C689" s="115">
        <v>2683</v>
      </c>
      <c r="D689" s="127" t="str">
        <f>IF(A689="COMPOSIÇÃO",VLOOKUP(C689,'SINAPI_COMPOSIÇÕES 062020'!A:B,2,FALSE),VLOOKUP(C689,'SINAPI_INSUMOS 062020'!A:B,2,FALSE))</f>
        <v>ELETRODUTO DE PVC RIGIDO ROSCAVEL DE 4 ", SEM LUVA</v>
      </c>
      <c r="E689" s="126" t="str">
        <f>IF(A689="COMPOSIÇÃO",VLOOKUP(C689,'SINAPI_COMPOSIÇÕES 062020'!A:C,3,FALSE),VLOOKUP(C689,'SINAPI_INSUMOS 062020'!A:C,3,FALSE))</f>
        <v xml:space="preserve">M     </v>
      </c>
      <c r="F689" s="74">
        <v>1.1000000000000001</v>
      </c>
      <c r="G689" s="128">
        <f>IF(A689="COMPOSIÇÃO",VLOOKUP(C689,'SINAPI_COMPOSIÇÕES 062020'!A:D,4,FALSE),VLOOKUP(C689,'SINAPI_INSUMOS 062020'!A:D,4,FALSE))</f>
        <v>28.84</v>
      </c>
      <c r="H689" s="75">
        <f t="shared" si="51"/>
        <v>31.72</v>
      </c>
    </row>
    <row r="690" spans="1:8" ht="13.5" thickBot="1" x14ac:dyDescent="0.3">
      <c r="A690" s="267" t="str">
        <f>CONCATENATE("TOTAL DO ÍTEM - ",A683)</f>
        <v>TOTAL DO ÍTEM - MPMT-03391</v>
      </c>
      <c r="B690" s="268"/>
      <c r="C690" s="268"/>
      <c r="D690" s="268"/>
      <c r="E690" s="268"/>
      <c r="F690" s="268"/>
      <c r="G690" s="269"/>
      <c r="H690" s="188">
        <f>TRUNC(SUM(H687:H689),2)</f>
        <v>35.21</v>
      </c>
    </row>
    <row r="691" spans="1:8" ht="13.5" thickBot="1" x14ac:dyDescent="0.3">
      <c r="A691" s="283" t="s">
        <v>12148</v>
      </c>
      <c r="B691" s="284"/>
      <c r="C691" s="284"/>
      <c r="D691" s="284"/>
      <c r="E691" s="284"/>
      <c r="F691" s="284"/>
      <c r="G691" s="284"/>
      <c r="H691" s="285"/>
    </row>
    <row r="692" spans="1:8" ht="13.5" thickBot="1" x14ac:dyDescent="0.3"/>
    <row r="693" spans="1:8" ht="25.5" x14ac:dyDescent="0.25">
      <c r="A693" s="120" t="s">
        <v>90</v>
      </c>
      <c r="B693" s="286" t="s">
        <v>91</v>
      </c>
      <c r="C693" s="287"/>
      <c r="D693" s="287"/>
      <c r="E693" s="287"/>
      <c r="F693" s="287"/>
      <c r="G693" s="288"/>
      <c r="H693" s="121" t="s">
        <v>4</v>
      </c>
    </row>
    <row r="694" spans="1:8" ht="13.5" thickBot="1" x14ac:dyDescent="0.3">
      <c r="A694" s="113" t="s">
        <v>12149</v>
      </c>
      <c r="B694" s="289" t="s">
        <v>12150</v>
      </c>
      <c r="C694" s="290"/>
      <c r="D694" s="290"/>
      <c r="E694" s="290"/>
      <c r="F694" s="290"/>
      <c r="G694" s="291"/>
      <c r="H694" s="114" t="s">
        <v>16</v>
      </c>
    </row>
    <row r="695" spans="1:8" x14ac:dyDescent="0.25">
      <c r="A695" s="273" t="s">
        <v>13834</v>
      </c>
      <c r="B695" s="275" t="s">
        <v>92</v>
      </c>
      <c r="C695" s="276"/>
      <c r="D695" s="185" t="s">
        <v>12151</v>
      </c>
      <c r="E695" s="239" t="s">
        <v>93</v>
      </c>
      <c r="F695" s="193">
        <v>0</v>
      </c>
      <c r="G695" s="277" t="s">
        <v>94</v>
      </c>
      <c r="H695" s="278"/>
    </row>
    <row r="696" spans="1:8" x14ac:dyDescent="0.25">
      <c r="A696" s="274"/>
      <c r="B696" s="281" t="s">
        <v>95</v>
      </c>
      <c r="C696" s="282"/>
      <c r="D696" s="187">
        <v>43412</v>
      </c>
      <c r="E696" s="240" t="s">
        <v>96</v>
      </c>
      <c r="F696" s="187">
        <v>43412</v>
      </c>
      <c r="G696" s="279"/>
      <c r="H696" s="280"/>
    </row>
    <row r="697" spans="1:8" x14ac:dyDescent="0.25">
      <c r="A697" s="122" t="s">
        <v>11885</v>
      </c>
      <c r="B697" s="123" t="s">
        <v>97</v>
      </c>
      <c r="C697" s="123" t="s">
        <v>98</v>
      </c>
      <c r="D697" s="123" t="s">
        <v>3</v>
      </c>
      <c r="E697" s="123" t="s">
        <v>4</v>
      </c>
      <c r="F697" s="123" t="s">
        <v>99</v>
      </c>
      <c r="G697" s="123" t="s">
        <v>100</v>
      </c>
      <c r="H697" s="124" t="s">
        <v>101</v>
      </c>
    </row>
    <row r="698" spans="1:8" ht="25.5" x14ac:dyDescent="0.25">
      <c r="A698" s="125" t="s">
        <v>398</v>
      </c>
      <c r="B698" s="115" t="s">
        <v>9</v>
      </c>
      <c r="C698" s="115">
        <v>88247</v>
      </c>
      <c r="D698" s="127" t="str">
        <f>IF(A698="COMPOSIÇÃO",VLOOKUP(C698,'SINAPI_COMPOSIÇÕES 062020'!A:B,2,FALSE),VLOOKUP(C698,'SINAPI_INSUMOS 062020'!A:B,2,FALSE))</f>
        <v>AUXILIAR DE ELETRICISTA COM ENCARGOS COMPLEMENTARES</v>
      </c>
      <c r="E698" s="126" t="str">
        <f>IF(A698="COMPOSIÇÃO",VLOOKUP(C698,'SINAPI_COMPOSIÇÕES 062020'!A:C,3,FALSE),VLOOKUP(C698,'SINAPI_INSUMOS 062020'!A:C,3,FALSE))</f>
        <v>H</v>
      </c>
      <c r="F698" s="74">
        <v>8.6999999999999994E-2</v>
      </c>
      <c r="G698" s="128">
        <f>IF(A698="COMPOSIÇÃO",VLOOKUP(C698,'SINAPI_COMPOSIÇÕES 062020'!A:D,4,FALSE),VLOOKUP(C698,'SINAPI_INSUMOS 062020'!A:D,4,FALSE))</f>
        <v>14.33</v>
      </c>
      <c r="H698" s="75">
        <f t="shared" ref="H698:H701" si="52">TRUNC(G698*F698,2)</f>
        <v>1.24</v>
      </c>
    </row>
    <row r="699" spans="1:8" ht="25.5" x14ac:dyDescent="0.25">
      <c r="A699" s="125" t="s">
        <v>398</v>
      </c>
      <c r="B699" s="115" t="s">
        <v>9</v>
      </c>
      <c r="C699" s="115">
        <v>88264</v>
      </c>
      <c r="D699" s="127" t="str">
        <f>IF(A699="COMPOSIÇÃO",VLOOKUP(C699,'SINAPI_COMPOSIÇÕES 062020'!A:B,2,FALSE),VLOOKUP(C699,'SINAPI_INSUMOS 062020'!A:B,2,FALSE))</f>
        <v>ELETRICISTA COM ENCARGOS COMPLEMENTARES</v>
      </c>
      <c r="E699" s="126" t="str">
        <f>IF(A699="COMPOSIÇÃO",VLOOKUP(C699,'SINAPI_COMPOSIÇÕES 062020'!A:C,3,FALSE),VLOOKUP(C699,'SINAPI_INSUMOS 062020'!A:C,3,FALSE))</f>
        <v>H</v>
      </c>
      <c r="F699" s="74">
        <v>8.6999999999999994E-2</v>
      </c>
      <c r="G699" s="128">
        <f>IF(A699="COMPOSIÇÃO",VLOOKUP(C699,'SINAPI_COMPOSIÇÕES 062020'!A:D,4,FALSE),VLOOKUP(C699,'SINAPI_INSUMOS 062020'!A:D,4,FALSE))</f>
        <v>18.38</v>
      </c>
      <c r="H699" s="75">
        <f t="shared" si="52"/>
        <v>1.59</v>
      </c>
    </row>
    <row r="700" spans="1:8" ht="25.5" x14ac:dyDescent="0.25">
      <c r="A700" s="125" t="s">
        <v>400</v>
      </c>
      <c r="B700" s="115" t="s">
        <v>9</v>
      </c>
      <c r="C700" s="115">
        <v>344</v>
      </c>
      <c r="D700" s="127" t="str">
        <f>IF(A700="COMPOSIÇÃO",VLOOKUP(C700,'SINAPI_COMPOSIÇÕES 062020'!A:B,2,FALSE),VLOOKUP(C700,'SINAPI_INSUMOS 062020'!A:B,2,FALSE))</f>
        <v>ARAME GALVANIZADO 16 BWG, D = 1,65MM (0,0166 KG/M)</v>
      </c>
      <c r="E700" s="126" t="str">
        <f>IF(A700="COMPOSIÇÃO",VLOOKUP(C700,'SINAPI_COMPOSIÇÕES 062020'!A:C,3,FALSE),VLOOKUP(C700,'SINAPI_INSUMOS 062020'!A:C,3,FALSE))</f>
        <v xml:space="preserve">KG    </v>
      </c>
      <c r="F700" s="74">
        <v>1.8E-3</v>
      </c>
      <c r="G700" s="128">
        <f>IF(A700="COMPOSIÇÃO",VLOOKUP(C700,'SINAPI_COMPOSIÇÕES 062020'!A:D,4,FALSE),VLOOKUP(C700,'SINAPI_INSUMOS 062020'!A:D,4,FALSE))</f>
        <v>17.350000000000001</v>
      </c>
      <c r="H700" s="75">
        <f t="shared" si="52"/>
        <v>0.03</v>
      </c>
    </row>
    <row r="701" spans="1:8" ht="51" x14ac:dyDescent="0.25">
      <c r="A701" s="125" t="s">
        <v>400</v>
      </c>
      <c r="B701" s="115" t="s">
        <v>9</v>
      </c>
      <c r="C701" s="115">
        <v>2446</v>
      </c>
      <c r="D701" s="127" t="str">
        <f>IF(A701="COMPOSIÇÃO",VLOOKUP(C701,'SINAPI_COMPOSIÇÕES 062020'!A:B,2,FALSE),VLOOKUP(C701,'SINAPI_INSUMOS 062020'!A:B,2,FALSE))</f>
        <v>ELETRODUTO/DUTO PEAD FLEXIVEL PAREDE SIMPLES, CORRUGACAO HELICOIDAL, COR PRETA, SEM ROSCA, DE 2",  PARA CABEAMENTO SUBTERRANEO (NBR 15715)</v>
      </c>
      <c r="E701" s="126" t="str">
        <f>IF(A701="COMPOSIÇÃO",VLOOKUP(C701,'SINAPI_COMPOSIÇÕES 062020'!A:C,3,FALSE),VLOOKUP(C701,'SINAPI_INSUMOS 062020'!A:C,3,FALSE))</f>
        <v xml:space="preserve">M     </v>
      </c>
      <c r="F701" s="74">
        <v>1.1000000000000001</v>
      </c>
      <c r="G701" s="128">
        <f>IF(A701="COMPOSIÇÃO",VLOOKUP(C701,'SINAPI_COMPOSIÇÕES 062020'!A:D,4,FALSE),VLOOKUP(C701,'SINAPI_INSUMOS 062020'!A:D,4,FALSE))</f>
        <v>5.21</v>
      </c>
      <c r="H701" s="75">
        <f t="shared" si="52"/>
        <v>5.73</v>
      </c>
    </row>
    <row r="702" spans="1:8" ht="13.5" thickBot="1" x14ac:dyDescent="0.3">
      <c r="A702" s="267" t="str">
        <f>CONCATENATE("TOTAL DO ÍTEM - ",A694)</f>
        <v>TOTAL DO ÍTEM - MPMT-03307</v>
      </c>
      <c r="B702" s="268"/>
      <c r="C702" s="268"/>
      <c r="D702" s="268"/>
      <c r="E702" s="268"/>
      <c r="F702" s="268"/>
      <c r="G702" s="269"/>
      <c r="H702" s="188">
        <f>TRUNC(SUM(H698:H701),2)</f>
        <v>8.59</v>
      </c>
    </row>
    <row r="703" spans="1:8" ht="13.5" thickBot="1" x14ac:dyDescent="0.3">
      <c r="A703" s="283" t="s">
        <v>12152</v>
      </c>
      <c r="B703" s="284"/>
      <c r="C703" s="284"/>
      <c r="D703" s="284"/>
      <c r="E703" s="284"/>
      <c r="F703" s="284"/>
      <c r="G703" s="284"/>
      <c r="H703" s="285"/>
    </row>
    <row r="704" spans="1:8" ht="13.5" thickBot="1" x14ac:dyDescent="0.3"/>
    <row r="705" spans="1:8" ht="25.5" x14ac:dyDescent="0.25">
      <c r="A705" s="120" t="s">
        <v>90</v>
      </c>
      <c r="B705" s="286" t="s">
        <v>91</v>
      </c>
      <c r="C705" s="287"/>
      <c r="D705" s="287"/>
      <c r="E705" s="287"/>
      <c r="F705" s="287"/>
      <c r="G705" s="288"/>
      <c r="H705" s="121" t="s">
        <v>4</v>
      </c>
    </row>
    <row r="706" spans="1:8" ht="13.5" thickBot="1" x14ac:dyDescent="0.3">
      <c r="A706" s="113" t="s">
        <v>12153</v>
      </c>
      <c r="B706" s="289" t="s">
        <v>12154</v>
      </c>
      <c r="C706" s="290"/>
      <c r="D706" s="290"/>
      <c r="E706" s="290"/>
      <c r="F706" s="290"/>
      <c r="G706" s="291"/>
      <c r="H706" s="114" t="s">
        <v>4</v>
      </c>
    </row>
    <row r="707" spans="1:8" x14ac:dyDescent="0.25">
      <c r="A707" s="273" t="s">
        <v>13834</v>
      </c>
      <c r="B707" s="275" t="s">
        <v>92</v>
      </c>
      <c r="C707" s="276"/>
      <c r="D707" s="185" t="s">
        <v>12155</v>
      </c>
      <c r="E707" s="239" t="s">
        <v>93</v>
      </c>
      <c r="F707" s="186">
        <v>0</v>
      </c>
      <c r="G707" s="277" t="s">
        <v>94</v>
      </c>
      <c r="H707" s="278"/>
    </row>
    <row r="708" spans="1:8" x14ac:dyDescent="0.25">
      <c r="A708" s="274"/>
      <c r="B708" s="281" t="s">
        <v>95</v>
      </c>
      <c r="C708" s="282"/>
      <c r="D708" s="187">
        <v>44027</v>
      </c>
      <c r="E708" s="240" t="s">
        <v>96</v>
      </c>
      <c r="F708" s="187">
        <v>44027</v>
      </c>
      <c r="G708" s="279"/>
      <c r="H708" s="280"/>
    </row>
    <row r="709" spans="1:8" x14ac:dyDescent="0.25">
      <c r="A709" s="122" t="s">
        <v>11885</v>
      </c>
      <c r="B709" s="123" t="s">
        <v>97</v>
      </c>
      <c r="C709" s="123" t="s">
        <v>98</v>
      </c>
      <c r="D709" s="123" t="s">
        <v>3</v>
      </c>
      <c r="E709" s="123" t="s">
        <v>4</v>
      </c>
      <c r="F709" s="123" t="s">
        <v>99</v>
      </c>
      <c r="G709" s="123" t="s">
        <v>100</v>
      </c>
      <c r="H709" s="124" t="s">
        <v>101</v>
      </c>
    </row>
    <row r="710" spans="1:8" ht="25.5" x14ac:dyDescent="0.25">
      <c r="A710" s="125" t="s">
        <v>398</v>
      </c>
      <c r="B710" s="115" t="s">
        <v>9</v>
      </c>
      <c r="C710" s="115">
        <v>88264</v>
      </c>
      <c r="D710" s="127" t="str">
        <f>IF(A710="COMPOSIÇÃO",VLOOKUP(C710,'SINAPI_COMPOSIÇÕES 062020'!A:B,2,FALSE),VLOOKUP(C710,'SINAPI_INSUMOS 062020'!A:B,2,FALSE))</f>
        <v>ELETRICISTA COM ENCARGOS COMPLEMENTARES</v>
      </c>
      <c r="E710" s="126" t="str">
        <f>IF(A710="COMPOSIÇÃO",VLOOKUP(C710,'SINAPI_COMPOSIÇÕES 062020'!A:C,3,FALSE),VLOOKUP(C710,'SINAPI_INSUMOS 062020'!A:C,3,FALSE))</f>
        <v>H</v>
      </c>
      <c r="F710" s="74">
        <v>0.247</v>
      </c>
      <c r="G710" s="128">
        <f>IF(A710="COMPOSIÇÃO",VLOOKUP(C710,'SINAPI_COMPOSIÇÕES 062020'!A:D,4,FALSE),VLOOKUP(C710,'SINAPI_INSUMOS 062020'!A:D,4,FALSE))</f>
        <v>18.38</v>
      </c>
      <c r="H710" s="75">
        <f t="shared" ref="H710:H712" si="53">TRUNC(G710*F710,2)</f>
        <v>4.53</v>
      </c>
    </row>
    <row r="711" spans="1:8" ht="25.5" x14ac:dyDescent="0.25">
      <c r="A711" s="125" t="s">
        <v>398</v>
      </c>
      <c r="B711" s="115" t="s">
        <v>9</v>
      </c>
      <c r="C711" s="115">
        <v>88247</v>
      </c>
      <c r="D711" s="127" t="str">
        <f>IF(A711="COMPOSIÇÃO",VLOOKUP(C711,'SINAPI_COMPOSIÇÕES 062020'!A:B,2,FALSE),VLOOKUP(C711,'SINAPI_INSUMOS 062020'!A:B,2,FALSE))</f>
        <v>AUXILIAR DE ELETRICISTA COM ENCARGOS COMPLEMENTARES</v>
      </c>
      <c r="E711" s="126" t="str">
        <f>IF(A711="COMPOSIÇÃO",VLOOKUP(C711,'SINAPI_COMPOSIÇÕES 062020'!A:C,3,FALSE),VLOOKUP(C711,'SINAPI_INSUMOS 062020'!A:C,3,FALSE))</f>
        <v>H</v>
      </c>
      <c r="F711" s="74">
        <v>0.247</v>
      </c>
      <c r="G711" s="128">
        <f>IF(A711="COMPOSIÇÃO",VLOOKUP(C711,'SINAPI_COMPOSIÇÕES 062020'!A:D,4,FALSE),VLOOKUP(C711,'SINAPI_INSUMOS 062020'!A:D,4,FALSE))</f>
        <v>14.33</v>
      </c>
      <c r="H711" s="75">
        <f t="shared" si="53"/>
        <v>3.53</v>
      </c>
    </row>
    <row r="712" spans="1:8" ht="38.25" x14ac:dyDescent="0.25">
      <c r="A712" s="125" t="s">
        <v>398</v>
      </c>
      <c r="B712" s="115" t="s">
        <v>9</v>
      </c>
      <c r="C712" s="115">
        <v>88629</v>
      </c>
      <c r="D712" s="127" t="str">
        <f>IF(A712="COMPOSIÇÃO",VLOOKUP(C712,'SINAPI_COMPOSIÇÕES 062020'!A:B,2,FALSE),VLOOKUP(C712,'SINAPI_INSUMOS 062020'!A:B,2,FALSE))</f>
        <v>ARGAMASSA TRAÇO 1:3 (EM VOLUME DE CIMENTO E AREIA MÉDIA ÚMIDA), PREPARO MANUAL. AF_08/2019</v>
      </c>
      <c r="E712" s="126" t="str">
        <f>IF(A712="COMPOSIÇÃO",VLOOKUP(C712,'SINAPI_COMPOSIÇÕES 062020'!A:C,3,FALSE),VLOOKUP(C712,'SINAPI_INSUMOS 062020'!A:C,3,FALSE))</f>
        <v>M3</v>
      </c>
      <c r="F712" s="74">
        <v>8.9999999999999998E-4</v>
      </c>
      <c r="G712" s="128">
        <f>IF(A712="COMPOSIÇÃO",VLOOKUP(C712,'SINAPI_COMPOSIÇÕES 062020'!A:D,4,FALSE),VLOOKUP(C712,'SINAPI_INSUMOS 062020'!A:D,4,FALSE))</f>
        <v>426.67</v>
      </c>
      <c r="H712" s="75">
        <f t="shared" si="53"/>
        <v>0.38</v>
      </c>
    </row>
    <row r="713" spans="1:8" x14ac:dyDescent="0.25">
      <c r="A713" s="125" t="s">
        <v>11958</v>
      </c>
      <c r="B713" s="115" t="s">
        <v>11959</v>
      </c>
      <c r="C713" s="115" t="s">
        <v>11960</v>
      </c>
      <c r="D713" s="194" t="str">
        <f>B717</f>
        <v>CAIXA PVC ESTANQUE, 4X2, EMBUTIR</v>
      </c>
      <c r="E713" s="115" t="str">
        <f>H717</f>
        <v>UND</v>
      </c>
      <c r="F713" s="74">
        <v>1</v>
      </c>
      <c r="G713" s="195">
        <f>H722</f>
        <v>63.7</v>
      </c>
      <c r="H713" s="75">
        <f>TRUNC(G713*F713,2)</f>
        <v>63.7</v>
      </c>
    </row>
    <row r="714" spans="1:8" ht="13.5" thickBot="1" x14ac:dyDescent="0.3">
      <c r="A714" s="267" t="str">
        <f>CONCATENATE("TOTAL DO ÍTEM - ",A706)</f>
        <v>TOTAL DO ÍTEM - MPMT-03436</v>
      </c>
      <c r="B714" s="268"/>
      <c r="C714" s="268"/>
      <c r="D714" s="268"/>
      <c r="E714" s="268"/>
      <c r="F714" s="268"/>
      <c r="G714" s="269"/>
      <c r="H714" s="188">
        <f>TRUNC(SUM(H710:H713),2)</f>
        <v>72.14</v>
      </c>
    </row>
    <row r="715" spans="1:8" ht="13.5" thickBot="1" x14ac:dyDescent="0.3">
      <c r="A715" s="299" t="s">
        <v>12156</v>
      </c>
      <c r="B715" s="300"/>
      <c r="C715" s="300"/>
      <c r="D715" s="300"/>
      <c r="E715" s="300"/>
      <c r="F715" s="300"/>
      <c r="G715" s="300"/>
      <c r="H715" s="301"/>
    </row>
    <row r="716" spans="1:8" x14ac:dyDescent="0.25">
      <c r="A716" s="196"/>
      <c r="B716" s="292" t="s">
        <v>11962</v>
      </c>
      <c r="C716" s="292"/>
      <c r="D716" s="292"/>
      <c r="E716" s="292"/>
      <c r="F716" s="292"/>
      <c r="G716" s="292"/>
      <c r="H716" s="197" t="s">
        <v>4</v>
      </c>
    </row>
    <row r="717" spans="1:8" ht="13.5" thickBot="1" x14ac:dyDescent="0.3">
      <c r="A717" s="215" t="s">
        <v>11960</v>
      </c>
      <c r="B717" s="308" t="s">
        <v>12157</v>
      </c>
      <c r="C717" s="308"/>
      <c r="D717" s="308"/>
      <c r="E717" s="308"/>
      <c r="F717" s="308"/>
      <c r="G717" s="308"/>
      <c r="H717" s="216" t="s">
        <v>4</v>
      </c>
    </row>
    <row r="718" spans="1:8" ht="25.5" x14ac:dyDescent="0.25">
      <c r="A718" s="213" t="s">
        <v>11965</v>
      </c>
      <c r="B718" s="241" t="s">
        <v>11966</v>
      </c>
      <c r="C718" s="241" t="s">
        <v>11967</v>
      </c>
      <c r="D718" s="241" t="s">
        <v>11968</v>
      </c>
      <c r="E718" s="294" t="s">
        <v>11969</v>
      </c>
      <c r="F718" s="294"/>
      <c r="G718" s="241" t="s">
        <v>4</v>
      </c>
      <c r="H718" s="214" t="s">
        <v>11970</v>
      </c>
    </row>
    <row r="719" spans="1:8" x14ac:dyDescent="0.25">
      <c r="A719" s="221">
        <v>44027</v>
      </c>
      <c r="B719" s="115" t="s">
        <v>11971</v>
      </c>
      <c r="C719" s="115" t="s">
        <v>12158</v>
      </c>
      <c r="D719" s="115" t="s">
        <v>12159</v>
      </c>
      <c r="E719" s="295" t="s">
        <v>12160</v>
      </c>
      <c r="F719" s="295"/>
      <c r="G719" s="115" t="s">
        <v>4</v>
      </c>
      <c r="H719" s="222">
        <f>(228.4+22.63)/4</f>
        <v>62.7575</v>
      </c>
    </row>
    <row r="720" spans="1:8" x14ac:dyDescent="0.25">
      <c r="A720" s="221">
        <v>44027</v>
      </c>
      <c r="B720" s="115" t="s">
        <v>11971</v>
      </c>
      <c r="C720" s="115" t="s">
        <v>12161</v>
      </c>
      <c r="D720" s="115" t="s">
        <v>12162</v>
      </c>
      <c r="E720" s="295" t="s">
        <v>12163</v>
      </c>
      <c r="F720" s="295"/>
      <c r="G720" s="115" t="s">
        <v>4</v>
      </c>
      <c r="H720" s="222">
        <f>256.86/4</f>
        <v>64.215000000000003</v>
      </c>
    </row>
    <row r="721" spans="1:8" ht="13.5" thickBot="1" x14ac:dyDescent="0.3">
      <c r="A721" s="221">
        <v>44027</v>
      </c>
      <c r="B721" s="115" t="s">
        <v>11971</v>
      </c>
      <c r="C721" s="115" t="s">
        <v>12164</v>
      </c>
      <c r="D721" s="115" t="s">
        <v>12165</v>
      </c>
      <c r="E721" s="295" t="s">
        <v>12166</v>
      </c>
      <c r="F721" s="295"/>
      <c r="G721" s="115" t="s">
        <v>4</v>
      </c>
      <c r="H721" s="222">
        <f>254.82/4</f>
        <v>63.704999999999998</v>
      </c>
    </row>
    <row r="722" spans="1:8" ht="13.5" thickBot="1" x14ac:dyDescent="0.3">
      <c r="A722" s="313" t="s">
        <v>11981</v>
      </c>
      <c r="B722" s="314"/>
      <c r="C722" s="314"/>
      <c r="D722" s="314"/>
      <c r="E722" s="314"/>
      <c r="F722" s="314"/>
      <c r="G722" s="315"/>
      <c r="H722" s="223">
        <f>TRUNC(MEDIAN(H719:H721),2)</f>
        <v>63.7</v>
      </c>
    </row>
    <row r="723" spans="1:8" ht="13.5" thickBot="1" x14ac:dyDescent="0.3"/>
    <row r="724" spans="1:8" ht="25.5" x14ac:dyDescent="0.25">
      <c r="A724" s="120" t="s">
        <v>90</v>
      </c>
      <c r="B724" s="286" t="s">
        <v>91</v>
      </c>
      <c r="C724" s="287"/>
      <c r="D724" s="287"/>
      <c r="E724" s="287"/>
      <c r="F724" s="287"/>
      <c r="G724" s="288"/>
      <c r="H724" s="121" t="s">
        <v>4</v>
      </c>
    </row>
    <row r="725" spans="1:8" ht="13.5" thickBot="1" x14ac:dyDescent="0.3">
      <c r="A725" s="113" t="s">
        <v>12167</v>
      </c>
      <c r="B725" s="289" t="s">
        <v>12168</v>
      </c>
      <c r="C725" s="290"/>
      <c r="D725" s="290"/>
      <c r="E725" s="290"/>
      <c r="F725" s="290"/>
      <c r="G725" s="291"/>
      <c r="H725" s="114" t="s">
        <v>4</v>
      </c>
    </row>
    <row r="726" spans="1:8" x14ac:dyDescent="0.25">
      <c r="A726" s="273" t="s">
        <v>13834</v>
      </c>
      <c r="B726" s="275" t="s">
        <v>92</v>
      </c>
      <c r="C726" s="276"/>
      <c r="D726" s="185" t="s">
        <v>12169</v>
      </c>
      <c r="E726" s="239" t="s">
        <v>93</v>
      </c>
      <c r="F726" s="186">
        <v>0</v>
      </c>
      <c r="G726" s="277" t="s">
        <v>12170</v>
      </c>
      <c r="H726" s="278"/>
    </row>
    <row r="727" spans="1:8" x14ac:dyDescent="0.25">
      <c r="A727" s="274"/>
      <c r="B727" s="281" t="s">
        <v>95</v>
      </c>
      <c r="C727" s="282"/>
      <c r="D727" s="187">
        <v>43012</v>
      </c>
      <c r="E727" s="240" t="s">
        <v>96</v>
      </c>
      <c r="F727" s="187">
        <v>43012</v>
      </c>
      <c r="G727" s="279"/>
      <c r="H727" s="280"/>
    </row>
    <row r="728" spans="1:8" x14ac:dyDescent="0.25">
      <c r="A728" s="122" t="s">
        <v>11885</v>
      </c>
      <c r="B728" s="123" t="s">
        <v>97</v>
      </c>
      <c r="C728" s="123" t="s">
        <v>98</v>
      </c>
      <c r="D728" s="123" t="s">
        <v>3</v>
      </c>
      <c r="E728" s="123" t="s">
        <v>4</v>
      </c>
      <c r="F728" s="123" t="s">
        <v>99</v>
      </c>
      <c r="G728" s="123" t="s">
        <v>100</v>
      </c>
      <c r="H728" s="124" t="s">
        <v>101</v>
      </c>
    </row>
    <row r="729" spans="1:8" ht="25.5" x14ac:dyDescent="0.25">
      <c r="A729" s="125" t="s">
        <v>398</v>
      </c>
      <c r="B729" s="115" t="s">
        <v>9</v>
      </c>
      <c r="C729" s="115">
        <v>88247</v>
      </c>
      <c r="D729" s="127" t="str">
        <f>IF(A729="COMPOSIÇÃO",VLOOKUP(C729,'SINAPI_COMPOSIÇÕES 062020'!A:B,2,FALSE),VLOOKUP(C729,'SINAPI_INSUMOS 062020'!A:B,2,FALSE))</f>
        <v>AUXILIAR DE ELETRICISTA COM ENCARGOS COMPLEMENTARES</v>
      </c>
      <c r="E729" s="126" t="str">
        <f>IF(A729="COMPOSIÇÃO",VLOOKUP(C729,'SINAPI_COMPOSIÇÕES 062020'!A:C,3,FALSE),VLOOKUP(C729,'SINAPI_INSUMOS 062020'!A:C,3,FALSE))</f>
        <v>H</v>
      </c>
      <c r="F729" s="74">
        <v>0.66800000000000004</v>
      </c>
      <c r="G729" s="128">
        <f>IF(A729="COMPOSIÇÃO",VLOOKUP(C729,'SINAPI_COMPOSIÇÕES 062020'!A:D,4,FALSE),VLOOKUP(C729,'SINAPI_INSUMOS 062020'!A:D,4,FALSE))</f>
        <v>14.33</v>
      </c>
      <c r="H729" s="75">
        <f t="shared" ref="H729:H732" si="54">TRUNC(G729*F729,2)</f>
        <v>9.57</v>
      </c>
    </row>
    <row r="730" spans="1:8" ht="25.5" x14ac:dyDescent="0.25">
      <c r="A730" s="125" t="s">
        <v>398</v>
      </c>
      <c r="B730" s="115" t="s">
        <v>9</v>
      </c>
      <c r="C730" s="115">
        <v>88264</v>
      </c>
      <c r="D730" s="127" t="str">
        <f>IF(A730="COMPOSIÇÃO",VLOOKUP(C730,'SINAPI_COMPOSIÇÕES 062020'!A:B,2,FALSE),VLOOKUP(C730,'SINAPI_INSUMOS 062020'!A:B,2,FALSE))</f>
        <v>ELETRICISTA COM ENCARGOS COMPLEMENTARES</v>
      </c>
      <c r="E730" s="126" t="str">
        <f>IF(A730="COMPOSIÇÃO",VLOOKUP(C730,'SINAPI_COMPOSIÇÕES 062020'!A:C,3,FALSE),VLOOKUP(C730,'SINAPI_INSUMOS 062020'!A:C,3,FALSE))</f>
        <v>H</v>
      </c>
      <c r="F730" s="74">
        <v>0.66800000000000004</v>
      </c>
      <c r="G730" s="128">
        <f>IF(A730="COMPOSIÇÃO",VLOOKUP(C730,'SINAPI_COMPOSIÇÕES 062020'!A:D,4,FALSE),VLOOKUP(C730,'SINAPI_INSUMOS 062020'!A:D,4,FALSE))</f>
        <v>18.38</v>
      </c>
      <c r="H730" s="75">
        <f t="shared" si="54"/>
        <v>12.27</v>
      </c>
    </row>
    <row r="731" spans="1:8" ht="51" x14ac:dyDescent="0.25">
      <c r="A731" s="125" t="s">
        <v>400</v>
      </c>
      <c r="B731" s="115" t="s">
        <v>9</v>
      </c>
      <c r="C731" s="115">
        <v>1581</v>
      </c>
      <c r="D731" s="127" t="str">
        <f>IF(A731="COMPOSIÇÃO",VLOOKUP(C731,'SINAPI_COMPOSIÇÕES 062020'!A:B,2,FALSE),VLOOKUP(C731,'SINAPI_INSUMOS 062020'!A:B,2,FALSE))</f>
        <v>TERMINAL A COMPRESSAO EM COBRE ESTANHADO PARA CABO 120 MM2, 1 FURO E 1 COMPRESSAO, PARA PARAFUSO DE FIXACAO M12</v>
      </c>
      <c r="E731" s="126" t="str">
        <f>IF(A731="COMPOSIÇÃO",VLOOKUP(C731,'SINAPI_COMPOSIÇÕES 062020'!A:C,3,FALSE),VLOOKUP(C731,'SINAPI_INSUMOS 062020'!A:C,3,FALSE))</f>
        <v xml:space="preserve">UN    </v>
      </c>
      <c r="F731" s="74">
        <v>3</v>
      </c>
      <c r="G731" s="128">
        <f>IF(A731="COMPOSIÇÃO",VLOOKUP(C731,'SINAPI_COMPOSIÇÕES 062020'!A:D,4,FALSE),VLOOKUP(C731,'SINAPI_INSUMOS 062020'!A:D,4,FALSE))</f>
        <v>8.11</v>
      </c>
      <c r="H731" s="75">
        <f t="shared" si="54"/>
        <v>24.33</v>
      </c>
    </row>
    <row r="732" spans="1:8" ht="25.5" x14ac:dyDescent="0.25">
      <c r="A732" s="125" t="s">
        <v>400</v>
      </c>
      <c r="B732" s="115" t="s">
        <v>9</v>
      </c>
      <c r="C732" s="115">
        <v>2377</v>
      </c>
      <c r="D732" s="127" t="str">
        <f>IF(A732="COMPOSIÇÃO",VLOOKUP(C732,'SINAPI_COMPOSIÇÕES 062020'!A:B,2,FALSE),VLOOKUP(C732,'SINAPI_INSUMOS 062020'!A:B,2,FALSE))</f>
        <v>DISJUNTOR TERMOMAGNETICO TRIPOLAR 200 A / 600 V, TIPO FXD / ICC - 35 KA</v>
      </c>
      <c r="E732" s="126" t="str">
        <f>IF(A732="COMPOSIÇÃO",VLOOKUP(C732,'SINAPI_COMPOSIÇÕES 062020'!A:C,3,FALSE),VLOOKUP(C732,'SINAPI_INSUMOS 062020'!A:C,3,FALSE))</f>
        <v xml:space="preserve">UN    </v>
      </c>
      <c r="F732" s="74">
        <v>1</v>
      </c>
      <c r="G732" s="128">
        <f>IF(A732="COMPOSIÇÃO",VLOOKUP(C732,'SINAPI_COMPOSIÇÕES 062020'!A:D,4,FALSE),VLOOKUP(C732,'SINAPI_INSUMOS 062020'!A:D,4,FALSE))</f>
        <v>478.44</v>
      </c>
      <c r="H732" s="75">
        <f t="shared" si="54"/>
        <v>478.44</v>
      </c>
    </row>
    <row r="733" spans="1:8" ht="13.5" thickBot="1" x14ac:dyDescent="0.3">
      <c r="A733" s="267" t="str">
        <f>CONCATENATE("TOTAL DO ÍTEM - ",A725)</f>
        <v>TOTAL DO ÍTEM - MPMT-03174</v>
      </c>
      <c r="B733" s="268"/>
      <c r="C733" s="268"/>
      <c r="D733" s="268"/>
      <c r="E733" s="268"/>
      <c r="F733" s="268"/>
      <c r="G733" s="269"/>
      <c r="H733" s="188">
        <f>TRUNC(SUM(H729:H732),2)</f>
        <v>524.61</v>
      </c>
    </row>
    <row r="734" spans="1:8" ht="13.5" thickBot="1" x14ac:dyDescent="0.3">
      <c r="A734" s="299" t="s">
        <v>12171</v>
      </c>
      <c r="B734" s="300"/>
      <c r="C734" s="300"/>
      <c r="D734" s="300"/>
      <c r="E734" s="300"/>
      <c r="F734" s="300"/>
      <c r="G734" s="300"/>
      <c r="H734" s="301"/>
    </row>
    <row r="735" spans="1:8" ht="13.5" thickBot="1" x14ac:dyDescent="0.3"/>
    <row r="736" spans="1:8" ht="25.5" x14ac:dyDescent="0.25">
      <c r="A736" s="120" t="s">
        <v>90</v>
      </c>
      <c r="B736" s="286" t="s">
        <v>91</v>
      </c>
      <c r="C736" s="287"/>
      <c r="D736" s="287"/>
      <c r="E736" s="287"/>
      <c r="F736" s="287"/>
      <c r="G736" s="288"/>
      <c r="H736" s="121" t="s">
        <v>4</v>
      </c>
    </row>
    <row r="737" spans="1:8" ht="13.5" thickBot="1" x14ac:dyDescent="0.3">
      <c r="A737" s="113" t="s">
        <v>12172</v>
      </c>
      <c r="B737" s="289" t="s">
        <v>12173</v>
      </c>
      <c r="C737" s="290"/>
      <c r="D737" s="290"/>
      <c r="E737" s="290"/>
      <c r="F737" s="290"/>
      <c r="G737" s="291"/>
      <c r="H737" s="114" t="s">
        <v>4</v>
      </c>
    </row>
    <row r="738" spans="1:8" x14ac:dyDescent="0.25">
      <c r="A738" s="273" t="s">
        <v>13834</v>
      </c>
      <c r="B738" s="275" t="s">
        <v>92</v>
      </c>
      <c r="C738" s="276"/>
      <c r="D738" s="185" t="s">
        <v>12169</v>
      </c>
      <c r="E738" s="239" t="s">
        <v>93</v>
      </c>
      <c r="F738" s="186">
        <v>0</v>
      </c>
      <c r="G738" s="277" t="s">
        <v>94</v>
      </c>
      <c r="H738" s="278"/>
    </row>
    <row r="739" spans="1:8" x14ac:dyDescent="0.25">
      <c r="A739" s="274"/>
      <c r="B739" s="281" t="s">
        <v>95</v>
      </c>
      <c r="C739" s="282"/>
      <c r="D739" s="187">
        <v>43389</v>
      </c>
      <c r="E739" s="240" t="s">
        <v>96</v>
      </c>
      <c r="F739" s="187">
        <v>43389</v>
      </c>
      <c r="G739" s="279"/>
      <c r="H739" s="280"/>
    </row>
    <row r="740" spans="1:8" x14ac:dyDescent="0.25">
      <c r="A740" s="122" t="s">
        <v>11885</v>
      </c>
      <c r="B740" s="123" t="s">
        <v>97</v>
      </c>
      <c r="C740" s="123" t="s">
        <v>98</v>
      </c>
      <c r="D740" s="123" t="s">
        <v>3</v>
      </c>
      <c r="E740" s="123" t="s">
        <v>4</v>
      </c>
      <c r="F740" s="123" t="s">
        <v>99</v>
      </c>
      <c r="G740" s="123" t="s">
        <v>100</v>
      </c>
      <c r="H740" s="124" t="s">
        <v>101</v>
      </c>
    </row>
    <row r="741" spans="1:8" ht="25.5" x14ac:dyDescent="0.25">
      <c r="A741" s="125" t="s">
        <v>398</v>
      </c>
      <c r="B741" s="115" t="s">
        <v>9</v>
      </c>
      <c r="C741" s="115">
        <v>88247</v>
      </c>
      <c r="D741" s="127" t="str">
        <f>IF(A741="COMPOSIÇÃO",VLOOKUP(C741,'SINAPI_COMPOSIÇÕES 062020'!A:B,2,FALSE),VLOOKUP(C741,'SINAPI_INSUMOS 062020'!A:B,2,FALSE))</f>
        <v>AUXILIAR DE ELETRICISTA COM ENCARGOS COMPLEMENTARES</v>
      </c>
      <c r="E741" s="126" t="str">
        <f>IF(A741="COMPOSIÇÃO",VLOOKUP(C741,'SINAPI_COMPOSIÇÕES 062020'!A:C,3,FALSE),VLOOKUP(C741,'SINAPI_INSUMOS 062020'!A:C,3,FALSE))</f>
        <v>H</v>
      </c>
      <c r="F741" s="74">
        <v>0.56799999999999995</v>
      </c>
      <c r="G741" s="128">
        <f>IF(A741="COMPOSIÇÃO",VLOOKUP(C741,'SINAPI_COMPOSIÇÕES 062020'!A:D,4,FALSE),VLOOKUP(C741,'SINAPI_INSUMOS 062020'!A:D,4,FALSE))</f>
        <v>14.33</v>
      </c>
      <c r="H741" s="75">
        <f t="shared" ref="H741:H743" si="55">TRUNC(G741*F741,2)</f>
        <v>8.1300000000000008</v>
      </c>
    </row>
    <row r="742" spans="1:8" ht="25.5" x14ac:dyDescent="0.25">
      <c r="A742" s="125" t="s">
        <v>398</v>
      </c>
      <c r="B742" s="115" t="s">
        <v>9</v>
      </c>
      <c r="C742" s="115">
        <v>88264</v>
      </c>
      <c r="D742" s="127" t="str">
        <f>IF(A742="COMPOSIÇÃO",VLOOKUP(C742,'SINAPI_COMPOSIÇÕES 062020'!A:B,2,FALSE),VLOOKUP(C742,'SINAPI_INSUMOS 062020'!A:B,2,FALSE))</f>
        <v>ELETRICISTA COM ENCARGOS COMPLEMENTARES</v>
      </c>
      <c r="E742" s="126" t="str">
        <f>IF(A742="COMPOSIÇÃO",VLOOKUP(C742,'SINAPI_COMPOSIÇÕES 062020'!A:C,3,FALSE),VLOOKUP(C742,'SINAPI_INSUMOS 062020'!A:C,3,FALSE))</f>
        <v>H</v>
      </c>
      <c r="F742" s="74">
        <v>0.56799999999999995</v>
      </c>
      <c r="G742" s="128">
        <f>IF(A742="COMPOSIÇÃO",VLOOKUP(C742,'SINAPI_COMPOSIÇÕES 062020'!A:D,4,FALSE),VLOOKUP(C742,'SINAPI_INSUMOS 062020'!A:D,4,FALSE))</f>
        <v>18.38</v>
      </c>
      <c r="H742" s="75">
        <f t="shared" si="55"/>
        <v>10.43</v>
      </c>
    </row>
    <row r="743" spans="1:8" ht="51" x14ac:dyDescent="0.25">
      <c r="A743" s="125" t="s">
        <v>400</v>
      </c>
      <c r="B743" s="115" t="s">
        <v>9</v>
      </c>
      <c r="C743" s="115">
        <v>1575</v>
      </c>
      <c r="D743" s="127" t="str">
        <f>IF(A743="COMPOSIÇÃO",VLOOKUP(C743,'SINAPI_COMPOSIÇÕES 062020'!A:B,2,FALSE),VLOOKUP(C743,'SINAPI_INSUMOS 062020'!A:B,2,FALSE))</f>
        <v>TERMINAL A COMPRESSAO EM COBRE ESTANHADO PARA CABO 16 MM2, 1 FURO E 1 COMPRESSAO, PARA PARAFUSO DE FIXACAO M6</v>
      </c>
      <c r="E743" s="126" t="str">
        <f>IF(A743="COMPOSIÇÃO",VLOOKUP(C743,'SINAPI_COMPOSIÇÕES 062020'!A:C,3,FALSE),VLOOKUP(C743,'SINAPI_INSUMOS 062020'!A:C,3,FALSE))</f>
        <v xml:space="preserve">UN    </v>
      </c>
      <c r="F743" s="74">
        <v>3</v>
      </c>
      <c r="G743" s="128">
        <f>IF(A743="COMPOSIÇÃO",VLOOKUP(C743,'SINAPI_COMPOSIÇÕES 062020'!A:D,4,FALSE),VLOOKUP(C743,'SINAPI_INSUMOS 062020'!A:D,4,FALSE))</f>
        <v>1.38</v>
      </c>
      <c r="H743" s="75">
        <f t="shared" si="55"/>
        <v>4.1399999999999997</v>
      </c>
    </row>
    <row r="744" spans="1:8" x14ac:dyDescent="0.25">
      <c r="A744" s="125" t="s">
        <v>11958</v>
      </c>
      <c r="B744" s="115" t="s">
        <v>11959</v>
      </c>
      <c r="C744" s="115" t="s">
        <v>11960</v>
      </c>
      <c r="D744" s="194" t="str">
        <f>B748</f>
        <v>DISJUNTOR TRIPOLAR, DIN, 80A</v>
      </c>
      <c r="E744" s="115" t="str">
        <f>H748</f>
        <v>UND</v>
      </c>
      <c r="F744" s="74">
        <v>1</v>
      </c>
      <c r="G744" s="195">
        <f>H753</f>
        <v>172.17</v>
      </c>
      <c r="H744" s="75">
        <f t="shared" ref="H744" si="56">TRUNC(G744*F744,2)</f>
        <v>172.17</v>
      </c>
    </row>
    <row r="745" spans="1:8" ht="13.5" thickBot="1" x14ac:dyDescent="0.3">
      <c r="A745" s="267" t="str">
        <f>CONCATENATE("TOTAL DO ÍTEM - ",A737)</f>
        <v>TOTAL DO ÍTEM - MPMT-03300</v>
      </c>
      <c r="B745" s="268"/>
      <c r="C745" s="268"/>
      <c r="D745" s="268"/>
      <c r="E745" s="268"/>
      <c r="F745" s="268"/>
      <c r="G745" s="269"/>
      <c r="H745" s="188">
        <f>TRUNC(SUM(H741:H744),2)</f>
        <v>194.87</v>
      </c>
    </row>
    <row r="746" spans="1:8" ht="13.5" thickBot="1" x14ac:dyDescent="0.3">
      <c r="A746" s="299" t="s">
        <v>12174</v>
      </c>
      <c r="B746" s="300"/>
      <c r="C746" s="300"/>
      <c r="D746" s="300"/>
      <c r="E746" s="300"/>
      <c r="F746" s="300"/>
      <c r="G746" s="300"/>
      <c r="H746" s="301"/>
    </row>
    <row r="747" spans="1:8" x14ac:dyDescent="0.25">
      <c r="A747" s="196"/>
      <c r="B747" s="292" t="s">
        <v>11962</v>
      </c>
      <c r="C747" s="292"/>
      <c r="D747" s="292"/>
      <c r="E747" s="292"/>
      <c r="F747" s="292"/>
      <c r="G747" s="292"/>
      <c r="H747" s="197" t="s">
        <v>11963</v>
      </c>
    </row>
    <row r="748" spans="1:8" ht="13.5" thickBot="1" x14ac:dyDescent="0.3">
      <c r="A748" s="215" t="s">
        <v>11960</v>
      </c>
      <c r="B748" s="308" t="s">
        <v>12175</v>
      </c>
      <c r="C748" s="308"/>
      <c r="D748" s="308"/>
      <c r="E748" s="308"/>
      <c r="F748" s="308"/>
      <c r="G748" s="308"/>
      <c r="H748" s="216" t="s">
        <v>4</v>
      </c>
    </row>
    <row r="749" spans="1:8" ht="25.5" x14ac:dyDescent="0.25">
      <c r="A749" s="213" t="s">
        <v>11965</v>
      </c>
      <c r="B749" s="241" t="s">
        <v>11966</v>
      </c>
      <c r="C749" s="241" t="s">
        <v>11967</v>
      </c>
      <c r="D749" s="241" t="s">
        <v>11968</v>
      </c>
      <c r="E749" s="294" t="s">
        <v>11969</v>
      </c>
      <c r="F749" s="294"/>
      <c r="G749" s="241" t="s">
        <v>4</v>
      </c>
      <c r="H749" s="214" t="s">
        <v>11970</v>
      </c>
    </row>
    <row r="750" spans="1:8" x14ac:dyDescent="0.25">
      <c r="A750" s="205">
        <v>44027</v>
      </c>
      <c r="B750" s="206" t="s">
        <v>11971</v>
      </c>
      <c r="C750" s="206" t="s">
        <v>11995</v>
      </c>
      <c r="D750" s="207" t="s">
        <v>11996</v>
      </c>
      <c r="E750" s="295" t="s">
        <v>11997</v>
      </c>
      <c r="F750" s="295"/>
      <c r="G750" s="115" t="s">
        <v>4</v>
      </c>
      <c r="H750" s="218">
        <f>1474.37/8</f>
        <v>184.29624999999999</v>
      </c>
    </row>
    <row r="751" spans="1:8" x14ac:dyDescent="0.25">
      <c r="A751" s="205">
        <v>44027</v>
      </c>
      <c r="B751" s="206" t="s">
        <v>11971</v>
      </c>
      <c r="C751" s="206" t="s">
        <v>12024</v>
      </c>
      <c r="D751" s="207" t="s">
        <v>12025</v>
      </c>
      <c r="E751" s="295" t="s">
        <v>12026</v>
      </c>
      <c r="F751" s="295"/>
      <c r="G751" s="115" t="s">
        <v>4</v>
      </c>
      <c r="H751" s="208">
        <f>1187.28/8</f>
        <v>148.41</v>
      </c>
    </row>
    <row r="752" spans="1:8" x14ac:dyDescent="0.25">
      <c r="A752" s="205">
        <v>44027</v>
      </c>
      <c r="B752" s="115" t="s">
        <v>11971</v>
      </c>
      <c r="C752" s="115" t="s">
        <v>12158</v>
      </c>
      <c r="D752" s="207" t="s">
        <v>12159</v>
      </c>
      <c r="E752" s="295" t="s">
        <v>12160</v>
      </c>
      <c r="F752" s="295"/>
      <c r="G752" s="115" t="s">
        <v>4</v>
      </c>
      <c r="H752" s="208">
        <f>1377.39/8</f>
        <v>172.17375000000001</v>
      </c>
    </row>
    <row r="753" spans="1:8" ht="13.5" thickBot="1" x14ac:dyDescent="0.3">
      <c r="A753" s="296" t="s">
        <v>11981</v>
      </c>
      <c r="B753" s="297"/>
      <c r="C753" s="297"/>
      <c r="D753" s="297"/>
      <c r="E753" s="297"/>
      <c r="F753" s="297"/>
      <c r="G753" s="298"/>
      <c r="H753" s="188">
        <f>TRUNC(MEDIAN(H750:H752),2)</f>
        <v>172.17</v>
      </c>
    </row>
    <row r="754" spans="1:8" ht="13.5" thickBot="1" x14ac:dyDescent="0.3"/>
    <row r="755" spans="1:8" ht="25.5" x14ac:dyDescent="0.25">
      <c r="A755" s="120" t="s">
        <v>90</v>
      </c>
      <c r="B755" s="286" t="s">
        <v>91</v>
      </c>
      <c r="C755" s="287"/>
      <c r="D755" s="287"/>
      <c r="E755" s="287"/>
      <c r="F755" s="287"/>
      <c r="G755" s="288"/>
      <c r="H755" s="121" t="s">
        <v>4</v>
      </c>
    </row>
    <row r="756" spans="1:8" ht="13.5" thickBot="1" x14ac:dyDescent="0.3">
      <c r="A756" s="113" t="s">
        <v>12176</v>
      </c>
      <c r="B756" s="289" t="s">
        <v>12177</v>
      </c>
      <c r="C756" s="290"/>
      <c r="D756" s="290"/>
      <c r="E756" s="290"/>
      <c r="F756" s="290"/>
      <c r="G756" s="291"/>
      <c r="H756" s="114" t="s">
        <v>4</v>
      </c>
    </row>
    <row r="757" spans="1:8" x14ac:dyDescent="0.25">
      <c r="A757" s="273" t="s">
        <v>13834</v>
      </c>
      <c r="B757" s="275" t="s">
        <v>92</v>
      </c>
      <c r="C757" s="276"/>
      <c r="D757" s="185" t="s">
        <v>12178</v>
      </c>
      <c r="E757" s="239" t="s">
        <v>93</v>
      </c>
      <c r="F757" s="186">
        <v>0</v>
      </c>
      <c r="G757" s="277" t="s">
        <v>94</v>
      </c>
      <c r="H757" s="278"/>
    </row>
    <row r="758" spans="1:8" x14ac:dyDescent="0.25">
      <c r="A758" s="274"/>
      <c r="B758" s="281" t="s">
        <v>95</v>
      </c>
      <c r="C758" s="282"/>
      <c r="D758" s="187">
        <v>43329</v>
      </c>
      <c r="E758" s="240" t="s">
        <v>96</v>
      </c>
      <c r="F758" s="187">
        <v>43329</v>
      </c>
      <c r="G758" s="279"/>
      <c r="H758" s="280"/>
    </row>
    <row r="759" spans="1:8" x14ac:dyDescent="0.25">
      <c r="A759" s="122" t="s">
        <v>11885</v>
      </c>
      <c r="B759" s="123" t="s">
        <v>97</v>
      </c>
      <c r="C759" s="123" t="s">
        <v>98</v>
      </c>
      <c r="D759" s="123" t="s">
        <v>3</v>
      </c>
      <c r="E759" s="123" t="s">
        <v>4</v>
      </c>
      <c r="F759" s="123" t="s">
        <v>99</v>
      </c>
      <c r="G759" s="123" t="s">
        <v>100</v>
      </c>
      <c r="H759" s="124" t="s">
        <v>101</v>
      </c>
    </row>
    <row r="760" spans="1:8" ht="25.5" x14ac:dyDescent="0.25">
      <c r="A760" s="125" t="s">
        <v>398</v>
      </c>
      <c r="B760" s="115" t="s">
        <v>9</v>
      </c>
      <c r="C760" s="115">
        <v>88247</v>
      </c>
      <c r="D760" s="127" t="str">
        <f>IF(A760="COMPOSIÇÃO",VLOOKUP(C760,'SINAPI_COMPOSIÇÕES 062020'!A:B,2,FALSE),VLOOKUP(C760,'SINAPI_INSUMOS 062020'!A:B,2,FALSE))</f>
        <v>AUXILIAR DE ELETRICISTA COM ENCARGOS COMPLEMENTARES</v>
      </c>
      <c r="E760" s="126" t="str">
        <f>IF(A760="COMPOSIÇÃO",VLOOKUP(C760,'SINAPI_COMPOSIÇÕES 062020'!A:C,3,FALSE),VLOOKUP(C760,'SINAPI_INSUMOS 062020'!A:C,3,FALSE))</f>
        <v>H</v>
      </c>
      <c r="F760" s="74">
        <v>4.8000000000000001E-2</v>
      </c>
      <c r="G760" s="128">
        <f>IF(A760="COMPOSIÇÃO",VLOOKUP(C760,'SINAPI_COMPOSIÇÕES 062020'!A:D,4,FALSE),VLOOKUP(C760,'SINAPI_INSUMOS 062020'!A:D,4,FALSE))</f>
        <v>14.33</v>
      </c>
      <c r="H760" s="75">
        <f t="shared" ref="H760:H763" si="57">TRUNC(G760*F760,2)</f>
        <v>0.68</v>
      </c>
    </row>
    <row r="761" spans="1:8" ht="25.5" x14ac:dyDescent="0.25">
      <c r="A761" s="125" t="s">
        <v>398</v>
      </c>
      <c r="B761" s="115" t="s">
        <v>9</v>
      </c>
      <c r="C761" s="115">
        <v>88264</v>
      </c>
      <c r="D761" s="127" t="str">
        <f>IF(A761="COMPOSIÇÃO",VLOOKUP(C761,'SINAPI_COMPOSIÇÕES 062020'!A:B,2,FALSE),VLOOKUP(C761,'SINAPI_INSUMOS 062020'!A:B,2,FALSE))</f>
        <v>ELETRICISTA COM ENCARGOS COMPLEMENTARES</v>
      </c>
      <c r="E761" s="126" t="str">
        <f>IF(A761="COMPOSIÇÃO",VLOOKUP(C761,'SINAPI_COMPOSIÇÕES 062020'!A:C,3,FALSE),VLOOKUP(C761,'SINAPI_INSUMOS 062020'!A:C,3,FALSE))</f>
        <v>H</v>
      </c>
      <c r="F761" s="74">
        <v>4.8000000000000001E-2</v>
      </c>
      <c r="G761" s="128">
        <f>IF(A761="COMPOSIÇÃO",VLOOKUP(C761,'SINAPI_COMPOSIÇÕES 062020'!A:D,4,FALSE),VLOOKUP(C761,'SINAPI_INSUMOS 062020'!A:D,4,FALSE))</f>
        <v>18.38</v>
      </c>
      <c r="H761" s="75">
        <f t="shared" si="57"/>
        <v>0.88</v>
      </c>
    </row>
    <row r="762" spans="1:8" ht="51" x14ac:dyDescent="0.25">
      <c r="A762" s="125" t="s">
        <v>400</v>
      </c>
      <c r="B762" s="115" t="s">
        <v>9</v>
      </c>
      <c r="C762" s="115">
        <v>1570</v>
      </c>
      <c r="D762" s="127" t="str">
        <f>IF(A762="COMPOSIÇÃO",VLOOKUP(C762,'SINAPI_COMPOSIÇÕES 062020'!A:B,2,FALSE),VLOOKUP(C762,'SINAPI_INSUMOS 062020'!A:B,2,FALSE))</f>
        <v>TERMINAL A COMPRESSAO EM COBRE ESTANHADO PARA CABO 2,5 MM2, 1 FURO E 1 COMPRESSAO, PARA PARAFUSO DE FIXACAO M5</v>
      </c>
      <c r="E762" s="126" t="str">
        <f>IF(A762="COMPOSIÇÃO",VLOOKUP(C762,'SINAPI_COMPOSIÇÕES 062020'!A:C,3,FALSE),VLOOKUP(C762,'SINAPI_INSUMOS 062020'!A:C,3,FALSE))</f>
        <v xml:space="preserve">UN    </v>
      </c>
      <c r="F762" s="74">
        <v>1</v>
      </c>
      <c r="G762" s="128">
        <f>IF(A762="COMPOSIÇÃO",VLOOKUP(C762,'SINAPI_COMPOSIÇÕES 062020'!A:D,4,FALSE),VLOOKUP(C762,'SINAPI_INSUMOS 062020'!A:D,4,FALSE))</f>
        <v>0.69</v>
      </c>
      <c r="H762" s="75">
        <f t="shared" si="57"/>
        <v>0.69</v>
      </c>
    </row>
    <row r="763" spans="1:8" ht="38.25" x14ac:dyDescent="0.25">
      <c r="A763" s="125" t="s">
        <v>400</v>
      </c>
      <c r="B763" s="115" t="s">
        <v>9</v>
      </c>
      <c r="C763" s="115">
        <v>39465</v>
      </c>
      <c r="D763" s="127" t="str">
        <f>IF(A763="COMPOSIÇÃO",VLOOKUP(C763,'SINAPI_COMPOSIÇÕES 062020'!A:B,2,FALSE),VLOOKUP(C763,'SINAPI_INSUMOS 062020'!A:B,2,FALSE))</f>
        <v>DISPOSITIVO DPS CLASSE II, 1 POLO, TENSAO MAXIMA DE 175 V, CORRENTE MAXIMA DE *20* KA (TIPO AC)</v>
      </c>
      <c r="E763" s="126" t="str">
        <f>IF(A763="COMPOSIÇÃO",VLOOKUP(C763,'SINAPI_COMPOSIÇÕES 062020'!A:C,3,FALSE),VLOOKUP(C763,'SINAPI_INSUMOS 062020'!A:C,3,FALSE))</f>
        <v xml:space="preserve">UN    </v>
      </c>
      <c r="F763" s="74">
        <v>1</v>
      </c>
      <c r="G763" s="128">
        <f>IF(A763="COMPOSIÇÃO",VLOOKUP(C763,'SINAPI_COMPOSIÇÕES 062020'!A:D,4,FALSE),VLOOKUP(C763,'SINAPI_INSUMOS 062020'!A:D,4,FALSE))</f>
        <v>58.7</v>
      </c>
      <c r="H763" s="75">
        <f t="shared" si="57"/>
        <v>58.7</v>
      </c>
    </row>
    <row r="764" spans="1:8" ht="13.5" thickBot="1" x14ac:dyDescent="0.3">
      <c r="A764" s="267" t="str">
        <f>CONCATENATE("TOTAL DO ÍTEM - ",A756)</f>
        <v>TOTAL DO ÍTEM - MPMT-03262</v>
      </c>
      <c r="B764" s="268"/>
      <c r="C764" s="268"/>
      <c r="D764" s="268"/>
      <c r="E764" s="268"/>
      <c r="F764" s="268"/>
      <c r="G764" s="269"/>
      <c r="H764" s="188">
        <f>TRUNC(SUM(H760:H763),2)</f>
        <v>60.95</v>
      </c>
    </row>
    <row r="765" spans="1:8" ht="13.5" thickBot="1" x14ac:dyDescent="0.3">
      <c r="A765" s="283" t="s">
        <v>12179</v>
      </c>
      <c r="B765" s="284"/>
      <c r="C765" s="284"/>
      <c r="D765" s="284"/>
      <c r="E765" s="284"/>
      <c r="F765" s="284"/>
      <c r="G765" s="284"/>
      <c r="H765" s="285"/>
    </row>
    <row r="766" spans="1:8" ht="13.5" thickBot="1" x14ac:dyDescent="0.3"/>
    <row r="767" spans="1:8" ht="25.5" x14ac:dyDescent="0.25">
      <c r="A767" s="120" t="s">
        <v>90</v>
      </c>
      <c r="B767" s="286" t="s">
        <v>91</v>
      </c>
      <c r="C767" s="287"/>
      <c r="D767" s="287"/>
      <c r="E767" s="287"/>
      <c r="F767" s="287"/>
      <c r="G767" s="288"/>
      <c r="H767" s="121" t="s">
        <v>4</v>
      </c>
    </row>
    <row r="768" spans="1:8" ht="13.5" thickBot="1" x14ac:dyDescent="0.3">
      <c r="A768" s="113" t="s">
        <v>12180</v>
      </c>
      <c r="B768" s="289" t="s">
        <v>12181</v>
      </c>
      <c r="C768" s="290"/>
      <c r="D768" s="290"/>
      <c r="E768" s="290"/>
      <c r="F768" s="290"/>
      <c r="G768" s="291"/>
      <c r="H768" s="114" t="s">
        <v>4</v>
      </c>
    </row>
    <row r="769" spans="1:8" x14ac:dyDescent="0.25">
      <c r="A769" s="273" t="s">
        <v>13834</v>
      </c>
      <c r="B769" s="275" t="s">
        <v>92</v>
      </c>
      <c r="C769" s="276"/>
      <c r="D769" s="185" t="s">
        <v>12182</v>
      </c>
      <c r="E769" s="239" t="s">
        <v>93</v>
      </c>
      <c r="F769" s="193" t="s">
        <v>11957</v>
      </c>
      <c r="G769" s="277" t="s">
        <v>94</v>
      </c>
      <c r="H769" s="278"/>
    </row>
    <row r="770" spans="1:8" x14ac:dyDescent="0.25">
      <c r="A770" s="274"/>
      <c r="B770" s="281" t="s">
        <v>95</v>
      </c>
      <c r="C770" s="282"/>
      <c r="D770" s="187">
        <v>42884</v>
      </c>
      <c r="E770" s="240" t="s">
        <v>96</v>
      </c>
      <c r="F770" s="187">
        <v>43230</v>
      </c>
      <c r="G770" s="279"/>
      <c r="H770" s="280"/>
    </row>
    <row r="771" spans="1:8" x14ac:dyDescent="0.25">
      <c r="A771" s="122" t="s">
        <v>11885</v>
      </c>
      <c r="B771" s="123" t="s">
        <v>97</v>
      </c>
      <c r="C771" s="123" t="s">
        <v>98</v>
      </c>
      <c r="D771" s="123" t="s">
        <v>3</v>
      </c>
      <c r="E771" s="123" t="s">
        <v>4</v>
      </c>
      <c r="F771" s="123" t="s">
        <v>99</v>
      </c>
      <c r="G771" s="123" t="s">
        <v>100</v>
      </c>
      <c r="H771" s="124" t="s">
        <v>101</v>
      </c>
    </row>
    <row r="772" spans="1:8" ht="25.5" x14ac:dyDescent="0.25">
      <c r="A772" s="125" t="s">
        <v>398</v>
      </c>
      <c r="B772" s="115" t="s">
        <v>9</v>
      </c>
      <c r="C772" s="115">
        <v>88264</v>
      </c>
      <c r="D772" s="127" t="str">
        <f>IF(A772="COMPOSIÇÃO",VLOOKUP(C772,'SINAPI_COMPOSIÇÕES 062020'!A:B,2,FALSE),VLOOKUP(C772,'SINAPI_INSUMOS 062020'!A:B,2,FALSE))</f>
        <v>ELETRICISTA COM ENCARGOS COMPLEMENTARES</v>
      </c>
      <c r="E772" s="126" t="str">
        <f>IF(A772="COMPOSIÇÃO",VLOOKUP(C772,'SINAPI_COMPOSIÇÕES 062020'!A:C,3,FALSE),VLOOKUP(C772,'SINAPI_INSUMOS 062020'!A:C,3,FALSE))</f>
        <v>H</v>
      </c>
      <c r="F772" s="74">
        <v>0.35</v>
      </c>
      <c r="G772" s="128">
        <f>IF(A772="COMPOSIÇÃO",VLOOKUP(C772,'SINAPI_COMPOSIÇÕES 062020'!A:D,4,FALSE),VLOOKUP(C772,'SINAPI_INSUMOS 062020'!A:D,4,FALSE))</f>
        <v>18.38</v>
      </c>
      <c r="H772" s="75">
        <f t="shared" ref="H772:H775" si="58">TRUNC(G772*F772,2)</f>
        <v>6.43</v>
      </c>
    </row>
    <row r="773" spans="1:8" ht="25.5" x14ac:dyDescent="0.25">
      <c r="A773" s="125" t="s">
        <v>398</v>
      </c>
      <c r="B773" s="115" t="s">
        <v>9</v>
      </c>
      <c r="C773" s="115">
        <v>88316</v>
      </c>
      <c r="D773" s="127" t="str">
        <f>IF(A773="COMPOSIÇÃO",VLOOKUP(C773,'SINAPI_COMPOSIÇÕES 062020'!A:B,2,FALSE),VLOOKUP(C773,'SINAPI_INSUMOS 062020'!A:B,2,FALSE))</f>
        <v>SERVENTE COM ENCARGOS COMPLEMENTARES</v>
      </c>
      <c r="E773" s="126" t="str">
        <f>IF(A773="COMPOSIÇÃO",VLOOKUP(C773,'SINAPI_COMPOSIÇÕES 062020'!A:C,3,FALSE),VLOOKUP(C773,'SINAPI_INSUMOS 062020'!A:C,3,FALSE))</f>
        <v>H</v>
      </c>
      <c r="F773" s="74">
        <v>0.35</v>
      </c>
      <c r="G773" s="128">
        <f>IF(A773="COMPOSIÇÃO",VLOOKUP(C773,'SINAPI_COMPOSIÇÕES 062020'!A:D,4,FALSE),VLOOKUP(C773,'SINAPI_INSUMOS 062020'!A:D,4,FALSE))</f>
        <v>14.37</v>
      </c>
      <c r="H773" s="75">
        <f t="shared" si="58"/>
        <v>5.0199999999999996</v>
      </c>
    </row>
    <row r="774" spans="1:8" ht="25.5" x14ac:dyDescent="0.25">
      <c r="A774" s="125" t="s">
        <v>400</v>
      </c>
      <c r="B774" s="115" t="s">
        <v>9</v>
      </c>
      <c r="C774" s="115">
        <v>2510</v>
      </c>
      <c r="D774" s="127" t="str">
        <f>IF(A774="COMPOSIÇÃO",VLOOKUP(C774,'SINAPI_COMPOSIÇÕES 062020'!A:B,2,FALSE),VLOOKUP(C774,'SINAPI_INSUMOS 062020'!A:B,2,FALSE))</f>
        <v>RELE FOTOELETRICO INTERNO E EXTERNO BIVOLT 1000 W, DE CONECTOR, SEM BASE</v>
      </c>
      <c r="E774" s="126" t="str">
        <f>IF(A774="COMPOSIÇÃO",VLOOKUP(C774,'SINAPI_COMPOSIÇÕES 062020'!A:C,3,FALSE),VLOOKUP(C774,'SINAPI_INSUMOS 062020'!A:C,3,FALSE))</f>
        <v xml:space="preserve">UN    </v>
      </c>
      <c r="F774" s="74">
        <v>1</v>
      </c>
      <c r="G774" s="128">
        <f>IF(A774="COMPOSIÇÃO",VLOOKUP(C774,'SINAPI_COMPOSIÇÕES 062020'!A:D,4,FALSE),VLOOKUP(C774,'SINAPI_INSUMOS 062020'!A:D,4,FALSE))</f>
        <v>17.170000000000002</v>
      </c>
      <c r="H774" s="75">
        <f t="shared" si="58"/>
        <v>17.170000000000002</v>
      </c>
    </row>
    <row r="775" spans="1:8" x14ac:dyDescent="0.25">
      <c r="A775" s="125" t="s">
        <v>400</v>
      </c>
      <c r="B775" s="115" t="s">
        <v>9</v>
      </c>
      <c r="C775" s="115">
        <v>39380</v>
      </c>
      <c r="D775" s="127" t="str">
        <f>IF(A775="COMPOSIÇÃO",VLOOKUP(C775,'SINAPI_COMPOSIÇÕES 062020'!A:B,2,FALSE),VLOOKUP(C775,'SINAPI_INSUMOS 062020'!A:B,2,FALSE))</f>
        <v>BASE PARA RELE COM SUPORTE METALICO</v>
      </c>
      <c r="E775" s="126" t="str">
        <f>IF(A775="COMPOSIÇÃO",VLOOKUP(C775,'SINAPI_COMPOSIÇÕES 062020'!A:C,3,FALSE),VLOOKUP(C775,'SINAPI_INSUMOS 062020'!A:C,3,FALSE))</f>
        <v xml:space="preserve">UN    </v>
      </c>
      <c r="F775" s="74">
        <v>1</v>
      </c>
      <c r="G775" s="128">
        <f>IF(A775="COMPOSIÇÃO",VLOOKUP(C775,'SINAPI_COMPOSIÇÕES 062020'!A:D,4,FALSE),VLOOKUP(C775,'SINAPI_INSUMOS 062020'!A:D,4,FALSE))</f>
        <v>9.82</v>
      </c>
      <c r="H775" s="75">
        <f t="shared" si="58"/>
        <v>9.82</v>
      </c>
    </row>
    <row r="776" spans="1:8" ht="13.5" thickBot="1" x14ac:dyDescent="0.3">
      <c r="A776" s="267" t="str">
        <f>CONCATENATE("TOTAL DO ÍTEM - ",A768)</f>
        <v>TOTAL DO ÍTEM - MPMT-03026</v>
      </c>
      <c r="B776" s="268"/>
      <c r="C776" s="268"/>
      <c r="D776" s="268"/>
      <c r="E776" s="268"/>
      <c r="F776" s="268"/>
      <c r="G776" s="269"/>
      <c r="H776" s="188">
        <f>TRUNC(SUM(H772:H775),2)</f>
        <v>38.44</v>
      </c>
    </row>
    <row r="777" spans="1:8" ht="13.5" thickBot="1" x14ac:dyDescent="0.3">
      <c r="A777" s="283" t="s">
        <v>12183</v>
      </c>
      <c r="B777" s="284"/>
      <c r="C777" s="284"/>
      <c r="D777" s="284"/>
      <c r="E777" s="284"/>
      <c r="F777" s="284"/>
      <c r="G777" s="284"/>
      <c r="H777" s="285"/>
    </row>
    <row r="778" spans="1:8" ht="13.5" thickBot="1" x14ac:dyDescent="0.3"/>
    <row r="779" spans="1:8" ht="25.5" x14ac:dyDescent="0.25">
      <c r="A779" s="120" t="s">
        <v>90</v>
      </c>
      <c r="B779" s="286" t="s">
        <v>91</v>
      </c>
      <c r="C779" s="287"/>
      <c r="D779" s="287"/>
      <c r="E779" s="287"/>
      <c r="F779" s="287"/>
      <c r="G779" s="288"/>
      <c r="H779" s="121" t="s">
        <v>4</v>
      </c>
    </row>
    <row r="780" spans="1:8" ht="13.5" thickBot="1" x14ac:dyDescent="0.3">
      <c r="A780" s="113" t="s">
        <v>12185</v>
      </c>
      <c r="B780" s="289" t="s">
        <v>12186</v>
      </c>
      <c r="C780" s="290"/>
      <c r="D780" s="290"/>
      <c r="E780" s="290"/>
      <c r="F780" s="290"/>
      <c r="G780" s="291"/>
      <c r="H780" s="114" t="s">
        <v>57</v>
      </c>
    </row>
    <row r="781" spans="1:8" x14ac:dyDescent="0.25">
      <c r="A781" s="273" t="s">
        <v>13834</v>
      </c>
      <c r="B781" s="309" t="s">
        <v>92</v>
      </c>
      <c r="C781" s="310"/>
      <c r="D781" s="224" t="s">
        <v>12187</v>
      </c>
      <c r="E781" s="243" t="s">
        <v>93</v>
      </c>
      <c r="F781" s="225">
        <v>0</v>
      </c>
      <c r="G781" s="311" t="s">
        <v>94</v>
      </c>
      <c r="H781" s="312"/>
    </row>
    <row r="782" spans="1:8" x14ac:dyDescent="0.25">
      <c r="A782" s="274"/>
      <c r="B782" s="281" t="s">
        <v>95</v>
      </c>
      <c r="C782" s="282"/>
      <c r="D782" s="187">
        <v>44027</v>
      </c>
      <c r="E782" s="240" t="s">
        <v>96</v>
      </c>
      <c r="F782" s="187">
        <v>44027</v>
      </c>
      <c r="G782" s="279"/>
      <c r="H782" s="280"/>
    </row>
    <row r="783" spans="1:8" x14ac:dyDescent="0.25">
      <c r="A783" s="122" t="s">
        <v>11885</v>
      </c>
      <c r="B783" s="226" t="s">
        <v>97</v>
      </c>
      <c r="C783" s="226" t="s">
        <v>98</v>
      </c>
      <c r="D783" s="226" t="s">
        <v>3</v>
      </c>
      <c r="E783" s="226" t="s">
        <v>4</v>
      </c>
      <c r="F783" s="226" t="s">
        <v>99</v>
      </c>
      <c r="G783" s="226" t="s">
        <v>100</v>
      </c>
      <c r="H783" s="227" t="s">
        <v>101</v>
      </c>
    </row>
    <row r="784" spans="1:8" ht="51" x14ac:dyDescent="0.25">
      <c r="A784" s="125" t="s">
        <v>398</v>
      </c>
      <c r="B784" s="115" t="s">
        <v>9</v>
      </c>
      <c r="C784" s="115">
        <v>92257</v>
      </c>
      <c r="D784" s="127" t="str">
        <f>IF(A784="COMPOSIÇÃO",VLOOKUP(C784,'SINAPI_COMPOSIÇÕES 062020'!A:B,2,FALSE),VLOOKUP(C784,'SINAPI_INSUMOS 062020'!A:B,2,FALSE))</f>
        <v>INSTALAÇÃO DE TESOURA (INTEIRA OU MEIA), EM AÇO, PARA VÃOS MAIORES OU IGUAIS A 8,0 M E MENORES QUE 10,0 M, INCLUSO IÇAMENTO. AF_07/2019</v>
      </c>
      <c r="E784" s="126" t="str">
        <f>IF(A784="COMPOSIÇÃO",VLOOKUP(C784,'SINAPI_COMPOSIÇÕES 062020'!A:C,3,FALSE),VLOOKUP(C784,'SINAPI_INSUMOS 062020'!A:C,3,FALSE))</f>
        <v>UN</v>
      </c>
      <c r="F784" s="74">
        <v>6.0000000000000001E-3</v>
      </c>
      <c r="G784" s="128">
        <f>IF(A784="COMPOSIÇÃO",VLOOKUP(C784,'SINAPI_COMPOSIÇÕES 062020'!A:D,4,FALSE),VLOOKUP(C784,'SINAPI_INSUMOS 062020'!A:D,4,FALSE))</f>
        <v>171.5</v>
      </c>
      <c r="H784" s="75">
        <f t="shared" ref="H784:H789" si="59">TRUNC(G784*F784,2)</f>
        <v>1.02</v>
      </c>
    </row>
    <row r="785" spans="1:8" ht="25.5" x14ac:dyDescent="0.25">
      <c r="A785" s="125" t="s">
        <v>398</v>
      </c>
      <c r="B785" s="115" t="s">
        <v>9</v>
      </c>
      <c r="C785" s="115">
        <v>88278</v>
      </c>
      <c r="D785" s="127" t="str">
        <f>IF(A785="COMPOSIÇÃO",VLOOKUP(C785,'SINAPI_COMPOSIÇÕES 062020'!A:B,2,FALSE),VLOOKUP(C785,'SINAPI_INSUMOS 062020'!A:B,2,FALSE))</f>
        <v>MONTADOR DE ESTRUTURA METÁLICA COM ENCARGOS COMPLEMENTARES</v>
      </c>
      <c r="E785" s="126" t="str">
        <f>IF(A785="COMPOSIÇÃO",VLOOKUP(C785,'SINAPI_COMPOSIÇÕES 062020'!A:C,3,FALSE),VLOOKUP(C785,'SINAPI_INSUMOS 062020'!A:C,3,FALSE))</f>
        <v>H</v>
      </c>
      <c r="F785" s="74">
        <v>1.9E-2</v>
      </c>
      <c r="G785" s="128">
        <f>IF(A785="COMPOSIÇÃO",VLOOKUP(C785,'SINAPI_COMPOSIÇÕES 062020'!A:D,4,FALSE),VLOOKUP(C785,'SINAPI_INSUMOS 062020'!A:D,4,FALSE))</f>
        <v>12.82</v>
      </c>
      <c r="H785" s="75">
        <f t="shared" si="59"/>
        <v>0.24</v>
      </c>
    </row>
    <row r="786" spans="1:8" ht="25.5" x14ac:dyDescent="0.25">
      <c r="A786" s="125" t="s">
        <v>398</v>
      </c>
      <c r="B786" s="115" t="s">
        <v>9</v>
      </c>
      <c r="C786" s="115">
        <v>88316</v>
      </c>
      <c r="D786" s="127" t="str">
        <f>IF(A786="COMPOSIÇÃO",VLOOKUP(C786,'SINAPI_COMPOSIÇÕES 062020'!A:B,2,FALSE),VLOOKUP(C786,'SINAPI_INSUMOS 062020'!A:B,2,FALSE))</f>
        <v>SERVENTE COM ENCARGOS COMPLEMENTARES</v>
      </c>
      <c r="E786" s="126" t="str">
        <f>IF(A786="COMPOSIÇÃO",VLOOKUP(C786,'SINAPI_COMPOSIÇÕES 062020'!A:C,3,FALSE),VLOOKUP(C786,'SINAPI_INSUMOS 062020'!A:C,3,FALSE))</f>
        <v>H</v>
      </c>
      <c r="F786" s="74">
        <v>4.0000000000000001E-3</v>
      </c>
      <c r="G786" s="128">
        <f>IF(A786="COMPOSIÇÃO",VLOOKUP(C786,'SINAPI_COMPOSIÇÕES 062020'!A:D,4,FALSE),VLOOKUP(C786,'SINAPI_INSUMOS 062020'!A:D,4,FALSE))</f>
        <v>14.37</v>
      </c>
      <c r="H786" s="75">
        <f t="shared" si="59"/>
        <v>0.05</v>
      </c>
    </row>
    <row r="787" spans="1:8" ht="25.5" x14ac:dyDescent="0.25">
      <c r="A787" s="125" t="s">
        <v>400</v>
      </c>
      <c r="B787" s="115" t="s">
        <v>9</v>
      </c>
      <c r="C787" s="115">
        <v>4777</v>
      </c>
      <c r="D787" s="127" t="str">
        <f>IF(A787="COMPOSIÇÃO",VLOOKUP(C787,'SINAPI_COMPOSIÇÕES 062020'!A:B,2,FALSE),VLOOKUP(C787,'SINAPI_INSUMOS 062020'!A:B,2,FALSE))</f>
        <v>CANTONEIRA ACO ABAS IGUAIS (QUALQUER BITOLA), ESPESSURA ENTRE 1/8" E 1/4"</v>
      </c>
      <c r="E787" s="126" t="str">
        <f>IF(A787="COMPOSIÇÃO",VLOOKUP(C787,'SINAPI_COMPOSIÇÕES 062020'!A:C,3,FALSE),VLOOKUP(C787,'SINAPI_INSUMOS 062020'!A:C,3,FALSE))</f>
        <v xml:space="preserve">KG    </v>
      </c>
      <c r="F787" s="74">
        <v>0.35699999999999998</v>
      </c>
      <c r="G787" s="128">
        <f>IF(A787="COMPOSIÇÃO",VLOOKUP(C787,'SINAPI_COMPOSIÇÕES 062020'!A:D,4,FALSE),VLOOKUP(C787,'SINAPI_INSUMOS 062020'!A:D,4,FALSE))</f>
        <v>4.83</v>
      </c>
      <c r="H787" s="75">
        <f t="shared" si="59"/>
        <v>1.72</v>
      </c>
    </row>
    <row r="788" spans="1:8" ht="25.5" x14ac:dyDescent="0.25">
      <c r="A788" s="125" t="s">
        <v>400</v>
      </c>
      <c r="B788" s="115" t="s">
        <v>9</v>
      </c>
      <c r="C788" s="115">
        <v>10997</v>
      </c>
      <c r="D788" s="127" t="str">
        <f>IF(A788="COMPOSIÇÃO",VLOOKUP(C788,'SINAPI_COMPOSIÇÕES 062020'!A:B,2,FALSE),VLOOKUP(C788,'SINAPI_INSUMOS 062020'!A:B,2,FALSE))</f>
        <v>ELETRODO REVESTIDO AWS - E7018, DIAMETRO IGUAL A 4,00 MM</v>
      </c>
      <c r="E788" s="126" t="str">
        <f>IF(A788="COMPOSIÇÃO",VLOOKUP(C788,'SINAPI_COMPOSIÇÕES 062020'!A:C,3,FALSE),VLOOKUP(C788,'SINAPI_INSUMOS 062020'!A:C,3,FALSE))</f>
        <v xml:space="preserve">KG    </v>
      </c>
      <c r="F788" s="74">
        <v>3.0000000000000001E-3</v>
      </c>
      <c r="G788" s="128">
        <f>IF(A788="COMPOSIÇÃO",VLOOKUP(C788,'SINAPI_COMPOSIÇÕES 062020'!A:D,4,FALSE),VLOOKUP(C788,'SINAPI_INSUMOS 062020'!A:D,4,FALSE))</f>
        <v>13.2</v>
      </c>
      <c r="H788" s="75">
        <f t="shared" si="59"/>
        <v>0.03</v>
      </c>
    </row>
    <row r="789" spans="1:8" ht="38.25" x14ac:dyDescent="0.25">
      <c r="A789" s="125" t="s">
        <v>400</v>
      </c>
      <c r="B789" s="115" t="s">
        <v>9</v>
      </c>
      <c r="C789" s="115">
        <v>40598</v>
      </c>
      <c r="D789" s="127" t="str">
        <f>IF(A789="COMPOSIÇÃO",VLOOKUP(C789,'SINAPI_COMPOSIÇÕES 062020'!A:B,2,FALSE),VLOOKUP(C789,'SINAPI_INSUMOS 062020'!A:B,2,FALSE))</f>
        <v>PERFIL UDC ("U" DOBRADO DE CHAPA) SIMPLES DE ACO LAMINADO, GALVANIZADO, ASTM A36, 127 X 50 MM, E= 3 MM</v>
      </c>
      <c r="E789" s="126" t="str">
        <f>IF(A789="COMPOSIÇÃO",VLOOKUP(C789,'SINAPI_COMPOSIÇÕES 062020'!A:C,3,FALSE),VLOOKUP(C789,'SINAPI_INSUMOS 062020'!A:C,3,FALSE))</f>
        <v xml:space="preserve">KG    </v>
      </c>
      <c r="F789" s="74">
        <v>0.64300000000000002</v>
      </c>
      <c r="G789" s="128">
        <f>IF(A789="COMPOSIÇÃO",VLOOKUP(C789,'SINAPI_COMPOSIÇÕES 062020'!A:D,4,FALSE),VLOOKUP(C789,'SINAPI_INSUMOS 062020'!A:D,4,FALSE))</f>
        <v>5.08</v>
      </c>
      <c r="H789" s="75">
        <f t="shared" si="59"/>
        <v>3.26</v>
      </c>
    </row>
    <row r="790" spans="1:8" ht="13.5" thickBot="1" x14ac:dyDescent="0.3">
      <c r="A790" s="267" t="str">
        <f>CONCATENATE("TOTAL DO ÍTEM - ",A780)</f>
        <v>TOTAL DO ÍTEM - MPMT-02561</v>
      </c>
      <c r="B790" s="268"/>
      <c r="C790" s="268"/>
      <c r="D790" s="268"/>
      <c r="E790" s="268"/>
      <c r="F790" s="268"/>
      <c r="G790" s="269"/>
      <c r="H790" s="188">
        <f>TRUNC(SUM(H784:H789),2)</f>
        <v>6.32</v>
      </c>
    </row>
    <row r="791" spans="1:8" ht="13.5" thickBot="1" x14ac:dyDescent="0.3">
      <c r="A791" s="283" t="s">
        <v>12188</v>
      </c>
      <c r="B791" s="284"/>
      <c r="C791" s="284"/>
      <c r="D791" s="284"/>
      <c r="E791" s="284"/>
      <c r="F791" s="284"/>
      <c r="G791" s="284"/>
      <c r="H791" s="285"/>
    </row>
    <row r="792" spans="1:8" ht="13.5" thickBot="1" x14ac:dyDescent="0.3"/>
    <row r="793" spans="1:8" ht="25.5" x14ac:dyDescent="0.25">
      <c r="A793" s="120" t="s">
        <v>90</v>
      </c>
      <c r="B793" s="286" t="s">
        <v>91</v>
      </c>
      <c r="C793" s="287"/>
      <c r="D793" s="287"/>
      <c r="E793" s="287"/>
      <c r="F793" s="287"/>
      <c r="G793" s="288"/>
      <c r="H793" s="121" t="s">
        <v>4</v>
      </c>
    </row>
    <row r="794" spans="1:8" ht="13.5" thickBot="1" x14ac:dyDescent="0.3">
      <c r="A794" s="113" t="s">
        <v>12189</v>
      </c>
      <c r="B794" s="289" t="s">
        <v>12190</v>
      </c>
      <c r="C794" s="290"/>
      <c r="D794" s="290"/>
      <c r="E794" s="290"/>
      <c r="F794" s="290"/>
      <c r="G794" s="291"/>
      <c r="H794" s="114" t="s">
        <v>8</v>
      </c>
    </row>
    <row r="795" spans="1:8" x14ac:dyDescent="0.25">
      <c r="A795" s="273" t="s">
        <v>13834</v>
      </c>
      <c r="B795" s="309" t="s">
        <v>92</v>
      </c>
      <c r="C795" s="310"/>
      <c r="D795" s="224" t="s">
        <v>12191</v>
      </c>
      <c r="E795" s="243" t="s">
        <v>93</v>
      </c>
      <c r="F795" s="225">
        <v>0</v>
      </c>
      <c r="G795" s="311" t="s">
        <v>94</v>
      </c>
      <c r="H795" s="312"/>
    </row>
    <row r="796" spans="1:8" x14ac:dyDescent="0.25">
      <c r="A796" s="274"/>
      <c r="B796" s="281" t="s">
        <v>95</v>
      </c>
      <c r="C796" s="282"/>
      <c r="D796" s="187">
        <v>44027</v>
      </c>
      <c r="E796" s="240" t="s">
        <v>96</v>
      </c>
      <c r="F796" s="187">
        <v>44027</v>
      </c>
      <c r="G796" s="279"/>
      <c r="H796" s="280"/>
    </row>
    <row r="797" spans="1:8" x14ac:dyDescent="0.25">
      <c r="A797" s="122" t="s">
        <v>11885</v>
      </c>
      <c r="B797" s="226" t="s">
        <v>97</v>
      </c>
      <c r="C797" s="226" t="s">
        <v>98</v>
      </c>
      <c r="D797" s="226" t="s">
        <v>3</v>
      </c>
      <c r="E797" s="226" t="s">
        <v>4</v>
      </c>
      <c r="F797" s="226" t="s">
        <v>99</v>
      </c>
      <c r="G797" s="226" t="s">
        <v>100</v>
      </c>
      <c r="H797" s="227" t="s">
        <v>101</v>
      </c>
    </row>
    <row r="798" spans="1:8" ht="25.5" x14ac:dyDescent="0.25">
      <c r="A798" s="125" t="s">
        <v>398</v>
      </c>
      <c r="B798" s="115" t="s">
        <v>9</v>
      </c>
      <c r="C798" s="115">
        <v>88278</v>
      </c>
      <c r="D798" s="127" t="str">
        <f>IF(A798="COMPOSIÇÃO",VLOOKUP(C798,'SINAPI_COMPOSIÇÕES 062020'!A:B,2,FALSE),VLOOKUP(C798,'SINAPI_INSUMOS 062020'!A:B,2,FALSE))</f>
        <v>MONTADOR DE ESTRUTURA METÁLICA COM ENCARGOS COMPLEMENTARES</v>
      </c>
      <c r="E798" s="126" t="str">
        <f>IF(A798="COMPOSIÇÃO",VLOOKUP(C798,'SINAPI_COMPOSIÇÕES 062020'!A:C,3,FALSE),VLOOKUP(C798,'SINAPI_INSUMOS 062020'!A:C,3,FALSE))</f>
        <v>H</v>
      </c>
      <c r="F798" s="74">
        <v>0.21299999999999999</v>
      </c>
      <c r="G798" s="128">
        <f>IF(A798="COMPOSIÇÃO",VLOOKUP(C798,'SINAPI_COMPOSIÇÕES 062020'!A:D,4,FALSE),VLOOKUP(C798,'SINAPI_INSUMOS 062020'!A:D,4,FALSE))</f>
        <v>12.82</v>
      </c>
      <c r="H798" s="75">
        <f t="shared" ref="H798:H803" si="60">TRUNC(G798*F798,2)</f>
        <v>2.73</v>
      </c>
    </row>
    <row r="799" spans="1:8" ht="25.5" x14ac:dyDescent="0.25">
      <c r="A799" s="125" t="s">
        <v>398</v>
      </c>
      <c r="B799" s="115" t="s">
        <v>9</v>
      </c>
      <c r="C799" s="115">
        <v>88316</v>
      </c>
      <c r="D799" s="127" t="str">
        <f>IF(A799="COMPOSIÇÃO",VLOOKUP(C799,'SINAPI_COMPOSIÇÕES 062020'!A:B,2,FALSE),VLOOKUP(C799,'SINAPI_INSUMOS 062020'!A:B,2,FALSE))</f>
        <v>SERVENTE COM ENCARGOS COMPLEMENTARES</v>
      </c>
      <c r="E799" s="126" t="str">
        <f>IF(A799="COMPOSIÇÃO",VLOOKUP(C799,'SINAPI_COMPOSIÇÕES 062020'!A:C,3,FALSE),VLOOKUP(C799,'SINAPI_INSUMOS 062020'!A:C,3,FALSE))</f>
        <v>H</v>
      </c>
      <c r="F799" s="74">
        <v>0.106</v>
      </c>
      <c r="G799" s="128">
        <f>IF(A799="COMPOSIÇÃO",VLOOKUP(C799,'SINAPI_COMPOSIÇÕES 062020'!A:D,4,FALSE),VLOOKUP(C799,'SINAPI_INSUMOS 062020'!A:D,4,FALSE))</f>
        <v>14.37</v>
      </c>
      <c r="H799" s="75">
        <f t="shared" si="60"/>
        <v>1.52</v>
      </c>
    </row>
    <row r="800" spans="1:8" ht="51" x14ac:dyDescent="0.25">
      <c r="A800" s="125" t="s">
        <v>398</v>
      </c>
      <c r="B800" s="115" t="s">
        <v>9</v>
      </c>
      <c r="C800" s="115">
        <v>93281</v>
      </c>
      <c r="D800" s="127" t="str">
        <f>IF(A800="COMPOSIÇÃO",VLOOKUP(C800,'SINAPI_COMPOSIÇÕES 062020'!A:B,2,FALSE),VLOOKUP(C800,'SINAPI_INSUMOS 062020'!A:B,2,FALSE))</f>
        <v>GUINCHO ELÉTRICO DE COLUNA, CAPACIDADE 400 KG, COM MOTO FREIO, MOTOR TRIFÁSICO DE 1,25 CV - CHP DIURNO. AF_03/2016</v>
      </c>
      <c r="E800" s="126" t="str">
        <f>IF(A800="COMPOSIÇÃO",VLOOKUP(C800,'SINAPI_COMPOSIÇÕES 062020'!A:C,3,FALSE),VLOOKUP(C800,'SINAPI_INSUMOS 062020'!A:C,3,FALSE))</f>
        <v>CHP</v>
      </c>
      <c r="F800" s="74">
        <v>6.7999999999999996E-3</v>
      </c>
      <c r="G800" s="128">
        <f>IF(A800="COMPOSIÇÃO",VLOOKUP(C800,'SINAPI_COMPOSIÇÕES 062020'!A:D,4,FALSE),VLOOKUP(C800,'SINAPI_INSUMOS 062020'!A:D,4,FALSE))</f>
        <v>14.16</v>
      </c>
      <c r="H800" s="75">
        <f t="shared" si="60"/>
        <v>0.09</v>
      </c>
    </row>
    <row r="801" spans="1:8" ht="51" x14ac:dyDescent="0.25">
      <c r="A801" s="125" t="s">
        <v>398</v>
      </c>
      <c r="B801" s="115" t="s">
        <v>9</v>
      </c>
      <c r="C801" s="115">
        <v>93282</v>
      </c>
      <c r="D801" s="127" t="str">
        <f>IF(A801="COMPOSIÇÃO",VLOOKUP(C801,'SINAPI_COMPOSIÇÕES 062020'!A:B,2,FALSE),VLOOKUP(C801,'SINAPI_INSUMOS 062020'!A:B,2,FALSE))</f>
        <v>GUINCHO ELÉTRICO DE COLUNA, CAPACIDADE 400 KG, COM MOTO FREIO, MOTOR TRIFÁSICO DE 1,25 CV - CHI DIURNO. AF_03/2016</v>
      </c>
      <c r="E801" s="126" t="str">
        <f>IF(A801="COMPOSIÇÃO",VLOOKUP(C801,'SINAPI_COMPOSIÇÕES 062020'!A:C,3,FALSE),VLOOKUP(C801,'SINAPI_INSUMOS 062020'!A:C,3,FALSE))</f>
        <v>CHI</v>
      </c>
      <c r="F801" s="74">
        <v>9.4000000000000004E-3</v>
      </c>
      <c r="G801" s="128">
        <f>IF(A801="COMPOSIÇÃO",VLOOKUP(C801,'SINAPI_COMPOSIÇÕES 062020'!A:D,4,FALSE),VLOOKUP(C801,'SINAPI_INSUMOS 062020'!A:D,4,FALSE))</f>
        <v>13.28</v>
      </c>
      <c r="H801" s="75">
        <f t="shared" si="60"/>
        <v>0.12</v>
      </c>
    </row>
    <row r="802" spans="1:8" ht="38.25" x14ac:dyDescent="0.25">
      <c r="A802" s="125" t="s">
        <v>400</v>
      </c>
      <c r="B802" s="115" t="s">
        <v>9</v>
      </c>
      <c r="C802" s="115">
        <v>40549</v>
      </c>
      <c r="D802" s="127" t="str">
        <f>IF(A802="COMPOSIÇÃO",VLOOKUP(C802,'SINAPI_COMPOSIÇÕES 062020'!A:B,2,FALSE),VLOOKUP(C802,'SINAPI_INSUMOS 062020'!A:B,2,FALSE))</f>
        <v>PARAFUSO, COMUM, ASTM A307, SEXTAVADO, DIAMETRO 1/2" (12,7 MM), COMPRIMENTO 1" (25,4 MM)</v>
      </c>
      <c r="E802" s="126" t="str">
        <f>IF(A802="COMPOSIÇÃO",VLOOKUP(C802,'SINAPI_COMPOSIÇÕES 062020'!A:C,3,FALSE),VLOOKUP(C802,'SINAPI_INSUMOS 062020'!A:C,3,FALSE))</f>
        <v xml:space="preserve">CENTO </v>
      </c>
      <c r="F802" s="74">
        <v>7.0000000000000001E-3</v>
      </c>
      <c r="G802" s="128">
        <f>IF(A802="COMPOSIÇÃO",VLOOKUP(C802,'SINAPI_COMPOSIÇÕES 062020'!A:D,4,FALSE),VLOOKUP(C802,'SINAPI_INSUMOS 062020'!A:D,4,FALSE))</f>
        <v>128.51</v>
      </c>
      <c r="H802" s="75">
        <f t="shared" si="60"/>
        <v>0.89</v>
      </c>
    </row>
    <row r="803" spans="1:8" ht="25.5" x14ac:dyDescent="0.25">
      <c r="A803" s="125" t="s">
        <v>400</v>
      </c>
      <c r="B803" s="115" t="s">
        <v>9</v>
      </c>
      <c r="C803" s="115">
        <v>40535</v>
      </c>
      <c r="D803" s="127" t="str">
        <f>IF(A803="COMPOSIÇÃO",VLOOKUP(C803,'SINAPI_COMPOSIÇÕES 062020'!A:B,2,FALSE),VLOOKUP(C803,'SINAPI_INSUMOS 062020'!A:B,2,FALSE))</f>
        <v>PERFIL "U" SIMPLES DE ACO GALVANIZADO DOBRADO 75 X *40* MM, E = 2,65 MM</v>
      </c>
      <c r="E803" s="126" t="str">
        <f>IF(A803="COMPOSIÇÃO",VLOOKUP(C803,'SINAPI_COMPOSIÇÕES 062020'!A:C,3,FALSE),VLOOKUP(C803,'SINAPI_INSUMOS 062020'!A:C,3,FALSE))</f>
        <v xml:space="preserve">KG    </v>
      </c>
      <c r="F803" s="74">
        <f>320.7/18.05</f>
        <v>17.767313019390581</v>
      </c>
      <c r="G803" s="128">
        <f>IF(A803="COMPOSIÇÃO",VLOOKUP(C803,'SINAPI_COMPOSIÇÕES 062020'!A:D,4,FALSE),VLOOKUP(C803,'SINAPI_INSUMOS 062020'!A:D,4,FALSE))</f>
        <v>5.21</v>
      </c>
      <c r="H803" s="75">
        <f t="shared" si="60"/>
        <v>92.56</v>
      </c>
    </row>
    <row r="804" spans="1:8" ht="13.5" thickBot="1" x14ac:dyDescent="0.3">
      <c r="A804" s="267" t="str">
        <f>CONCATENATE("TOTAL DO ÍTEM - ",A794)</f>
        <v>TOTAL DO ÍTEM - MPMT-02562</v>
      </c>
      <c r="B804" s="268"/>
      <c r="C804" s="268"/>
      <c r="D804" s="268"/>
      <c r="E804" s="268"/>
      <c r="F804" s="268"/>
      <c r="G804" s="269"/>
      <c r="H804" s="188">
        <f>TRUNC(SUM(H798:H803),2)</f>
        <v>97.91</v>
      </c>
    </row>
    <row r="805" spans="1:8" ht="13.5" thickBot="1" x14ac:dyDescent="0.3">
      <c r="A805" s="283" t="s">
        <v>12192</v>
      </c>
      <c r="B805" s="284"/>
      <c r="C805" s="284"/>
      <c r="D805" s="284"/>
      <c r="E805" s="284"/>
      <c r="F805" s="284"/>
      <c r="G805" s="284"/>
      <c r="H805" s="285"/>
    </row>
    <row r="806" spans="1:8" ht="13.5" thickBot="1" x14ac:dyDescent="0.3"/>
    <row r="807" spans="1:8" ht="25.5" x14ac:dyDescent="0.25">
      <c r="A807" s="120" t="s">
        <v>90</v>
      </c>
      <c r="B807" s="286" t="s">
        <v>91</v>
      </c>
      <c r="C807" s="287"/>
      <c r="D807" s="287"/>
      <c r="E807" s="287"/>
      <c r="F807" s="287"/>
      <c r="G807" s="288"/>
      <c r="H807" s="121" t="s">
        <v>4</v>
      </c>
    </row>
    <row r="808" spans="1:8" ht="13.5" thickBot="1" x14ac:dyDescent="0.3">
      <c r="A808" s="113" t="s">
        <v>12193</v>
      </c>
      <c r="B808" s="289" t="s">
        <v>12194</v>
      </c>
      <c r="C808" s="290"/>
      <c r="D808" s="290"/>
      <c r="E808" s="290"/>
      <c r="F808" s="290"/>
      <c r="G808" s="291"/>
      <c r="H808" s="114" t="s">
        <v>8</v>
      </c>
    </row>
    <row r="809" spans="1:8" x14ac:dyDescent="0.25">
      <c r="A809" s="273" t="s">
        <v>13834</v>
      </c>
      <c r="B809" s="309" t="s">
        <v>92</v>
      </c>
      <c r="C809" s="310"/>
      <c r="D809" s="224" t="s">
        <v>12191</v>
      </c>
      <c r="E809" s="243" t="s">
        <v>93</v>
      </c>
      <c r="F809" s="225">
        <v>0</v>
      </c>
      <c r="G809" s="311" t="s">
        <v>94</v>
      </c>
      <c r="H809" s="312"/>
    </row>
    <row r="810" spans="1:8" x14ac:dyDescent="0.25">
      <c r="A810" s="274"/>
      <c r="B810" s="281" t="s">
        <v>95</v>
      </c>
      <c r="C810" s="282"/>
      <c r="D810" s="187">
        <v>44027</v>
      </c>
      <c r="E810" s="240" t="s">
        <v>96</v>
      </c>
      <c r="F810" s="187">
        <v>44027</v>
      </c>
      <c r="G810" s="279"/>
      <c r="H810" s="280"/>
    </row>
    <row r="811" spans="1:8" x14ac:dyDescent="0.25">
      <c r="A811" s="122" t="s">
        <v>11885</v>
      </c>
      <c r="B811" s="226" t="s">
        <v>97</v>
      </c>
      <c r="C811" s="226" t="s">
        <v>98</v>
      </c>
      <c r="D811" s="226" t="s">
        <v>3</v>
      </c>
      <c r="E811" s="226" t="s">
        <v>4</v>
      </c>
      <c r="F811" s="226" t="s">
        <v>99</v>
      </c>
      <c r="G811" s="226" t="s">
        <v>100</v>
      </c>
      <c r="H811" s="227" t="s">
        <v>101</v>
      </c>
    </row>
    <row r="812" spans="1:8" ht="25.5" x14ac:dyDescent="0.25">
      <c r="A812" s="125" t="s">
        <v>398</v>
      </c>
      <c r="B812" s="115" t="s">
        <v>9</v>
      </c>
      <c r="C812" s="115">
        <v>88278</v>
      </c>
      <c r="D812" s="127" t="str">
        <f>IF(A812="COMPOSIÇÃO",VLOOKUP(C812,'SINAPI_COMPOSIÇÕES 062020'!A:B,2,FALSE),VLOOKUP(C812,'SINAPI_INSUMOS 062020'!A:B,2,FALSE))</f>
        <v>MONTADOR DE ESTRUTURA METÁLICA COM ENCARGOS COMPLEMENTARES</v>
      </c>
      <c r="E812" s="126" t="str">
        <f>IF(A812="COMPOSIÇÃO",VLOOKUP(C812,'SINAPI_COMPOSIÇÕES 062020'!A:C,3,FALSE),VLOOKUP(C812,'SINAPI_INSUMOS 062020'!A:C,3,FALSE))</f>
        <v>H</v>
      </c>
      <c r="F812" s="74">
        <v>0.21299999999999999</v>
      </c>
      <c r="G812" s="128">
        <f>IF(A812="COMPOSIÇÃO",VLOOKUP(C812,'SINAPI_COMPOSIÇÕES 062020'!A:D,4,FALSE),VLOOKUP(C812,'SINAPI_INSUMOS 062020'!A:D,4,FALSE))</f>
        <v>12.82</v>
      </c>
      <c r="H812" s="75">
        <f t="shared" ref="H812:H817" si="61">TRUNC(G812*F812,2)</f>
        <v>2.73</v>
      </c>
    </row>
    <row r="813" spans="1:8" ht="25.5" x14ac:dyDescent="0.25">
      <c r="A813" s="125" t="s">
        <v>398</v>
      </c>
      <c r="B813" s="115" t="s">
        <v>9</v>
      </c>
      <c r="C813" s="115">
        <v>88316</v>
      </c>
      <c r="D813" s="127" t="str">
        <f>IF(A813="COMPOSIÇÃO",VLOOKUP(C813,'SINAPI_COMPOSIÇÕES 062020'!A:B,2,FALSE),VLOOKUP(C813,'SINAPI_INSUMOS 062020'!A:B,2,FALSE))</f>
        <v>SERVENTE COM ENCARGOS COMPLEMENTARES</v>
      </c>
      <c r="E813" s="126" t="str">
        <f>IF(A813="COMPOSIÇÃO",VLOOKUP(C813,'SINAPI_COMPOSIÇÕES 062020'!A:C,3,FALSE),VLOOKUP(C813,'SINAPI_INSUMOS 062020'!A:C,3,FALSE))</f>
        <v>H</v>
      </c>
      <c r="F813" s="74">
        <v>0.106</v>
      </c>
      <c r="G813" s="128">
        <f>IF(A813="COMPOSIÇÃO",VLOOKUP(C813,'SINAPI_COMPOSIÇÕES 062020'!A:D,4,FALSE),VLOOKUP(C813,'SINAPI_INSUMOS 062020'!A:D,4,FALSE))</f>
        <v>14.37</v>
      </c>
      <c r="H813" s="75">
        <f t="shared" si="61"/>
        <v>1.52</v>
      </c>
    </row>
    <row r="814" spans="1:8" ht="51" x14ac:dyDescent="0.25">
      <c r="A814" s="125" t="s">
        <v>398</v>
      </c>
      <c r="B814" s="115" t="s">
        <v>9</v>
      </c>
      <c r="C814" s="115">
        <v>93281</v>
      </c>
      <c r="D814" s="127" t="str">
        <f>IF(A814="COMPOSIÇÃO",VLOOKUP(C814,'SINAPI_COMPOSIÇÕES 062020'!A:B,2,FALSE),VLOOKUP(C814,'SINAPI_INSUMOS 062020'!A:B,2,FALSE))</f>
        <v>GUINCHO ELÉTRICO DE COLUNA, CAPACIDADE 400 KG, COM MOTO FREIO, MOTOR TRIFÁSICO DE 1,25 CV - CHP DIURNO. AF_03/2016</v>
      </c>
      <c r="E814" s="126" t="str">
        <f>IF(A814="COMPOSIÇÃO",VLOOKUP(C814,'SINAPI_COMPOSIÇÕES 062020'!A:C,3,FALSE),VLOOKUP(C814,'SINAPI_INSUMOS 062020'!A:C,3,FALSE))</f>
        <v>CHP</v>
      </c>
      <c r="F814" s="74">
        <v>6.7999999999999996E-3</v>
      </c>
      <c r="G814" s="128">
        <f>IF(A814="COMPOSIÇÃO",VLOOKUP(C814,'SINAPI_COMPOSIÇÕES 062020'!A:D,4,FALSE),VLOOKUP(C814,'SINAPI_INSUMOS 062020'!A:D,4,FALSE))</f>
        <v>14.16</v>
      </c>
      <c r="H814" s="75">
        <f t="shared" si="61"/>
        <v>0.09</v>
      </c>
    </row>
    <row r="815" spans="1:8" ht="51" x14ac:dyDescent="0.25">
      <c r="A815" s="125" t="s">
        <v>398</v>
      </c>
      <c r="B815" s="115" t="s">
        <v>9</v>
      </c>
      <c r="C815" s="115">
        <v>93282</v>
      </c>
      <c r="D815" s="127" t="str">
        <f>IF(A815="COMPOSIÇÃO",VLOOKUP(C815,'SINAPI_COMPOSIÇÕES 062020'!A:B,2,FALSE),VLOOKUP(C815,'SINAPI_INSUMOS 062020'!A:B,2,FALSE))</f>
        <v>GUINCHO ELÉTRICO DE COLUNA, CAPACIDADE 400 KG, COM MOTO FREIO, MOTOR TRIFÁSICO DE 1,25 CV - CHI DIURNO. AF_03/2016</v>
      </c>
      <c r="E815" s="126" t="str">
        <f>IF(A815="COMPOSIÇÃO",VLOOKUP(C815,'SINAPI_COMPOSIÇÕES 062020'!A:C,3,FALSE),VLOOKUP(C815,'SINAPI_INSUMOS 062020'!A:C,3,FALSE))</f>
        <v>CHI</v>
      </c>
      <c r="F815" s="74">
        <v>9.4000000000000004E-3</v>
      </c>
      <c r="G815" s="128">
        <f>IF(A815="COMPOSIÇÃO",VLOOKUP(C815,'SINAPI_COMPOSIÇÕES 062020'!A:D,4,FALSE),VLOOKUP(C815,'SINAPI_INSUMOS 062020'!A:D,4,FALSE))</f>
        <v>13.28</v>
      </c>
      <c r="H815" s="75">
        <f t="shared" si="61"/>
        <v>0.12</v>
      </c>
    </row>
    <row r="816" spans="1:8" ht="38.25" x14ac:dyDescent="0.25">
      <c r="A816" s="125" t="s">
        <v>400</v>
      </c>
      <c r="B816" s="115" t="s">
        <v>9</v>
      </c>
      <c r="C816" s="115">
        <v>40549</v>
      </c>
      <c r="D816" s="127" t="str">
        <f>IF(A816="COMPOSIÇÃO",VLOOKUP(C816,'SINAPI_COMPOSIÇÕES 062020'!A:B,2,FALSE),VLOOKUP(C816,'SINAPI_INSUMOS 062020'!A:B,2,FALSE))</f>
        <v>PARAFUSO, COMUM, ASTM A307, SEXTAVADO, DIAMETRO 1/2" (12,7 MM), COMPRIMENTO 1" (25,4 MM)</v>
      </c>
      <c r="E816" s="126" t="str">
        <f>IF(A816="COMPOSIÇÃO",VLOOKUP(C816,'SINAPI_COMPOSIÇÕES 062020'!A:C,3,FALSE),VLOOKUP(C816,'SINAPI_INSUMOS 062020'!A:C,3,FALSE))</f>
        <v xml:space="preserve">CENTO </v>
      </c>
      <c r="F816" s="74">
        <v>7.0000000000000001E-3</v>
      </c>
      <c r="G816" s="128">
        <f>IF(A816="COMPOSIÇÃO",VLOOKUP(C816,'SINAPI_COMPOSIÇÕES 062020'!A:D,4,FALSE),VLOOKUP(C816,'SINAPI_INSUMOS 062020'!A:D,4,FALSE))</f>
        <v>128.51</v>
      </c>
      <c r="H816" s="75">
        <f t="shared" si="61"/>
        <v>0.89</v>
      </c>
    </row>
    <row r="817" spans="1:8" ht="51" x14ac:dyDescent="0.25">
      <c r="A817" s="125" t="s">
        <v>400</v>
      </c>
      <c r="B817" s="115" t="s">
        <v>9</v>
      </c>
      <c r="C817" s="115">
        <v>43083</v>
      </c>
      <c r="D817" s="127" t="str">
        <f>IF(A817="COMPOSIÇÃO",VLOOKUP(C817,'SINAPI_COMPOSIÇÕES 062020'!A:B,2,FALSE),VLOOKUP(C817,'SINAPI_INSUMOS 062020'!A:B,2,FALSE))</f>
        <v>PERFIL "U" ENRIJECIDO DE ACO GALVANIZADO, DOBRADO, 150 X 60 X 20 MM, E = 3,00 MM OU 200 X 75 X 25 MM, E = 3,75 MM</v>
      </c>
      <c r="E817" s="126" t="str">
        <f>IF(A817="COMPOSIÇÃO",VLOOKUP(C817,'SINAPI_COMPOSIÇÕES 062020'!A:C,3,FALSE),VLOOKUP(C817,'SINAPI_INSUMOS 062020'!A:C,3,FALSE))</f>
        <v xml:space="preserve">KG    </v>
      </c>
      <c r="F817" s="74">
        <v>4.3330000000000002</v>
      </c>
      <c r="G817" s="128">
        <f>IF(A817="COMPOSIÇÃO",VLOOKUP(C817,'SINAPI_COMPOSIÇÕES 062020'!A:D,4,FALSE),VLOOKUP(C817,'SINAPI_INSUMOS 062020'!A:D,4,FALSE))</f>
        <v>5.21</v>
      </c>
      <c r="H817" s="75">
        <f t="shared" si="61"/>
        <v>22.57</v>
      </c>
    </row>
    <row r="818" spans="1:8" ht="13.5" thickBot="1" x14ac:dyDescent="0.3">
      <c r="A818" s="267" t="str">
        <f>CONCATENATE("TOTAL DO ÍTEM - ",A808)</f>
        <v>TOTAL DO ÍTEM - MPMT-02563</v>
      </c>
      <c r="B818" s="268"/>
      <c r="C818" s="268"/>
      <c r="D818" s="268"/>
      <c r="E818" s="268"/>
      <c r="F818" s="268"/>
      <c r="G818" s="269"/>
      <c r="H818" s="188">
        <f>TRUNC(SUM(H812:H817),2)</f>
        <v>27.92</v>
      </c>
    </row>
    <row r="819" spans="1:8" ht="13.5" thickBot="1" x14ac:dyDescent="0.3">
      <c r="A819" s="283" t="s">
        <v>12195</v>
      </c>
      <c r="B819" s="284"/>
      <c r="C819" s="284"/>
      <c r="D819" s="284"/>
      <c r="E819" s="284"/>
      <c r="F819" s="284"/>
      <c r="G819" s="284"/>
      <c r="H819" s="285"/>
    </row>
    <row r="820" spans="1:8" ht="13.5" thickBot="1" x14ac:dyDescent="0.3"/>
    <row r="821" spans="1:8" ht="25.5" x14ac:dyDescent="0.25">
      <c r="A821" s="120" t="s">
        <v>90</v>
      </c>
      <c r="B821" s="286" t="s">
        <v>91</v>
      </c>
      <c r="C821" s="287"/>
      <c r="D821" s="287"/>
      <c r="E821" s="287"/>
      <c r="F821" s="287"/>
      <c r="G821" s="288"/>
      <c r="H821" s="121" t="s">
        <v>4</v>
      </c>
    </row>
    <row r="822" spans="1:8" ht="13.5" thickBot="1" x14ac:dyDescent="0.3">
      <c r="A822" s="113" t="s">
        <v>12196</v>
      </c>
      <c r="B822" s="289" t="s">
        <v>12197</v>
      </c>
      <c r="C822" s="290"/>
      <c r="D822" s="290"/>
      <c r="E822" s="290"/>
      <c r="F822" s="290"/>
      <c r="G822" s="291"/>
      <c r="H822" s="114" t="s">
        <v>8</v>
      </c>
    </row>
    <row r="823" spans="1:8" x14ac:dyDescent="0.25">
      <c r="A823" s="273" t="s">
        <v>13834</v>
      </c>
      <c r="B823" s="275" t="s">
        <v>92</v>
      </c>
      <c r="C823" s="276"/>
      <c r="D823" s="185" t="s">
        <v>12198</v>
      </c>
      <c r="E823" s="239" t="s">
        <v>93</v>
      </c>
      <c r="F823" s="193" t="s">
        <v>11957</v>
      </c>
      <c r="G823" s="277" t="s">
        <v>94</v>
      </c>
      <c r="H823" s="278"/>
    </row>
    <row r="824" spans="1:8" x14ac:dyDescent="0.25">
      <c r="A824" s="274"/>
      <c r="B824" s="281" t="s">
        <v>95</v>
      </c>
      <c r="C824" s="282"/>
      <c r="D824" s="187">
        <v>42922</v>
      </c>
      <c r="E824" s="240" t="s">
        <v>96</v>
      </c>
      <c r="F824" s="187">
        <v>43364</v>
      </c>
      <c r="G824" s="279"/>
      <c r="H824" s="280"/>
    </row>
    <row r="825" spans="1:8" x14ac:dyDescent="0.25">
      <c r="A825" s="122" t="s">
        <v>11885</v>
      </c>
      <c r="B825" s="123" t="s">
        <v>97</v>
      </c>
      <c r="C825" s="123" t="s">
        <v>98</v>
      </c>
      <c r="D825" s="123" t="s">
        <v>3</v>
      </c>
      <c r="E825" s="123" t="s">
        <v>4</v>
      </c>
      <c r="F825" s="123" t="s">
        <v>99</v>
      </c>
      <c r="G825" s="123" t="s">
        <v>100</v>
      </c>
      <c r="H825" s="124" t="s">
        <v>101</v>
      </c>
    </row>
    <row r="826" spans="1:8" ht="25.5" x14ac:dyDescent="0.25">
      <c r="A826" s="125" t="s">
        <v>398</v>
      </c>
      <c r="B826" s="115" t="s">
        <v>9</v>
      </c>
      <c r="C826" s="115">
        <v>88316</v>
      </c>
      <c r="D826" s="127" t="str">
        <f>IF(A826="COMPOSIÇÃO",VLOOKUP(C826,'SINAPI_COMPOSIÇÕES 062020'!A:B,2,FALSE),VLOOKUP(C826,'SINAPI_INSUMOS 062020'!A:B,2,FALSE))</f>
        <v>SERVENTE COM ENCARGOS COMPLEMENTARES</v>
      </c>
      <c r="E826" s="126" t="str">
        <f>IF(A826="COMPOSIÇÃO",VLOOKUP(C826,'SINAPI_COMPOSIÇÕES 062020'!A:C,3,FALSE),VLOOKUP(C826,'SINAPI_INSUMOS 062020'!A:C,3,FALSE))</f>
        <v>H</v>
      </c>
      <c r="F826" s="74">
        <v>6.2E-2</v>
      </c>
      <c r="G826" s="128">
        <f>IF(A826="COMPOSIÇÃO",VLOOKUP(C826,'SINAPI_COMPOSIÇÕES 062020'!A:D,4,FALSE),VLOOKUP(C826,'SINAPI_INSUMOS 062020'!A:D,4,FALSE))</f>
        <v>14.37</v>
      </c>
      <c r="H826" s="75">
        <f t="shared" ref="H826:H831" si="62">TRUNC(G826*F826,2)</f>
        <v>0.89</v>
      </c>
    </row>
    <row r="827" spans="1:8" ht="25.5" x14ac:dyDescent="0.25">
      <c r="A827" s="125" t="s">
        <v>398</v>
      </c>
      <c r="B827" s="115" t="s">
        <v>9</v>
      </c>
      <c r="C827" s="115">
        <v>88323</v>
      </c>
      <c r="D827" s="127" t="str">
        <f>IF(A827="COMPOSIÇÃO",VLOOKUP(C827,'SINAPI_COMPOSIÇÕES 062020'!A:B,2,FALSE),VLOOKUP(C827,'SINAPI_INSUMOS 062020'!A:B,2,FALSE))</f>
        <v>TELHADISTA COM ENCARGOS COMPLEMENTARES</v>
      </c>
      <c r="E827" s="126" t="str">
        <f>IF(A827="COMPOSIÇÃO",VLOOKUP(C827,'SINAPI_COMPOSIÇÕES 062020'!A:C,3,FALSE),VLOOKUP(C827,'SINAPI_INSUMOS 062020'!A:C,3,FALSE))</f>
        <v>H</v>
      </c>
      <c r="F827" s="74">
        <v>5.6000000000000001E-2</v>
      </c>
      <c r="G827" s="128">
        <f>IF(A827="COMPOSIÇÃO",VLOOKUP(C827,'SINAPI_COMPOSIÇÕES 062020'!A:D,4,FALSE),VLOOKUP(C827,'SINAPI_INSUMOS 062020'!A:D,4,FALSE))</f>
        <v>18.809999999999999</v>
      </c>
      <c r="H827" s="75">
        <f t="shared" si="62"/>
        <v>1.05</v>
      </c>
    </row>
    <row r="828" spans="1:8" ht="51" x14ac:dyDescent="0.25">
      <c r="A828" s="125" t="s">
        <v>398</v>
      </c>
      <c r="B828" s="115" t="s">
        <v>9</v>
      </c>
      <c r="C828" s="115">
        <v>93281</v>
      </c>
      <c r="D828" s="127" t="str">
        <f>IF(A828="COMPOSIÇÃO",VLOOKUP(C828,'SINAPI_COMPOSIÇÕES 062020'!A:B,2,FALSE),VLOOKUP(C828,'SINAPI_INSUMOS 062020'!A:B,2,FALSE))</f>
        <v>GUINCHO ELÉTRICO DE COLUNA, CAPACIDADE 400 KG, COM MOTO FREIO, MOTOR TRIFÁSICO DE 1,25 CV - CHP DIURNO. AF_03/2016</v>
      </c>
      <c r="E828" s="126" t="str">
        <f>IF(A828="COMPOSIÇÃO",VLOOKUP(C828,'SINAPI_COMPOSIÇÕES 062020'!A:C,3,FALSE),VLOOKUP(C828,'SINAPI_INSUMOS 062020'!A:C,3,FALSE))</f>
        <v>CHP</v>
      </c>
      <c r="F828" s="74">
        <v>8.9999999999999998E-4</v>
      </c>
      <c r="G828" s="128">
        <f>IF(A828="COMPOSIÇÃO",VLOOKUP(C828,'SINAPI_COMPOSIÇÕES 062020'!A:D,4,FALSE),VLOOKUP(C828,'SINAPI_INSUMOS 062020'!A:D,4,FALSE))</f>
        <v>14.16</v>
      </c>
      <c r="H828" s="75">
        <f t="shared" si="62"/>
        <v>0.01</v>
      </c>
    </row>
    <row r="829" spans="1:8" ht="51" x14ac:dyDescent="0.25">
      <c r="A829" s="125" t="s">
        <v>398</v>
      </c>
      <c r="B829" s="115" t="s">
        <v>9</v>
      </c>
      <c r="C829" s="115">
        <v>93282</v>
      </c>
      <c r="D829" s="127" t="str">
        <f>IF(A829="COMPOSIÇÃO",VLOOKUP(C829,'SINAPI_COMPOSIÇÕES 062020'!A:B,2,FALSE),VLOOKUP(C829,'SINAPI_INSUMOS 062020'!A:B,2,FALSE))</f>
        <v>GUINCHO ELÉTRICO DE COLUNA, CAPACIDADE 400 KG, COM MOTO FREIO, MOTOR TRIFÁSICO DE 1,25 CV - CHI DIURNO. AF_03/2016</v>
      </c>
      <c r="E829" s="126" t="str">
        <f>IF(A829="COMPOSIÇÃO",VLOOKUP(C829,'SINAPI_COMPOSIÇÕES 062020'!A:C,3,FALSE),VLOOKUP(C829,'SINAPI_INSUMOS 062020'!A:C,3,FALSE))</f>
        <v>CHI</v>
      </c>
      <c r="F829" s="74">
        <v>1.1999999999999999E-3</v>
      </c>
      <c r="G829" s="128">
        <f>IF(A829="COMPOSIÇÃO",VLOOKUP(C829,'SINAPI_COMPOSIÇÕES 062020'!A:D,4,FALSE),VLOOKUP(C829,'SINAPI_INSUMOS 062020'!A:D,4,FALSE))</f>
        <v>13.28</v>
      </c>
      <c r="H829" s="75">
        <f t="shared" si="62"/>
        <v>0.01</v>
      </c>
    </row>
    <row r="830" spans="1:8" ht="51" x14ac:dyDescent="0.25">
      <c r="A830" s="125" t="s">
        <v>400</v>
      </c>
      <c r="B830" s="115" t="s">
        <v>9</v>
      </c>
      <c r="C830" s="115">
        <v>11029</v>
      </c>
      <c r="D830" s="127" t="str">
        <f>IF(A830="COMPOSIÇÃO",VLOOKUP(C830,'SINAPI_COMPOSIÇÕES 062020'!A:B,2,FALSE),VLOOKUP(C830,'SINAPI_INSUMOS 062020'!A:B,2,FALSE))</f>
        <v>HASTE RETA PARA GANCHO DE FERRO GALVANIZADO, COM ROSCA 1/4 " X 30 CM PARA FIXACAO DE TELHA METALICA, INCLUI PORCA E ARRUELAS DE VEDACAO</v>
      </c>
      <c r="E830" s="126" t="str">
        <f>IF(A830="COMPOSIÇÃO",VLOOKUP(C830,'SINAPI_COMPOSIÇÕES 062020'!A:C,3,FALSE),VLOOKUP(C830,'SINAPI_INSUMOS 062020'!A:C,3,FALSE))</f>
        <v xml:space="preserve">CJ    </v>
      </c>
      <c r="F830" s="74">
        <v>4.1500000000000004</v>
      </c>
      <c r="G830" s="128">
        <f>IF(A830="COMPOSIÇÃO",VLOOKUP(C830,'SINAPI_COMPOSIÇÕES 062020'!A:D,4,FALSE),VLOOKUP(C830,'SINAPI_INSUMOS 062020'!A:D,4,FALSE))</f>
        <v>1.1100000000000001</v>
      </c>
      <c r="H830" s="75">
        <f t="shared" si="62"/>
        <v>4.5999999999999996</v>
      </c>
    </row>
    <row r="831" spans="1:8" ht="89.25" x14ac:dyDescent="0.25">
      <c r="A831" s="125" t="s">
        <v>400</v>
      </c>
      <c r="B831" s="115" t="s">
        <v>9</v>
      </c>
      <c r="C831" s="115">
        <v>39521</v>
      </c>
      <c r="D831" s="127" t="str">
        <f>IF(A831="COMPOSIÇÃO",VLOOKUP(C831,'SINAPI_COMPOSIÇÕES 062020'!A:B,2,FALSE),VLOOKUP(C831,'SINAPI_INSUMOS 062020'!A:B,2,FALSE))</f>
        <v>TELHA TERMOISOLANTE REVESTIDA EM ACO GALVANIZADO, FACE SUPERIOR EM TELHA TRAPEZOIDAL E FACE INFERIOR EM CHAPA PLANA (SEM ACESSORIOS DE FIXACAO), REVESTIMENTO COM ESPESSURA DE 0,50 MM COM PRE-PINTURA NAS DUAS FACES, NUCLEO EM POLIESTIRENO (EPS) DE 50 MM</v>
      </c>
      <c r="E831" s="126" t="str">
        <f>IF(A831="COMPOSIÇÃO",VLOOKUP(C831,'SINAPI_COMPOSIÇÕES 062020'!A:C,3,FALSE),VLOOKUP(C831,'SINAPI_INSUMOS 062020'!A:C,3,FALSE))</f>
        <v xml:space="preserve">M2    </v>
      </c>
      <c r="F831" s="74">
        <v>1.1459999999999999</v>
      </c>
      <c r="G831" s="128">
        <f>IF(A831="COMPOSIÇÃO",VLOOKUP(C831,'SINAPI_COMPOSIÇÕES 062020'!A:D,4,FALSE),VLOOKUP(C831,'SINAPI_INSUMOS 062020'!A:D,4,FALSE))</f>
        <v>97.8</v>
      </c>
      <c r="H831" s="75">
        <f t="shared" si="62"/>
        <v>112.07</v>
      </c>
    </row>
    <row r="832" spans="1:8" ht="13.5" thickBot="1" x14ac:dyDescent="0.3">
      <c r="A832" s="267" t="str">
        <f>CONCATENATE("TOTAL DO ÍTEM - ",A822)</f>
        <v>TOTAL DO ÍTEM - MPMT-02084</v>
      </c>
      <c r="B832" s="268"/>
      <c r="C832" s="268"/>
      <c r="D832" s="268"/>
      <c r="E832" s="268"/>
      <c r="F832" s="268"/>
      <c r="G832" s="269"/>
      <c r="H832" s="188">
        <f>TRUNC(SUM(H826:H831),2)</f>
        <v>118.63</v>
      </c>
    </row>
    <row r="833" spans="1:8" ht="13.5" thickBot="1" x14ac:dyDescent="0.3">
      <c r="A833" s="270" t="s">
        <v>12199</v>
      </c>
      <c r="B833" s="271"/>
      <c r="C833" s="271"/>
      <c r="D833" s="271"/>
      <c r="E833" s="271"/>
      <c r="F833" s="271"/>
      <c r="G833" s="271"/>
      <c r="H833" s="272"/>
    </row>
    <row r="834" spans="1:8" ht="13.5" thickBot="1" x14ac:dyDescent="0.3"/>
    <row r="835" spans="1:8" ht="25.5" x14ac:dyDescent="0.25">
      <c r="A835" s="120" t="s">
        <v>90</v>
      </c>
      <c r="B835" s="286" t="s">
        <v>91</v>
      </c>
      <c r="C835" s="287"/>
      <c r="D835" s="287"/>
      <c r="E835" s="287"/>
      <c r="F835" s="287"/>
      <c r="G835" s="288"/>
      <c r="H835" s="121" t="s">
        <v>4</v>
      </c>
    </row>
    <row r="836" spans="1:8" ht="13.5" thickBot="1" x14ac:dyDescent="0.3">
      <c r="A836" s="113" t="s">
        <v>12200</v>
      </c>
      <c r="B836" s="289" t="s">
        <v>12201</v>
      </c>
      <c r="C836" s="290"/>
      <c r="D836" s="290"/>
      <c r="E836" s="290"/>
      <c r="F836" s="290"/>
      <c r="G836" s="291"/>
      <c r="H836" s="114" t="s">
        <v>16</v>
      </c>
    </row>
    <row r="837" spans="1:8" x14ac:dyDescent="0.25">
      <c r="A837" s="273" t="s">
        <v>13834</v>
      </c>
      <c r="B837" s="275" t="s">
        <v>92</v>
      </c>
      <c r="C837" s="276"/>
      <c r="D837" s="185" t="s">
        <v>12202</v>
      </c>
      <c r="E837" s="239" t="s">
        <v>93</v>
      </c>
      <c r="F837" s="186">
        <v>0</v>
      </c>
      <c r="G837" s="277" t="s">
        <v>94</v>
      </c>
      <c r="H837" s="278"/>
    </row>
    <row r="838" spans="1:8" x14ac:dyDescent="0.25">
      <c r="A838" s="274"/>
      <c r="B838" s="281" t="s">
        <v>95</v>
      </c>
      <c r="C838" s="282"/>
      <c r="D838" s="187">
        <v>43384</v>
      </c>
      <c r="E838" s="240" t="s">
        <v>96</v>
      </c>
      <c r="F838" s="187">
        <v>43384</v>
      </c>
      <c r="G838" s="279"/>
      <c r="H838" s="280"/>
    </row>
    <row r="839" spans="1:8" x14ac:dyDescent="0.25">
      <c r="A839" s="122" t="s">
        <v>11885</v>
      </c>
      <c r="B839" s="123" t="s">
        <v>97</v>
      </c>
      <c r="C839" s="123" t="s">
        <v>98</v>
      </c>
      <c r="D839" s="123" t="s">
        <v>3</v>
      </c>
      <c r="E839" s="123" t="s">
        <v>4</v>
      </c>
      <c r="F839" s="123" t="s">
        <v>99</v>
      </c>
      <c r="G839" s="123" t="s">
        <v>100</v>
      </c>
      <c r="H839" s="124" t="s">
        <v>101</v>
      </c>
    </row>
    <row r="840" spans="1:8" ht="25.5" x14ac:dyDescent="0.25">
      <c r="A840" s="125" t="s">
        <v>398</v>
      </c>
      <c r="B840" s="115" t="s">
        <v>9</v>
      </c>
      <c r="C840" s="115">
        <v>88316</v>
      </c>
      <c r="D840" s="127" t="str">
        <f>IF(A840="COMPOSIÇÃO",VLOOKUP(C840,'SINAPI_COMPOSIÇÕES 062020'!A:B,2,FALSE),VLOOKUP(C840,'SINAPI_INSUMOS 062020'!A:B,2,FALSE))</f>
        <v>SERVENTE COM ENCARGOS COMPLEMENTARES</v>
      </c>
      <c r="E840" s="126" t="str">
        <f>IF(A840="COMPOSIÇÃO",VLOOKUP(C840,'SINAPI_COMPOSIÇÕES 062020'!A:C,3,FALSE),VLOOKUP(C840,'SINAPI_INSUMOS 062020'!A:C,3,FALSE))</f>
        <v>H</v>
      </c>
      <c r="F840" s="74">
        <v>0.12</v>
      </c>
      <c r="G840" s="128">
        <f>IF(A840="COMPOSIÇÃO",VLOOKUP(C840,'SINAPI_COMPOSIÇÕES 062020'!A:D,4,FALSE),VLOOKUP(C840,'SINAPI_INSUMOS 062020'!A:D,4,FALSE))</f>
        <v>14.37</v>
      </c>
      <c r="H840" s="75">
        <f t="shared" ref="H840:H841" si="63">TRUNC(G840*F840,2)</f>
        <v>1.72</v>
      </c>
    </row>
    <row r="841" spans="1:8" ht="25.5" x14ac:dyDescent="0.25">
      <c r="A841" s="125" t="s">
        <v>398</v>
      </c>
      <c r="B841" s="115" t="s">
        <v>9</v>
      </c>
      <c r="C841" s="115">
        <v>88323</v>
      </c>
      <c r="D841" s="127" t="str">
        <f>IF(A841="COMPOSIÇÃO",VLOOKUP(C841,'SINAPI_COMPOSIÇÕES 062020'!A:B,2,FALSE),VLOOKUP(C841,'SINAPI_INSUMOS 062020'!A:B,2,FALSE))</f>
        <v>TELHADISTA COM ENCARGOS COMPLEMENTARES</v>
      </c>
      <c r="E841" s="126" t="str">
        <f>IF(A841="COMPOSIÇÃO",VLOOKUP(C841,'SINAPI_COMPOSIÇÕES 062020'!A:C,3,FALSE),VLOOKUP(C841,'SINAPI_INSUMOS 062020'!A:C,3,FALSE))</f>
        <v>H</v>
      </c>
      <c r="F841" s="74">
        <v>0.12</v>
      </c>
      <c r="G841" s="128">
        <f>IF(A841="COMPOSIÇÃO",VLOOKUP(C841,'SINAPI_COMPOSIÇÕES 062020'!A:D,4,FALSE),VLOOKUP(C841,'SINAPI_INSUMOS 062020'!A:D,4,FALSE))</f>
        <v>18.809999999999999</v>
      </c>
      <c r="H841" s="75">
        <f t="shared" si="63"/>
        <v>2.25</v>
      </c>
    </row>
    <row r="842" spans="1:8" ht="25.5" x14ac:dyDescent="0.25">
      <c r="A842" s="125" t="s">
        <v>11958</v>
      </c>
      <c r="B842" s="115" t="s">
        <v>11959</v>
      </c>
      <c r="C842" s="115" t="s">
        <v>11960</v>
      </c>
      <c r="D842" s="194" t="str">
        <f>B846</f>
        <v>CUMEEIRA METALICA, ESP. 0,43MM, TRAPEZOIDAL</v>
      </c>
      <c r="E842" s="115" t="str">
        <f>H846</f>
        <v>M</v>
      </c>
      <c r="F842" s="74">
        <v>1</v>
      </c>
      <c r="G842" s="217">
        <f>H851</f>
        <v>23.19</v>
      </c>
      <c r="H842" s="75">
        <f t="shared" ref="H842" si="64">TRUNC(G842*F842,2)</f>
        <v>23.19</v>
      </c>
    </row>
    <row r="843" spans="1:8" ht="13.5" thickBot="1" x14ac:dyDescent="0.3">
      <c r="A843" s="267" t="str">
        <f>CONCATENATE("TOTAL DO ÍTEM - ",A836)</f>
        <v>TOTAL DO ÍTEM - MPMT-02346</v>
      </c>
      <c r="B843" s="268"/>
      <c r="C843" s="268"/>
      <c r="D843" s="268"/>
      <c r="E843" s="268"/>
      <c r="F843" s="268"/>
      <c r="G843" s="269"/>
      <c r="H843" s="188">
        <f>TRUNC(SUM(H840:H842),2)</f>
        <v>27.16</v>
      </c>
    </row>
    <row r="844" spans="1:8" ht="13.5" thickBot="1" x14ac:dyDescent="0.3">
      <c r="A844" s="302" t="s">
        <v>12203</v>
      </c>
      <c r="B844" s="303"/>
      <c r="C844" s="303"/>
      <c r="D844" s="303"/>
      <c r="E844" s="303"/>
      <c r="F844" s="303"/>
      <c r="G844" s="303"/>
      <c r="H844" s="304"/>
    </row>
    <row r="845" spans="1:8" x14ac:dyDescent="0.25">
      <c r="A845" s="196"/>
      <c r="B845" s="292" t="s">
        <v>11962</v>
      </c>
      <c r="C845" s="292"/>
      <c r="D845" s="292"/>
      <c r="E845" s="292"/>
      <c r="F845" s="292"/>
      <c r="G845" s="292"/>
      <c r="H845" s="197" t="s">
        <v>4</v>
      </c>
    </row>
    <row r="846" spans="1:8" ht="13.5" thickBot="1" x14ac:dyDescent="0.3">
      <c r="A846" s="215" t="s">
        <v>11960</v>
      </c>
      <c r="B846" s="308" t="s">
        <v>12204</v>
      </c>
      <c r="C846" s="308"/>
      <c r="D846" s="308"/>
      <c r="E846" s="308"/>
      <c r="F846" s="308"/>
      <c r="G846" s="308"/>
      <c r="H846" s="216" t="s">
        <v>16</v>
      </c>
    </row>
    <row r="847" spans="1:8" ht="25.5" x14ac:dyDescent="0.25">
      <c r="A847" s="213" t="s">
        <v>11965</v>
      </c>
      <c r="B847" s="241" t="s">
        <v>11966</v>
      </c>
      <c r="C847" s="241" t="s">
        <v>11967</v>
      </c>
      <c r="D847" s="241" t="s">
        <v>11968</v>
      </c>
      <c r="E847" s="294" t="s">
        <v>11969</v>
      </c>
      <c r="F847" s="294"/>
      <c r="G847" s="241" t="s">
        <v>4</v>
      </c>
      <c r="H847" s="214" t="s">
        <v>11970</v>
      </c>
    </row>
    <row r="848" spans="1:8" x14ac:dyDescent="0.25">
      <c r="A848" s="205">
        <v>43384</v>
      </c>
      <c r="B848" s="206" t="s">
        <v>12205</v>
      </c>
      <c r="C848" s="206" t="s">
        <v>12206</v>
      </c>
      <c r="D848" s="206" t="s">
        <v>12207</v>
      </c>
      <c r="E848" s="306" t="s">
        <v>12208</v>
      </c>
      <c r="F848" s="306"/>
      <c r="G848" s="115" t="s">
        <v>16</v>
      </c>
      <c r="H848" s="218">
        <v>19.95</v>
      </c>
    </row>
    <row r="849" spans="1:8" x14ac:dyDescent="0.25">
      <c r="A849" s="205">
        <v>43384</v>
      </c>
      <c r="B849" s="206" t="s">
        <v>12209</v>
      </c>
      <c r="C849" s="206" t="s">
        <v>12210</v>
      </c>
      <c r="D849" s="206" t="s">
        <v>12211</v>
      </c>
      <c r="E849" s="316" t="s">
        <v>12212</v>
      </c>
      <c r="F849" s="295"/>
      <c r="G849" s="115" t="s">
        <v>16</v>
      </c>
      <c r="H849" s="208">
        <f>206.9/3</f>
        <v>68.966666666666669</v>
      </c>
    </row>
    <row r="850" spans="1:8" x14ac:dyDescent="0.25">
      <c r="A850" s="205">
        <v>43384</v>
      </c>
      <c r="B850" s="206" t="s">
        <v>12213</v>
      </c>
      <c r="C850" s="206" t="s">
        <v>12214</v>
      </c>
      <c r="D850" s="206" t="s">
        <v>12215</v>
      </c>
      <c r="E850" s="307" t="s">
        <v>12216</v>
      </c>
      <c r="F850" s="307"/>
      <c r="G850" s="115" t="s">
        <v>16</v>
      </c>
      <c r="H850" s="208">
        <v>23.19</v>
      </c>
    </row>
    <row r="851" spans="1:8" ht="13.5" thickBot="1" x14ac:dyDescent="0.3">
      <c r="A851" s="296" t="s">
        <v>11981</v>
      </c>
      <c r="B851" s="297"/>
      <c r="C851" s="297"/>
      <c r="D851" s="297"/>
      <c r="E851" s="297"/>
      <c r="F851" s="297"/>
      <c r="G851" s="298"/>
      <c r="H851" s="188">
        <f>TRUNC(MEDIAN(H848:H850),2)</f>
        <v>23.19</v>
      </c>
    </row>
    <row r="852" spans="1:8" ht="13.5" thickBot="1" x14ac:dyDescent="0.3"/>
    <row r="853" spans="1:8" ht="25.5" x14ac:dyDescent="0.25">
      <c r="A853" s="120" t="s">
        <v>90</v>
      </c>
      <c r="B853" s="286" t="s">
        <v>91</v>
      </c>
      <c r="C853" s="287"/>
      <c r="D853" s="287"/>
      <c r="E853" s="287"/>
      <c r="F853" s="287"/>
      <c r="G853" s="288"/>
      <c r="H853" s="121" t="s">
        <v>4</v>
      </c>
    </row>
    <row r="854" spans="1:8" ht="13.5" thickBot="1" x14ac:dyDescent="0.3">
      <c r="A854" s="113" t="s">
        <v>12217</v>
      </c>
      <c r="B854" s="289" t="s">
        <v>12221</v>
      </c>
      <c r="C854" s="290"/>
      <c r="D854" s="290"/>
      <c r="E854" s="290"/>
      <c r="F854" s="290"/>
      <c r="G854" s="291"/>
      <c r="H854" s="114" t="s">
        <v>16</v>
      </c>
    </row>
    <row r="855" spans="1:8" x14ac:dyDescent="0.25">
      <c r="A855" s="273" t="s">
        <v>13834</v>
      </c>
      <c r="B855" s="275" t="s">
        <v>92</v>
      </c>
      <c r="C855" s="276"/>
      <c r="D855" s="185" t="s">
        <v>12218</v>
      </c>
      <c r="E855" s="239" t="s">
        <v>93</v>
      </c>
      <c r="F855" s="186">
        <v>0</v>
      </c>
      <c r="G855" s="277" t="s">
        <v>94</v>
      </c>
      <c r="H855" s="278"/>
    </row>
    <row r="856" spans="1:8" x14ac:dyDescent="0.25">
      <c r="A856" s="274"/>
      <c r="B856" s="281" t="s">
        <v>95</v>
      </c>
      <c r="C856" s="282"/>
      <c r="D856" s="187">
        <v>43808</v>
      </c>
      <c r="E856" s="240" t="s">
        <v>96</v>
      </c>
      <c r="F856" s="187">
        <v>43808</v>
      </c>
      <c r="G856" s="279"/>
      <c r="H856" s="280"/>
    </row>
    <row r="857" spans="1:8" x14ac:dyDescent="0.25">
      <c r="A857" s="122" t="s">
        <v>11885</v>
      </c>
      <c r="B857" s="123" t="s">
        <v>97</v>
      </c>
      <c r="C857" s="123" t="s">
        <v>98</v>
      </c>
      <c r="D857" s="123" t="s">
        <v>3</v>
      </c>
      <c r="E857" s="123" t="s">
        <v>4</v>
      </c>
      <c r="F857" s="123" t="s">
        <v>99</v>
      </c>
      <c r="G857" s="123" t="s">
        <v>100</v>
      </c>
      <c r="H857" s="124" t="s">
        <v>101</v>
      </c>
    </row>
    <row r="858" spans="1:8" ht="25.5" x14ac:dyDescent="0.25">
      <c r="A858" s="125" t="s">
        <v>398</v>
      </c>
      <c r="B858" s="115" t="s">
        <v>9</v>
      </c>
      <c r="C858" s="115">
        <v>88262</v>
      </c>
      <c r="D858" s="127" t="str">
        <f>IF(A858="COMPOSIÇÃO",VLOOKUP(C858,'SINAPI_COMPOSIÇÕES 062020'!A:B,2,FALSE),VLOOKUP(C858,'SINAPI_INSUMOS 062020'!A:B,2,FALSE))</f>
        <v>CARPINTEIRO DE FORMAS COM ENCARGOS COMPLEMENTARES</v>
      </c>
      <c r="E858" s="126" t="str">
        <f>IF(A858="COMPOSIÇÃO",VLOOKUP(C858,'SINAPI_COMPOSIÇÕES 062020'!A:C,3,FALSE),VLOOKUP(C858,'SINAPI_INSUMOS 062020'!A:C,3,FALSE))</f>
        <v>H</v>
      </c>
      <c r="F858" s="74">
        <v>0.75</v>
      </c>
      <c r="G858" s="128">
        <f>IF(A858="COMPOSIÇÃO",VLOOKUP(C858,'SINAPI_COMPOSIÇÕES 062020'!A:D,4,FALSE),VLOOKUP(C858,'SINAPI_INSUMOS 062020'!A:D,4,FALSE))</f>
        <v>17.64</v>
      </c>
      <c r="H858" s="75">
        <f t="shared" ref="H858:H862" si="65">TRUNC(G858*F858,2)</f>
        <v>13.23</v>
      </c>
    </row>
    <row r="859" spans="1:8" ht="25.5" x14ac:dyDescent="0.25">
      <c r="A859" s="125" t="s">
        <v>398</v>
      </c>
      <c r="B859" s="115" t="s">
        <v>9</v>
      </c>
      <c r="C859" s="115">
        <v>88316</v>
      </c>
      <c r="D859" s="127" t="str">
        <f>IF(A859="COMPOSIÇÃO",VLOOKUP(C859,'SINAPI_COMPOSIÇÕES 062020'!A:B,2,FALSE),VLOOKUP(C859,'SINAPI_INSUMOS 062020'!A:B,2,FALSE))</f>
        <v>SERVENTE COM ENCARGOS COMPLEMENTARES</v>
      </c>
      <c r="E859" s="126" t="str">
        <f>IF(A859="COMPOSIÇÃO",VLOOKUP(C859,'SINAPI_COMPOSIÇÕES 062020'!A:C,3,FALSE),VLOOKUP(C859,'SINAPI_INSUMOS 062020'!A:C,3,FALSE))</f>
        <v>H</v>
      </c>
      <c r="F859" s="74">
        <v>0.75</v>
      </c>
      <c r="G859" s="128">
        <f>IF(A859="COMPOSIÇÃO",VLOOKUP(C859,'SINAPI_COMPOSIÇÕES 062020'!A:D,4,FALSE),VLOOKUP(C859,'SINAPI_INSUMOS 062020'!A:D,4,FALSE))</f>
        <v>14.37</v>
      </c>
      <c r="H859" s="75">
        <f t="shared" si="65"/>
        <v>10.77</v>
      </c>
    </row>
    <row r="860" spans="1:8" ht="25.5" x14ac:dyDescent="0.25">
      <c r="A860" s="125" t="s">
        <v>398</v>
      </c>
      <c r="B860" s="115" t="s">
        <v>9</v>
      </c>
      <c r="C860" s="115">
        <v>88317</v>
      </c>
      <c r="D860" s="127" t="str">
        <f>IF(A860="COMPOSIÇÃO",VLOOKUP(C860,'SINAPI_COMPOSIÇÕES 062020'!A:B,2,FALSE),VLOOKUP(C860,'SINAPI_INSUMOS 062020'!A:B,2,FALSE))</f>
        <v>SOLDADOR COM ENCARGOS COMPLEMENTARES</v>
      </c>
      <c r="E860" s="126" t="str">
        <f>IF(A860="COMPOSIÇÃO",VLOOKUP(C860,'SINAPI_COMPOSIÇÕES 062020'!A:C,3,FALSE),VLOOKUP(C860,'SINAPI_INSUMOS 062020'!A:C,3,FALSE))</f>
        <v>H</v>
      </c>
      <c r="F860" s="74">
        <v>2</v>
      </c>
      <c r="G860" s="128">
        <f>IF(A860="COMPOSIÇÃO",VLOOKUP(C860,'SINAPI_COMPOSIÇÕES 062020'!A:D,4,FALSE),VLOOKUP(C860,'SINAPI_INSUMOS 062020'!A:D,4,FALSE))</f>
        <v>17.98</v>
      </c>
      <c r="H860" s="75">
        <f t="shared" si="65"/>
        <v>35.96</v>
      </c>
    </row>
    <row r="861" spans="1:8" ht="25.5" x14ac:dyDescent="0.25">
      <c r="A861" s="125" t="s">
        <v>400</v>
      </c>
      <c r="B861" s="115" t="s">
        <v>9</v>
      </c>
      <c r="C861" s="115">
        <v>43106</v>
      </c>
      <c r="D861" s="127" t="str">
        <f>IF(A861="COMPOSIÇÃO",VLOOKUP(C861,'SINAPI_COMPOSIÇÕES 062020'!A:B,2,FALSE),VLOOKUP(C861,'SINAPI_INSUMOS 062020'!A:B,2,FALSE))</f>
        <v>CHAPA DE ACO GALVANIZADA BITOLA GSG 24, E = 0,64 (5,12 KG/M2)</v>
      </c>
      <c r="E861" s="126" t="str">
        <f>IF(A861="COMPOSIÇÃO",VLOOKUP(C861,'SINAPI_COMPOSIÇÕES 062020'!A:C,3,FALSE),VLOOKUP(C861,'SINAPI_INSUMOS 062020'!A:C,3,FALSE))</f>
        <v xml:space="preserve">KG    </v>
      </c>
      <c r="F861" s="74">
        <f>(0.75*1)*1.05</f>
        <v>0.78750000000000009</v>
      </c>
      <c r="G861" s="128">
        <f>IF(A861="COMPOSIÇÃO",VLOOKUP(C861,'SINAPI_COMPOSIÇÕES 062020'!A:D,4,FALSE),VLOOKUP(C861,'SINAPI_INSUMOS 062020'!A:D,4,FALSE))</f>
        <v>9.9499999999999993</v>
      </c>
      <c r="H861" s="75">
        <f t="shared" si="65"/>
        <v>7.83</v>
      </c>
    </row>
    <row r="862" spans="1:8" ht="25.5" x14ac:dyDescent="0.25">
      <c r="A862" s="125" t="s">
        <v>400</v>
      </c>
      <c r="B862" s="115" t="s">
        <v>9</v>
      </c>
      <c r="C862" s="115">
        <v>10997</v>
      </c>
      <c r="D862" s="127" t="str">
        <f>IF(A862="COMPOSIÇÃO",VLOOKUP(C862,'SINAPI_COMPOSIÇÕES 062020'!A:B,2,FALSE),VLOOKUP(C862,'SINAPI_INSUMOS 062020'!A:B,2,FALSE))</f>
        <v>ELETRODO REVESTIDO AWS - E7018, DIAMETRO IGUAL A 4,00 MM</v>
      </c>
      <c r="E862" s="126" t="str">
        <f>IF(A862="COMPOSIÇÃO",VLOOKUP(C862,'SINAPI_COMPOSIÇÕES 062020'!A:C,3,FALSE),VLOOKUP(C862,'SINAPI_INSUMOS 062020'!A:C,3,FALSE))</f>
        <v xml:space="preserve">KG    </v>
      </c>
      <c r="F862" s="74">
        <v>0.35</v>
      </c>
      <c r="G862" s="128">
        <f>IF(A862="COMPOSIÇÃO",VLOOKUP(C862,'SINAPI_COMPOSIÇÕES 062020'!A:D,4,FALSE),VLOOKUP(C862,'SINAPI_INSUMOS 062020'!A:D,4,FALSE))</f>
        <v>13.2</v>
      </c>
      <c r="H862" s="75">
        <f t="shared" si="65"/>
        <v>4.62</v>
      </c>
    </row>
    <row r="863" spans="1:8" ht="13.5" thickBot="1" x14ac:dyDescent="0.3">
      <c r="A863" s="267" t="str">
        <f>CONCATENATE("TOTAL DO ÍTEM - ",A854)</f>
        <v>TOTAL DO ÍTEM - MPMT-02525</v>
      </c>
      <c r="B863" s="268"/>
      <c r="C863" s="268"/>
      <c r="D863" s="268"/>
      <c r="E863" s="268"/>
      <c r="F863" s="268"/>
      <c r="G863" s="269"/>
      <c r="H863" s="188">
        <f>TRUNC(SUM(H858:H862),2)</f>
        <v>72.41</v>
      </c>
    </row>
    <row r="864" spans="1:8" ht="13.5" thickBot="1" x14ac:dyDescent="0.3">
      <c r="A864" s="302" t="s">
        <v>12219</v>
      </c>
      <c r="B864" s="303"/>
      <c r="C864" s="303"/>
      <c r="D864" s="303"/>
      <c r="E864" s="303"/>
      <c r="F864" s="303"/>
      <c r="G864" s="303"/>
      <c r="H864" s="304"/>
    </row>
    <row r="865" spans="1:8" ht="13.5" thickBot="1" x14ac:dyDescent="0.3"/>
    <row r="866" spans="1:8" ht="25.5" x14ac:dyDescent="0.25">
      <c r="A866" s="120" t="s">
        <v>90</v>
      </c>
      <c r="B866" s="286" t="s">
        <v>91</v>
      </c>
      <c r="C866" s="287"/>
      <c r="D866" s="287"/>
      <c r="E866" s="287"/>
      <c r="F866" s="287"/>
      <c r="G866" s="288"/>
      <c r="H866" s="121" t="s">
        <v>4</v>
      </c>
    </row>
    <row r="867" spans="1:8" ht="13.5" thickBot="1" x14ac:dyDescent="0.3">
      <c r="A867" s="113" t="s">
        <v>12220</v>
      </c>
      <c r="B867" s="289" t="s">
        <v>12222</v>
      </c>
      <c r="C867" s="290"/>
      <c r="D867" s="290"/>
      <c r="E867" s="290"/>
      <c r="F867" s="290"/>
      <c r="G867" s="291"/>
      <c r="H867" s="114" t="s">
        <v>16</v>
      </c>
    </row>
    <row r="868" spans="1:8" x14ac:dyDescent="0.25">
      <c r="A868" s="273" t="s">
        <v>13834</v>
      </c>
      <c r="B868" s="275" t="s">
        <v>92</v>
      </c>
      <c r="C868" s="276"/>
      <c r="D868" s="185" t="s">
        <v>12218</v>
      </c>
      <c r="E868" s="239" t="s">
        <v>93</v>
      </c>
      <c r="F868" s="186">
        <v>0</v>
      </c>
      <c r="G868" s="277" t="s">
        <v>94</v>
      </c>
      <c r="H868" s="278"/>
    </row>
    <row r="869" spans="1:8" x14ac:dyDescent="0.25">
      <c r="A869" s="274"/>
      <c r="B869" s="281" t="s">
        <v>95</v>
      </c>
      <c r="C869" s="282"/>
      <c r="D869" s="187">
        <v>43584</v>
      </c>
      <c r="E869" s="240" t="s">
        <v>96</v>
      </c>
      <c r="F869" s="187">
        <v>43584</v>
      </c>
      <c r="G869" s="279"/>
      <c r="H869" s="280"/>
    </row>
    <row r="870" spans="1:8" x14ac:dyDescent="0.25">
      <c r="A870" s="122" t="s">
        <v>11885</v>
      </c>
      <c r="B870" s="123" t="s">
        <v>97</v>
      </c>
      <c r="C870" s="123" t="s">
        <v>98</v>
      </c>
      <c r="D870" s="123" t="s">
        <v>3</v>
      </c>
      <c r="E870" s="123" t="s">
        <v>4</v>
      </c>
      <c r="F870" s="123" t="s">
        <v>99</v>
      </c>
      <c r="G870" s="123" t="s">
        <v>100</v>
      </c>
      <c r="H870" s="124" t="s">
        <v>101</v>
      </c>
    </row>
    <row r="871" spans="1:8" ht="25.5" x14ac:dyDescent="0.25">
      <c r="A871" s="125" t="s">
        <v>398</v>
      </c>
      <c r="B871" s="115" t="s">
        <v>9</v>
      </c>
      <c r="C871" s="115">
        <v>88262</v>
      </c>
      <c r="D871" s="127" t="str">
        <f>IF(A871="COMPOSIÇÃO",VLOOKUP(C871,'SINAPI_COMPOSIÇÕES 062020'!A:B,2,FALSE),VLOOKUP(C871,'SINAPI_INSUMOS 062020'!A:B,2,FALSE))</f>
        <v>CARPINTEIRO DE FORMAS COM ENCARGOS COMPLEMENTARES</v>
      </c>
      <c r="E871" s="126" t="str">
        <f>IF(A871="COMPOSIÇÃO",VLOOKUP(C871,'SINAPI_COMPOSIÇÕES 062020'!A:C,3,FALSE),VLOOKUP(C871,'SINAPI_INSUMOS 062020'!A:C,3,FALSE))</f>
        <v>H</v>
      </c>
      <c r="F871" s="74">
        <v>0.75</v>
      </c>
      <c r="G871" s="128">
        <f>IF(A871="COMPOSIÇÃO",VLOOKUP(C871,'SINAPI_COMPOSIÇÕES 062020'!A:D,4,FALSE),VLOOKUP(C871,'SINAPI_INSUMOS 062020'!A:D,4,FALSE))</f>
        <v>17.64</v>
      </c>
      <c r="H871" s="75">
        <f t="shared" ref="H871:H875" si="66">TRUNC(G871*F871,2)</f>
        <v>13.23</v>
      </c>
    </row>
    <row r="872" spans="1:8" ht="25.5" x14ac:dyDescent="0.25">
      <c r="A872" s="125" t="s">
        <v>398</v>
      </c>
      <c r="B872" s="115" t="s">
        <v>9</v>
      </c>
      <c r="C872" s="115">
        <v>88316</v>
      </c>
      <c r="D872" s="127" t="str">
        <f>IF(A872="COMPOSIÇÃO",VLOOKUP(C872,'SINAPI_COMPOSIÇÕES 062020'!A:B,2,FALSE),VLOOKUP(C872,'SINAPI_INSUMOS 062020'!A:B,2,FALSE))</f>
        <v>SERVENTE COM ENCARGOS COMPLEMENTARES</v>
      </c>
      <c r="E872" s="126" t="str">
        <f>IF(A872="COMPOSIÇÃO",VLOOKUP(C872,'SINAPI_COMPOSIÇÕES 062020'!A:C,3,FALSE),VLOOKUP(C872,'SINAPI_INSUMOS 062020'!A:C,3,FALSE))</f>
        <v>H</v>
      </c>
      <c r="F872" s="74">
        <v>0.75</v>
      </c>
      <c r="G872" s="128">
        <f>IF(A872="COMPOSIÇÃO",VLOOKUP(C872,'SINAPI_COMPOSIÇÕES 062020'!A:D,4,FALSE),VLOOKUP(C872,'SINAPI_INSUMOS 062020'!A:D,4,FALSE))</f>
        <v>14.37</v>
      </c>
      <c r="H872" s="75">
        <f t="shared" si="66"/>
        <v>10.77</v>
      </c>
    </row>
    <row r="873" spans="1:8" ht="25.5" x14ac:dyDescent="0.25">
      <c r="A873" s="125" t="s">
        <v>398</v>
      </c>
      <c r="B873" s="115" t="s">
        <v>9</v>
      </c>
      <c r="C873" s="115">
        <v>88317</v>
      </c>
      <c r="D873" s="127" t="str">
        <f>IF(A873="COMPOSIÇÃO",VLOOKUP(C873,'SINAPI_COMPOSIÇÕES 062020'!A:B,2,FALSE),VLOOKUP(C873,'SINAPI_INSUMOS 062020'!A:B,2,FALSE))</f>
        <v>SOLDADOR COM ENCARGOS COMPLEMENTARES</v>
      </c>
      <c r="E873" s="126" t="str">
        <f>IF(A873="COMPOSIÇÃO",VLOOKUP(C873,'SINAPI_COMPOSIÇÕES 062020'!A:C,3,FALSE),VLOOKUP(C873,'SINAPI_INSUMOS 062020'!A:C,3,FALSE))</f>
        <v>H</v>
      </c>
      <c r="F873" s="74">
        <v>2</v>
      </c>
      <c r="G873" s="128">
        <f>IF(A873="COMPOSIÇÃO",VLOOKUP(C873,'SINAPI_COMPOSIÇÕES 062020'!A:D,4,FALSE),VLOOKUP(C873,'SINAPI_INSUMOS 062020'!A:D,4,FALSE))</f>
        <v>17.98</v>
      </c>
      <c r="H873" s="75">
        <f t="shared" si="66"/>
        <v>35.96</v>
      </c>
    </row>
    <row r="874" spans="1:8" ht="25.5" x14ac:dyDescent="0.25">
      <c r="A874" s="125" t="s">
        <v>400</v>
      </c>
      <c r="B874" s="115" t="s">
        <v>9</v>
      </c>
      <c r="C874" s="115">
        <v>43106</v>
      </c>
      <c r="D874" s="127" t="str">
        <f>IF(A874="COMPOSIÇÃO",VLOOKUP(C874,'SINAPI_COMPOSIÇÕES 062020'!A:B,2,FALSE),VLOOKUP(C874,'SINAPI_INSUMOS 062020'!A:B,2,FALSE))</f>
        <v>CHAPA DE ACO GALVANIZADA BITOLA GSG 24, E = 0,64 (5,12 KG/M2)</v>
      </c>
      <c r="E874" s="126" t="str">
        <f>IF(A874="COMPOSIÇÃO",VLOOKUP(C874,'SINAPI_COMPOSIÇÕES 062020'!A:C,3,FALSE),VLOOKUP(C874,'SINAPI_INSUMOS 062020'!A:C,3,FALSE))</f>
        <v xml:space="preserve">KG    </v>
      </c>
      <c r="F874" s="74">
        <f>(0.85*1)*1.05</f>
        <v>0.89249999999999996</v>
      </c>
      <c r="G874" s="128">
        <f>IF(A874="COMPOSIÇÃO",VLOOKUP(C874,'SINAPI_COMPOSIÇÕES 062020'!A:D,4,FALSE),VLOOKUP(C874,'SINAPI_INSUMOS 062020'!A:D,4,FALSE))</f>
        <v>9.9499999999999993</v>
      </c>
      <c r="H874" s="75">
        <f t="shared" si="66"/>
        <v>8.8800000000000008</v>
      </c>
    </row>
    <row r="875" spans="1:8" ht="25.5" x14ac:dyDescent="0.25">
      <c r="A875" s="125" t="s">
        <v>400</v>
      </c>
      <c r="B875" s="115" t="s">
        <v>9</v>
      </c>
      <c r="C875" s="115">
        <v>10997</v>
      </c>
      <c r="D875" s="127" t="str">
        <f>IF(A875="COMPOSIÇÃO",VLOOKUP(C875,'SINAPI_COMPOSIÇÕES 062020'!A:B,2,FALSE),VLOOKUP(C875,'SINAPI_INSUMOS 062020'!A:B,2,FALSE))</f>
        <v>ELETRODO REVESTIDO AWS - E7018, DIAMETRO IGUAL A 4,00 MM</v>
      </c>
      <c r="E875" s="126" t="str">
        <f>IF(A875="COMPOSIÇÃO",VLOOKUP(C875,'SINAPI_COMPOSIÇÕES 062020'!A:C,3,FALSE),VLOOKUP(C875,'SINAPI_INSUMOS 062020'!A:C,3,FALSE))</f>
        <v xml:space="preserve">KG    </v>
      </c>
      <c r="F875" s="74">
        <v>0.35</v>
      </c>
      <c r="G875" s="128">
        <f>IF(A875="COMPOSIÇÃO",VLOOKUP(C875,'SINAPI_COMPOSIÇÕES 062020'!A:D,4,FALSE),VLOOKUP(C875,'SINAPI_INSUMOS 062020'!A:D,4,FALSE))</f>
        <v>13.2</v>
      </c>
      <c r="H875" s="75">
        <f t="shared" si="66"/>
        <v>4.62</v>
      </c>
    </row>
    <row r="876" spans="1:8" ht="13.5" thickBot="1" x14ac:dyDescent="0.3">
      <c r="A876" s="267" t="str">
        <f>CONCATENATE("TOTAL DO ÍTEM - ",A867)</f>
        <v>TOTAL DO ÍTEM - MPMT-02426</v>
      </c>
      <c r="B876" s="268"/>
      <c r="C876" s="268"/>
      <c r="D876" s="268"/>
      <c r="E876" s="268"/>
      <c r="F876" s="268"/>
      <c r="G876" s="269"/>
      <c r="H876" s="188">
        <f>TRUNC(SUM(H871:H875),2)</f>
        <v>73.459999999999994</v>
      </c>
    </row>
    <row r="877" spans="1:8" ht="13.5" thickBot="1" x14ac:dyDescent="0.3">
      <c r="A877" s="302" t="s">
        <v>12219</v>
      </c>
      <c r="B877" s="303"/>
      <c r="C877" s="303"/>
      <c r="D877" s="303"/>
      <c r="E877" s="303"/>
      <c r="F877" s="303"/>
      <c r="G877" s="303"/>
      <c r="H877" s="304"/>
    </row>
    <row r="878" spans="1:8" ht="13.5" thickBot="1" x14ac:dyDescent="0.3"/>
    <row r="879" spans="1:8" ht="25.5" x14ac:dyDescent="0.25">
      <c r="A879" s="120" t="s">
        <v>90</v>
      </c>
      <c r="B879" s="286" t="s">
        <v>91</v>
      </c>
      <c r="C879" s="287"/>
      <c r="D879" s="287"/>
      <c r="E879" s="287"/>
      <c r="F879" s="287"/>
      <c r="G879" s="288"/>
      <c r="H879" s="121" t="s">
        <v>4</v>
      </c>
    </row>
    <row r="880" spans="1:8" ht="13.5" thickBot="1" x14ac:dyDescent="0.3">
      <c r="A880" s="113" t="s">
        <v>12223</v>
      </c>
      <c r="B880" s="289" t="s">
        <v>12224</v>
      </c>
      <c r="C880" s="290"/>
      <c r="D880" s="290"/>
      <c r="E880" s="290"/>
      <c r="F880" s="290"/>
      <c r="G880" s="291"/>
      <c r="H880" s="114" t="s">
        <v>16</v>
      </c>
    </row>
    <row r="881" spans="1:8" x14ac:dyDescent="0.25">
      <c r="A881" s="273" t="s">
        <v>13834</v>
      </c>
      <c r="B881" s="275" t="s">
        <v>92</v>
      </c>
      <c r="C881" s="276"/>
      <c r="D881" s="185" t="s">
        <v>12225</v>
      </c>
      <c r="E881" s="239" t="s">
        <v>93</v>
      </c>
      <c r="F881" s="186">
        <v>0</v>
      </c>
      <c r="G881" s="277" t="s">
        <v>94</v>
      </c>
      <c r="H881" s="278"/>
    </row>
    <row r="882" spans="1:8" x14ac:dyDescent="0.25">
      <c r="A882" s="274"/>
      <c r="B882" s="281" t="s">
        <v>95</v>
      </c>
      <c r="C882" s="282"/>
      <c r="D882" s="187">
        <v>43265</v>
      </c>
      <c r="E882" s="240" t="s">
        <v>96</v>
      </c>
      <c r="F882" s="187">
        <v>43265</v>
      </c>
      <c r="G882" s="279"/>
      <c r="H882" s="280"/>
    </row>
    <row r="883" spans="1:8" x14ac:dyDescent="0.25">
      <c r="A883" s="122" t="s">
        <v>11885</v>
      </c>
      <c r="B883" s="123" t="s">
        <v>97</v>
      </c>
      <c r="C883" s="123" t="s">
        <v>98</v>
      </c>
      <c r="D883" s="123" t="s">
        <v>3</v>
      </c>
      <c r="E883" s="123" t="s">
        <v>4</v>
      </c>
      <c r="F883" s="123" t="s">
        <v>99</v>
      </c>
      <c r="G883" s="123" t="s">
        <v>100</v>
      </c>
      <c r="H883" s="124" t="s">
        <v>101</v>
      </c>
    </row>
    <row r="884" spans="1:8" ht="25.5" x14ac:dyDescent="0.25">
      <c r="A884" s="125" t="s">
        <v>398</v>
      </c>
      <c r="B884" s="115" t="s">
        <v>9</v>
      </c>
      <c r="C884" s="115">
        <v>88316</v>
      </c>
      <c r="D884" s="127" t="str">
        <f>IF(A884="COMPOSIÇÃO",VLOOKUP(C884,'SINAPI_COMPOSIÇÕES 062020'!A:B,2,FALSE),VLOOKUP(C884,'SINAPI_INSUMOS 062020'!A:B,2,FALSE))</f>
        <v>SERVENTE COM ENCARGOS COMPLEMENTARES</v>
      </c>
      <c r="E884" s="126" t="str">
        <f>IF(A884="COMPOSIÇÃO",VLOOKUP(C884,'SINAPI_COMPOSIÇÕES 062020'!A:C,3,FALSE),VLOOKUP(C884,'SINAPI_INSUMOS 062020'!A:C,3,FALSE))</f>
        <v>H</v>
      </c>
      <c r="F884" s="74">
        <v>1</v>
      </c>
      <c r="G884" s="128">
        <f>IF(A884="COMPOSIÇÃO",VLOOKUP(C884,'SINAPI_COMPOSIÇÕES 062020'!A:D,4,FALSE),VLOOKUP(C884,'SINAPI_INSUMOS 062020'!A:D,4,FALSE))</f>
        <v>14.37</v>
      </c>
      <c r="H884" s="75">
        <f t="shared" ref="H884:H887" si="67">TRUNC(G884*F884,2)</f>
        <v>14.37</v>
      </c>
    </row>
    <row r="885" spans="1:8" ht="25.5" x14ac:dyDescent="0.25">
      <c r="A885" s="125" t="s">
        <v>398</v>
      </c>
      <c r="B885" s="115" t="s">
        <v>9</v>
      </c>
      <c r="C885" s="115">
        <v>88309</v>
      </c>
      <c r="D885" s="127" t="str">
        <f>IF(A885="COMPOSIÇÃO",VLOOKUP(C885,'SINAPI_COMPOSIÇÕES 062020'!A:B,2,FALSE),VLOOKUP(C885,'SINAPI_INSUMOS 062020'!A:B,2,FALSE))</f>
        <v>PEDREIRO COM ENCARGOS COMPLEMENTARES</v>
      </c>
      <c r="E885" s="126" t="str">
        <f>IF(A885="COMPOSIÇÃO",VLOOKUP(C885,'SINAPI_COMPOSIÇÕES 062020'!A:C,3,FALSE),VLOOKUP(C885,'SINAPI_INSUMOS 062020'!A:C,3,FALSE))</f>
        <v>H</v>
      </c>
      <c r="F885" s="74">
        <v>1</v>
      </c>
      <c r="G885" s="128">
        <f>IF(A885="COMPOSIÇÃO",VLOOKUP(C885,'SINAPI_COMPOSIÇÕES 062020'!A:D,4,FALSE),VLOOKUP(C885,'SINAPI_INSUMOS 062020'!A:D,4,FALSE))</f>
        <v>17.760000000000002</v>
      </c>
      <c r="H885" s="75">
        <f t="shared" si="67"/>
        <v>17.760000000000002</v>
      </c>
    </row>
    <row r="886" spans="1:8" ht="38.25" x14ac:dyDescent="0.25">
      <c r="A886" s="125" t="s">
        <v>398</v>
      </c>
      <c r="B886" s="115" t="s">
        <v>9</v>
      </c>
      <c r="C886" s="115">
        <v>88631</v>
      </c>
      <c r="D886" s="127" t="str">
        <f>IF(A886="COMPOSIÇÃO",VLOOKUP(C886,'SINAPI_COMPOSIÇÕES 062020'!A:B,2,FALSE),VLOOKUP(C886,'SINAPI_INSUMOS 062020'!A:B,2,FALSE))</f>
        <v>ARGAMASSA TRAÇO 1:4 (EM VOLUME DE CIMENTO E AREIA MÉDIA ÚMIDA), PREPARO MANUAL. AF_08/2019</v>
      </c>
      <c r="E886" s="126" t="str">
        <f>IF(A886="COMPOSIÇÃO",VLOOKUP(C886,'SINAPI_COMPOSIÇÕES 062020'!A:C,3,FALSE),VLOOKUP(C886,'SINAPI_INSUMOS 062020'!A:C,3,FALSE))</f>
        <v>M3</v>
      </c>
      <c r="F886" s="74">
        <v>2E-3</v>
      </c>
      <c r="G886" s="128">
        <f>IF(A886="COMPOSIÇÃO",VLOOKUP(C886,'SINAPI_COMPOSIÇÕES 062020'!A:D,4,FALSE),VLOOKUP(C886,'SINAPI_INSUMOS 062020'!A:D,4,FALSE))</f>
        <v>381.86</v>
      </c>
      <c r="H886" s="75">
        <f t="shared" si="67"/>
        <v>0.76</v>
      </c>
    </row>
    <row r="887" spans="1:8" ht="25.5" x14ac:dyDescent="0.25">
      <c r="A887" s="125" t="s">
        <v>400</v>
      </c>
      <c r="B887" s="115" t="s">
        <v>9</v>
      </c>
      <c r="C887" s="115">
        <v>43106</v>
      </c>
      <c r="D887" s="127" t="str">
        <f>IF(A887="COMPOSIÇÃO",VLOOKUP(C887,'SINAPI_COMPOSIÇÕES 062020'!A:B,2,FALSE),VLOOKUP(C887,'SINAPI_INSUMOS 062020'!A:B,2,FALSE))</f>
        <v>CHAPA DE ACO GALVANIZADA BITOLA GSG 24, E = 0,64 (5,12 KG/M2)</v>
      </c>
      <c r="E887" s="126" t="str">
        <f>IF(A887="COMPOSIÇÃO",VLOOKUP(C887,'SINAPI_COMPOSIÇÕES 062020'!A:C,3,FALSE),VLOOKUP(C887,'SINAPI_INSUMOS 062020'!A:C,3,FALSE))</f>
        <v xml:space="preserve">KG    </v>
      </c>
      <c r="F887" s="74">
        <f>(1*0.25)*1.1</f>
        <v>0.27500000000000002</v>
      </c>
      <c r="G887" s="128">
        <f>IF(A887="COMPOSIÇÃO",VLOOKUP(C887,'SINAPI_COMPOSIÇÕES 062020'!A:D,4,FALSE),VLOOKUP(C887,'SINAPI_INSUMOS 062020'!A:D,4,FALSE))</f>
        <v>9.9499999999999993</v>
      </c>
      <c r="H887" s="75">
        <f t="shared" si="67"/>
        <v>2.73</v>
      </c>
    </row>
    <row r="888" spans="1:8" ht="13.5" thickBot="1" x14ac:dyDescent="0.3">
      <c r="A888" s="267" t="str">
        <f>CONCATENATE("TOTAL DO ÍTEM - ",A880)</f>
        <v>TOTAL DO ÍTEM - MPMT-02268</v>
      </c>
      <c r="B888" s="268"/>
      <c r="C888" s="268"/>
      <c r="D888" s="268"/>
      <c r="E888" s="268"/>
      <c r="F888" s="268"/>
      <c r="G888" s="269"/>
      <c r="H888" s="188">
        <f>TRUNC(SUM(H884:H887),2)</f>
        <v>35.619999999999997</v>
      </c>
    </row>
    <row r="889" spans="1:8" ht="13.5" thickBot="1" x14ac:dyDescent="0.3">
      <c r="A889" s="270" t="s">
        <v>12226</v>
      </c>
      <c r="B889" s="271"/>
      <c r="C889" s="271"/>
      <c r="D889" s="271"/>
      <c r="E889" s="271"/>
      <c r="F889" s="271"/>
      <c r="G889" s="271"/>
      <c r="H889" s="272"/>
    </row>
    <row r="890" spans="1:8" ht="13.5" thickBot="1" x14ac:dyDescent="0.3"/>
    <row r="891" spans="1:8" ht="25.5" x14ac:dyDescent="0.25">
      <c r="A891" s="120" t="s">
        <v>90</v>
      </c>
      <c r="B891" s="286" t="s">
        <v>91</v>
      </c>
      <c r="C891" s="287"/>
      <c r="D891" s="287"/>
      <c r="E891" s="287"/>
      <c r="F891" s="287"/>
      <c r="G891" s="288"/>
      <c r="H891" s="121" t="s">
        <v>4</v>
      </c>
    </row>
    <row r="892" spans="1:8" ht="13.5" thickBot="1" x14ac:dyDescent="0.3">
      <c r="A892" s="113" t="s">
        <v>12227</v>
      </c>
      <c r="B892" s="289" t="s">
        <v>12228</v>
      </c>
      <c r="C892" s="290"/>
      <c r="D892" s="290"/>
      <c r="E892" s="290"/>
      <c r="F892" s="290"/>
      <c r="G892" s="291"/>
      <c r="H892" s="114" t="s">
        <v>16</v>
      </c>
    </row>
    <row r="893" spans="1:8" x14ac:dyDescent="0.25">
      <c r="A893" s="273" t="s">
        <v>13834</v>
      </c>
      <c r="B893" s="275" t="s">
        <v>92</v>
      </c>
      <c r="C893" s="276"/>
      <c r="D893" s="185" t="s">
        <v>12225</v>
      </c>
      <c r="E893" s="239" t="s">
        <v>93</v>
      </c>
      <c r="F893" s="186">
        <v>0</v>
      </c>
      <c r="G893" s="277" t="s">
        <v>94</v>
      </c>
      <c r="H893" s="278"/>
    </row>
    <row r="894" spans="1:8" x14ac:dyDescent="0.25">
      <c r="A894" s="274"/>
      <c r="B894" s="281" t="s">
        <v>95</v>
      </c>
      <c r="C894" s="282"/>
      <c r="D894" s="187">
        <v>43265</v>
      </c>
      <c r="E894" s="240" t="s">
        <v>96</v>
      </c>
      <c r="F894" s="187">
        <v>43265</v>
      </c>
      <c r="G894" s="279"/>
      <c r="H894" s="280"/>
    </row>
    <row r="895" spans="1:8" x14ac:dyDescent="0.25">
      <c r="A895" s="122" t="s">
        <v>11885</v>
      </c>
      <c r="B895" s="123" t="s">
        <v>97</v>
      </c>
      <c r="C895" s="123" t="s">
        <v>98</v>
      </c>
      <c r="D895" s="123" t="s">
        <v>3</v>
      </c>
      <c r="E895" s="123" t="s">
        <v>4</v>
      </c>
      <c r="F895" s="123" t="s">
        <v>99</v>
      </c>
      <c r="G895" s="123" t="s">
        <v>100</v>
      </c>
      <c r="H895" s="124" t="s">
        <v>101</v>
      </c>
    </row>
    <row r="896" spans="1:8" ht="25.5" x14ac:dyDescent="0.25">
      <c r="A896" s="125" t="s">
        <v>398</v>
      </c>
      <c r="B896" s="115" t="s">
        <v>9</v>
      </c>
      <c r="C896" s="115">
        <v>88316</v>
      </c>
      <c r="D896" s="127" t="str">
        <f>IF(A896="COMPOSIÇÃO",VLOOKUP(C896,'SINAPI_COMPOSIÇÕES 062020'!A:B,2,FALSE),VLOOKUP(C896,'SINAPI_INSUMOS 062020'!A:B,2,FALSE))</f>
        <v>SERVENTE COM ENCARGOS COMPLEMENTARES</v>
      </c>
      <c r="E896" s="126" t="str">
        <f>IF(A896="COMPOSIÇÃO",VLOOKUP(C896,'SINAPI_COMPOSIÇÕES 062020'!A:C,3,FALSE),VLOOKUP(C896,'SINAPI_INSUMOS 062020'!A:C,3,FALSE))</f>
        <v>H</v>
      </c>
      <c r="F896" s="74">
        <v>1</v>
      </c>
      <c r="G896" s="128">
        <f>IF(A896="COMPOSIÇÃO",VLOOKUP(C896,'SINAPI_COMPOSIÇÕES 062020'!A:D,4,FALSE),VLOOKUP(C896,'SINAPI_INSUMOS 062020'!A:D,4,FALSE))</f>
        <v>14.37</v>
      </c>
      <c r="H896" s="75">
        <f t="shared" ref="H896:H899" si="68">TRUNC(G896*F896,2)</f>
        <v>14.37</v>
      </c>
    </row>
    <row r="897" spans="1:8" ht="25.5" x14ac:dyDescent="0.25">
      <c r="A897" s="125" t="s">
        <v>398</v>
      </c>
      <c r="B897" s="115" t="s">
        <v>9</v>
      </c>
      <c r="C897" s="115">
        <v>88309</v>
      </c>
      <c r="D897" s="127" t="str">
        <f>IF(A897="COMPOSIÇÃO",VLOOKUP(C897,'SINAPI_COMPOSIÇÕES 062020'!A:B,2,FALSE),VLOOKUP(C897,'SINAPI_INSUMOS 062020'!A:B,2,FALSE))</f>
        <v>PEDREIRO COM ENCARGOS COMPLEMENTARES</v>
      </c>
      <c r="E897" s="126" t="str">
        <f>IF(A897="COMPOSIÇÃO",VLOOKUP(C897,'SINAPI_COMPOSIÇÕES 062020'!A:C,3,FALSE),VLOOKUP(C897,'SINAPI_INSUMOS 062020'!A:C,3,FALSE))</f>
        <v>H</v>
      </c>
      <c r="F897" s="74">
        <v>1</v>
      </c>
      <c r="G897" s="128">
        <f>IF(A897="COMPOSIÇÃO",VLOOKUP(C897,'SINAPI_COMPOSIÇÕES 062020'!A:D,4,FALSE),VLOOKUP(C897,'SINAPI_INSUMOS 062020'!A:D,4,FALSE))</f>
        <v>17.760000000000002</v>
      </c>
      <c r="H897" s="75">
        <f t="shared" si="68"/>
        <v>17.760000000000002</v>
      </c>
    </row>
    <row r="898" spans="1:8" ht="38.25" x14ac:dyDescent="0.25">
      <c r="A898" s="125" t="s">
        <v>398</v>
      </c>
      <c r="B898" s="115" t="s">
        <v>9</v>
      </c>
      <c r="C898" s="115">
        <v>88631</v>
      </c>
      <c r="D898" s="127" t="str">
        <f>IF(A898="COMPOSIÇÃO",VLOOKUP(C898,'SINAPI_COMPOSIÇÕES 062020'!A:B,2,FALSE),VLOOKUP(C898,'SINAPI_INSUMOS 062020'!A:B,2,FALSE))</f>
        <v>ARGAMASSA TRAÇO 1:4 (EM VOLUME DE CIMENTO E AREIA MÉDIA ÚMIDA), PREPARO MANUAL. AF_08/2019</v>
      </c>
      <c r="E898" s="126" t="str">
        <f>IF(A898="COMPOSIÇÃO",VLOOKUP(C898,'SINAPI_COMPOSIÇÕES 062020'!A:C,3,FALSE),VLOOKUP(C898,'SINAPI_INSUMOS 062020'!A:C,3,FALSE))</f>
        <v>M3</v>
      </c>
      <c r="F898" s="74">
        <v>2E-3</v>
      </c>
      <c r="G898" s="128">
        <f>IF(A898="COMPOSIÇÃO",VLOOKUP(C898,'SINAPI_COMPOSIÇÕES 062020'!A:D,4,FALSE),VLOOKUP(C898,'SINAPI_INSUMOS 062020'!A:D,4,FALSE))</f>
        <v>381.86</v>
      </c>
      <c r="H898" s="75">
        <f t="shared" si="68"/>
        <v>0.76</v>
      </c>
    </row>
    <row r="899" spans="1:8" ht="25.5" x14ac:dyDescent="0.25">
      <c r="A899" s="125" t="s">
        <v>400</v>
      </c>
      <c r="B899" s="115" t="s">
        <v>9</v>
      </c>
      <c r="C899" s="115">
        <v>43106</v>
      </c>
      <c r="D899" s="127" t="str">
        <f>IF(A899="COMPOSIÇÃO",VLOOKUP(C899,'SINAPI_COMPOSIÇÕES 062020'!A:B,2,FALSE),VLOOKUP(C899,'SINAPI_INSUMOS 062020'!A:B,2,FALSE))</f>
        <v>CHAPA DE ACO GALVANIZADA BITOLA GSG 24, E = 0,64 (5,12 KG/M2)</v>
      </c>
      <c r="E899" s="126" t="str">
        <f>IF(A899="COMPOSIÇÃO",VLOOKUP(C899,'SINAPI_COMPOSIÇÕES 062020'!A:C,3,FALSE),VLOOKUP(C899,'SINAPI_INSUMOS 062020'!A:C,3,FALSE))</f>
        <v xml:space="preserve">KG    </v>
      </c>
      <c r="F899" s="74">
        <f>(1*0.275)*1.1</f>
        <v>0.30250000000000005</v>
      </c>
      <c r="G899" s="128">
        <f>IF(A899="COMPOSIÇÃO",VLOOKUP(C899,'SINAPI_COMPOSIÇÕES 062020'!A:D,4,FALSE),VLOOKUP(C899,'SINAPI_INSUMOS 062020'!A:D,4,FALSE))</f>
        <v>9.9499999999999993</v>
      </c>
      <c r="H899" s="75">
        <f t="shared" si="68"/>
        <v>3</v>
      </c>
    </row>
    <row r="900" spans="1:8" ht="13.5" thickBot="1" x14ac:dyDescent="0.3">
      <c r="A900" s="267" t="str">
        <f>CONCATENATE("TOTAL DO ÍTEM - ",A892)</f>
        <v>TOTAL DO ÍTEM - MPMT-02564</v>
      </c>
      <c r="B900" s="268"/>
      <c r="C900" s="268"/>
      <c r="D900" s="268"/>
      <c r="E900" s="268"/>
      <c r="F900" s="268"/>
      <c r="G900" s="269"/>
      <c r="H900" s="188">
        <f>TRUNC(SUM(H896:H899),2)</f>
        <v>35.89</v>
      </c>
    </row>
    <row r="901" spans="1:8" ht="13.5" thickBot="1" x14ac:dyDescent="0.3">
      <c r="A901" s="270" t="s">
        <v>12226</v>
      </c>
      <c r="B901" s="271"/>
      <c r="C901" s="271"/>
      <c r="D901" s="271"/>
      <c r="E901" s="271"/>
      <c r="F901" s="271"/>
      <c r="G901" s="271"/>
      <c r="H901" s="272"/>
    </row>
    <row r="902" spans="1:8" ht="13.5" thickBot="1" x14ac:dyDescent="0.3"/>
    <row r="903" spans="1:8" ht="25.5" x14ac:dyDescent="0.25">
      <c r="A903" s="120" t="s">
        <v>90</v>
      </c>
      <c r="B903" s="286" t="s">
        <v>91</v>
      </c>
      <c r="C903" s="287"/>
      <c r="D903" s="287"/>
      <c r="E903" s="287"/>
      <c r="F903" s="287"/>
      <c r="G903" s="288"/>
      <c r="H903" s="121" t="s">
        <v>4</v>
      </c>
    </row>
    <row r="904" spans="1:8" ht="13.5" thickBot="1" x14ac:dyDescent="0.3">
      <c r="A904" s="113" t="s">
        <v>12229</v>
      </c>
      <c r="B904" s="289" t="s">
        <v>12230</v>
      </c>
      <c r="C904" s="290"/>
      <c r="D904" s="290"/>
      <c r="E904" s="290"/>
      <c r="F904" s="290"/>
      <c r="G904" s="291"/>
      <c r="H904" s="114" t="s">
        <v>16</v>
      </c>
    </row>
    <row r="905" spans="1:8" x14ac:dyDescent="0.25">
      <c r="A905" s="273" t="s">
        <v>13834</v>
      </c>
      <c r="B905" s="275" t="s">
        <v>92</v>
      </c>
      <c r="C905" s="276"/>
      <c r="D905" s="185" t="s">
        <v>12225</v>
      </c>
      <c r="E905" s="239" t="s">
        <v>93</v>
      </c>
      <c r="F905" s="186">
        <v>0</v>
      </c>
      <c r="G905" s="277" t="s">
        <v>94</v>
      </c>
      <c r="H905" s="278"/>
    </row>
    <row r="906" spans="1:8" x14ac:dyDescent="0.25">
      <c r="A906" s="274"/>
      <c r="B906" s="281" t="s">
        <v>95</v>
      </c>
      <c r="C906" s="282"/>
      <c r="D906" s="187">
        <v>43265</v>
      </c>
      <c r="E906" s="240" t="s">
        <v>96</v>
      </c>
      <c r="F906" s="187">
        <v>43265</v>
      </c>
      <c r="G906" s="279"/>
      <c r="H906" s="280"/>
    </row>
    <row r="907" spans="1:8" x14ac:dyDescent="0.25">
      <c r="A907" s="122" t="s">
        <v>11885</v>
      </c>
      <c r="B907" s="123" t="s">
        <v>97</v>
      </c>
      <c r="C907" s="123" t="s">
        <v>98</v>
      </c>
      <c r="D907" s="123" t="s">
        <v>3</v>
      </c>
      <c r="E907" s="123" t="s">
        <v>4</v>
      </c>
      <c r="F907" s="123" t="s">
        <v>99</v>
      </c>
      <c r="G907" s="123" t="s">
        <v>100</v>
      </c>
      <c r="H907" s="124" t="s">
        <v>101</v>
      </c>
    </row>
    <row r="908" spans="1:8" ht="25.5" x14ac:dyDescent="0.25">
      <c r="A908" s="125" t="s">
        <v>398</v>
      </c>
      <c r="B908" s="115" t="s">
        <v>9</v>
      </c>
      <c r="C908" s="115">
        <v>88316</v>
      </c>
      <c r="D908" s="127" t="str">
        <f>IF(A908="COMPOSIÇÃO",VLOOKUP(C908,'SINAPI_COMPOSIÇÕES 062020'!A:B,2,FALSE),VLOOKUP(C908,'SINAPI_INSUMOS 062020'!A:B,2,FALSE))</f>
        <v>SERVENTE COM ENCARGOS COMPLEMENTARES</v>
      </c>
      <c r="E908" s="126" t="str">
        <f>IF(A908="COMPOSIÇÃO",VLOOKUP(C908,'SINAPI_COMPOSIÇÕES 062020'!A:C,3,FALSE),VLOOKUP(C908,'SINAPI_INSUMOS 062020'!A:C,3,FALSE))</f>
        <v>H</v>
      </c>
      <c r="F908" s="74">
        <v>1</v>
      </c>
      <c r="G908" s="128">
        <f>IF(A908="COMPOSIÇÃO",VLOOKUP(C908,'SINAPI_COMPOSIÇÕES 062020'!A:D,4,FALSE),VLOOKUP(C908,'SINAPI_INSUMOS 062020'!A:D,4,FALSE))</f>
        <v>14.37</v>
      </c>
      <c r="H908" s="75">
        <f t="shared" ref="H908:H911" si="69">TRUNC(G908*F908,2)</f>
        <v>14.37</v>
      </c>
    </row>
    <row r="909" spans="1:8" ht="25.5" x14ac:dyDescent="0.25">
      <c r="A909" s="125" t="s">
        <v>398</v>
      </c>
      <c r="B909" s="115" t="s">
        <v>9</v>
      </c>
      <c r="C909" s="115">
        <v>88309</v>
      </c>
      <c r="D909" s="127" t="str">
        <f>IF(A909="COMPOSIÇÃO",VLOOKUP(C909,'SINAPI_COMPOSIÇÕES 062020'!A:B,2,FALSE),VLOOKUP(C909,'SINAPI_INSUMOS 062020'!A:B,2,FALSE))</f>
        <v>PEDREIRO COM ENCARGOS COMPLEMENTARES</v>
      </c>
      <c r="E909" s="126" t="str">
        <f>IF(A909="COMPOSIÇÃO",VLOOKUP(C909,'SINAPI_COMPOSIÇÕES 062020'!A:C,3,FALSE),VLOOKUP(C909,'SINAPI_INSUMOS 062020'!A:C,3,FALSE))</f>
        <v>H</v>
      </c>
      <c r="F909" s="74">
        <v>1</v>
      </c>
      <c r="G909" s="128">
        <f>IF(A909="COMPOSIÇÃO",VLOOKUP(C909,'SINAPI_COMPOSIÇÕES 062020'!A:D,4,FALSE),VLOOKUP(C909,'SINAPI_INSUMOS 062020'!A:D,4,FALSE))</f>
        <v>17.760000000000002</v>
      </c>
      <c r="H909" s="75">
        <f t="shared" si="69"/>
        <v>17.760000000000002</v>
      </c>
    </row>
    <row r="910" spans="1:8" ht="38.25" x14ac:dyDescent="0.25">
      <c r="A910" s="125" t="s">
        <v>398</v>
      </c>
      <c r="B910" s="115" t="s">
        <v>9</v>
      </c>
      <c r="C910" s="115">
        <v>88631</v>
      </c>
      <c r="D910" s="127" t="str">
        <f>IF(A910="COMPOSIÇÃO",VLOOKUP(C910,'SINAPI_COMPOSIÇÕES 062020'!A:B,2,FALSE),VLOOKUP(C910,'SINAPI_INSUMOS 062020'!A:B,2,FALSE))</f>
        <v>ARGAMASSA TRAÇO 1:4 (EM VOLUME DE CIMENTO E AREIA MÉDIA ÚMIDA), PREPARO MANUAL. AF_08/2019</v>
      </c>
      <c r="E910" s="126" t="str">
        <f>IF(A910="COMPOSIÇÃO",VLOOKUP(C910,'SINAPI_COMPOSIÇÕES 062020'!A:C,3,FALSE),VLOOKUP(C910,'SINAPI_INSUMOS 062020'!A:C,3,FALSE))</f>
        <v>M3</v>
      </c>
      <c r="F910" s="74">
        <v>2E-3</v>
      </c>
      <c r="G910" s="128">
        <f>IF(A910="COMPOSIÇÃO",VLOOKUP(C910,'SINAPI_COMPOSIÇÕES 062020'!A:D,4,FALSE),VLOOKUP(C910,'SINAPI_INSUMOS 062020'!A:D,4,FALSE))</f>
        <v>381.86</v>
      </c>
      <c r="H910" s="75">
        <f t="shared" si="69"/>
        <v>0.76</v>
      </c>
    </row>
    <row r="911" spans="1:8" ht="25.5" x14ac:dyDescent="0.25">
      <c r="A911" s="125" t="s">
        <v>400</v>
      </c>
      <c r="B911" s="115" t="s">
        <v>9</v>
      </c>
      <c r="C911" s="115">
        <v>43106</v>
      </c>
      <c r="D911" s="127" t="str">
        <f>IF(A911="COMPOSIÇÃO",VLOOKUP(C911,'SINAPI_COMPOSIÇÕES 062020'!A:B,2,FALSE),VLOOKUP(C911,'SINAPI_INSUMOS 062020'!A:B,2,FALSE))</f>
        <v>CHAPA DE ACO GALVANIZADA BITOLA GSG 24, E = 0,64 (5,12 KG/M2)</v>
      </c>
      <c r="E911" s="126" t="str">
        <f>IF(A911="COMPOSIÇÃO",VLOOKUP(C911,'SINAPI_COMPOSIÇÕES 062020'!A:C,3,FALSE),VLOOKUP(C911,'SINAPI_INSUMOS 062020'!A:C,3,FALSE))</f>
        <v xml:space="preserve">KG    </v>
      </c>
      <c r="F911" s="74">
        <f>(1*0.33)*1.1</f>
        <v>0.36300000000000004</v>
      </c>
      <c r="G911" s="128">
        <f>IF(A911="COMPOSIÇÃO",VLOOKUP(C911,'SINAPI_COMPOSIÇÕES 062020'!A:D,4,FALSE),VLOOKUP(C911,'SINAPI_INSUMOS 062020'!A:D,4,FALSE))</f>
        <v>9.9499999999999993</v>
      </c>
      <c r="H911" s="75">
        <f t="shared" si="69"/>
        <v>3.61</v>
      </c>
    </row>
    <row r="912" spans="1:8" ht="13.5" thickBot="1" x14ac:dyDescent="0.3">
      <c r="A912" s="267" t="str">
        <f>CONCATENATE("TOTAL DO ÍTEM - ",A904)</f>
        <v>TOTAL DO ÍTEM - MPMT-02565</v>
      </c>
      <c r="B912" s="268"/>
      <c r="C912" s="268"/>
      <c r="D912" s="268"/>
      <c r="E912" s="268"/>
      <c r="F912" s="268"/>
      <c r="G912" s="269"/>
      <c r="H912" s="188">
        <f>TRUNC(SUM(H908:H911),2)</f>
        <v>36.5</v>
      </c>
    </row>
    <row r="913" spans="1:8" ht="13.5" thickBot="1" x14ac:dyDescent="0.3">
      <c r="A913" s="270" t="s">
        <v>12226</v>
      </c>
      <c r="B913" s="271"/>
      <c r="C913" s="271"/>
      <c r="D913" s="271"/>
      <c r="E913" s="271"/>
      <c r="F913" s="271"/>
      <c r="G913" s="271"/>
      <c r="H913" s="272"/>
    </row>
    <row r="914" spans="1:8" ht="13.5" thickBot="1" x14ac:dyDescent="0.3"/>
    <row r="915" spans="1:8" ht="25.5" x14ac:dyDescent="0.25">
      <c r="A915" s="120" t="s">
        <v>90</v>
      </c>
      <c r="B915" s="286" t="s">
        <v>91</v>
      </c>
      <c r="C915" s="287"/>
      <c r="D915" s="287"/>
      <c r="E915" s="287"/>
      <c r="F915" s="287"/>
      <c r="G915" s="288"/>
      <c r="H915" s="121" t="s">
        <v>4</v>
      </c>
    </row>
    <row r="916" spans="1:8" ht="13.5" thickBot="1" x14ac:dyDescent="0.3">
      <c r="A916" s="113" t="s">
        <v>12231</v>
      </c>
      <c r="B916" s="289" t="s">
        <v>12232</v>
      </c>
      <c r="C916" s="290"/>
      <c r="D916" s="290"/>
      <c r="E916" s="290"/>
      <c r="F916" s="290"/>
      <c r="G916" s="291"/>
      <c r="H916" s="114" t="s">
        <v>16</v>
      </c>
    </row>
    <row r="917" spans="1:8" x14ac:dyDescent="0.25">
      <c r="A917" s="273" t="s">
        <v>13834</v>
      </c>
      <c r="B917" s="275" t="s">
        <v>92</v>
      </c>
      <c r="C917" s="276"/>
      <c r="D917" s="185" t="s">
        <v>12225</v>
      </c>
      <c r="E917" s="239" t="s">
        <v>93</v>
      </c>
      <c r="F917" s="186">
        <v>0</v>
      </c>
      <c r="G917" s="277" t="s">
        <v>94</v>
      </c>
      <c r="H917" s="278"/>
    </row>
    <row r="918" spans="1:8" x14ac:dyDescent="0.25">
      <c r="A918" s="274"/>
      <c r="B918" s="281" t="s">
        <v>95</v>
      </c>
      <c r="C918" s="282"/>
      <c r="D918" s="187">
        <v>43265</v>
      </c>
      <c r="E918" s="240" t="s">
        <v>96</v>
      </c>
      <c r="F918" s="187">
        <v>43265</v>
      </c>
      <c r="G918" s="279"/>
      <c r="H918" s="280"/>
    </row>
    <row r="919" spans="1:8" x14ac:dyDescent="0.25">
      <c r="A919" s="122" t="s">
        <v>11885</v>
      </c>
      <c r="B919" s="123" t="s">
        <v>97</v>
      </c>
      <c r="C919" s="123" t="s">
        <v>98</v>
      </c>
      <c r="D919" s="123" t="s">
        <v>3</v>
      </c>
      <c r="E919" s="123" t="s">
        <v>4</v>
      </c>
      <c r="F919" s="123" t="s">
        <v>99</v>
      </c>
      <c r="G919" s="123" t="s">
        <v>100</v>
      </c>
      <c r="H919" s="124" t="s">
        <v>101</v>
      </c>
    </row>
    <row r="920" spans="1:8" ht="25.5" x14ac:dyDescent="0.25">
      <c r="A920" s="125" t="s">
        <v>398</v>
      </c>
      <c r="B920" s="115" t="s">
        <v>9</v>
      </c>
      <c r="C920" s="115">
        <v>88316</v>
      </c>
      <c r="D920" s="127" t="str">
        <f>IF(A920="COMPOSIÇÃO",VLOOKUP(C920,'SINAPI_COMPOSIÇÕES 062020'!A:B,2,FALSE),VLOOKUP(C920,'SINAPI_INSUMOS 062020'!A:B,2,FALSE))</f>
        <v>SERVENTE COM ENCARGOS COMPLEMENTARES</v>
      </c>
      <c r="E920" s="126" t="str">
        <f>IF(A920="COMPOSIÇÃO",VLOOKUP(C920,'SINAPI_COMPOSIÇÕES 062020'!A:C,3,FALSE),VLOOKUP(C920,'SINAPI_INSUMOS 062020'!A:C,3,FALSE))</f>
        <v>H</v>
      </c>
      <c r="F920" s="74">
        <v>1</v>
      </c>
      <c r="G920" s="128">
        <f>IF(A920="COMPOSIÇÃO",VLOOKUP(C920,'SINAPI_COMPOSIÇÕES 062020'!A:D,4,FALSE),VLOOKUP(C920,'SINAPI_INSUMOS 062020'!A:D,4,FALSE))</f>
        <v>14.37</v>
      </c>
      <c r="H920" s="75">
        <f t="shared" ref="H920:H923" si="70">TRUNC(G920*F920,2)</f>
        <v>14.37</v>
      </c>
    </row>
    <row r="921" spans="1:8" ht="25.5" x14ac:dyDescent="0.25">
      <c r="A921" s="125" t="s">
        <v>398</v>
      </c>
      <c r="B921" s="115" t="s">
        <v>9</v>
      </c>
      <c r="C921" s="115">
        <v>88309</v>
      </c>
      <c r="D921" s="127" t="str">
        <f>IF(A921="COMPOSIÇÃO",VLOOKUP(C921,'SINAPI_COMPOSIÇÕES 062020'!A:B,2,FALSE),VLOOKUP(C921,'SINAPI_INSUMOS 062020'!A:B,2,FALSE))</f>
        <v>PEDREIRO COM ENCARGOS COMPLEMENTARES</v>
      </c>
      <c r="E921" s="126" t="str">
        <f>IF(A921="COMPOSIÇÃO",VLOOKUP(C921,'SINAPI_COMPOSIÇÕES 062020'!A:C,3,FALSE),VLOOKUP(C921,'SINAPI_INSUMOS 062020'!A:C,3,FALSE))</f>
        <v>H</v>
      </c>
      <c r="F921" s="74">
        <v>1</v>
      </c>
      <c r="G921" s="128">
        <f>IF(A921="COMPOSIÇÃO",VLOOKUP(C921,'SINAPI_COMPOSIÇÕES 062020'!A:D,4,FALSE),VLOOKUP(C921,'SINAPI_INSUMOS 062020'!A:D,4,FALSE))</f>
        <v>17.760000000000002</v>
      </c>
      <c r="H921" s="75">
        <f t="shared" si="70"/>
        <v>17.760000000000002</v>
      </c>
    </row>
    <row r="922" spans="1:8" ht="38.25" x14ac:dyDescent="0.25">
      <c r="A922" s="125" t="s">
        <v>398</v>
      </c>
      <c r="B922" s="115" t="s">
        <v>9</v>
      </c>
      <c r="C922" s="115">
        <v>88631</v>
      </c>
      <c r="D922" s="127" t="str">
        <f>IF(A922="COMPOSIÇÃO",VLOOKUP(C922,'SINAPI_COMPOSIÇÕES 062020'!A:B,2,FALSE),VLOOKUP(C922,'SINAPI_INSUMOS 062020'!A:B,2,FALSE))</f>
        <v>ARGAMASSA TRAÇO 1:4 (EM VOLUME DE CIMENTO E AREIA MÉDIA ÚMIDA), PREPARO MANUAL. AF_08/2019</v>
      </c>
      <c r="E922" s="126" t="str">
        <f>IF(A922="COMPOSIÇÃO",VLOOKUP(C922,'SINAPI_COMPOSIÇÕES 062020'!A:C,3,FALSE),VLOOKUP(C922,'SINAPI_INSUMOS 062020'!A:C,3,FALSE))</f>
        <v>M3</v>
      </c>
      <c r="F922" s="74">
        <v>2E-3</v>
      </c>
      <c r="G922" s="128">
        <f>IF(A922="COMPOSIÇÃO",VLOOKUP(C922,'SINAPI_COMPOSIÇÕES 062020'!A:D,4,FALSE),VLOOKUP(C922,'SINAPI_INSUMOS 062020'!A:D,4,FALSE))</f>
        <v>381.86</v>
      </c>
      <c r="H922" s="75">
        <f t="shared" si="70"/>
        <v>0.76</v>
      </c>
    </row>
    <row r="923" spans="1:8" ht="25.5" x14ac:dyDescent="0.25">
      <c r="A923" s="125" t="s">
        <v>400</v>
      </c>
      <c r="B923" s="115" t="s">
        <v>9</v>
      </c>
      <c r="C923" s="115">
        <v>43106</v>
      </c>
      <c r="D923" s="127" t="str">
        <f>IF(A923="COMPOSIÇÃO",VLOOKUP(C923,'SINAPI_COMPOSIÇÕES 062020'!A:B,2,FALSE),VLOOKUP(C923,'SINAPI_INSUMOS 062020'!A:B,2,FALSE))</f>
        <v>CHAPA DE ACO GALVANIZADA BITOLA GSG 24, E = 0,64 (5,12 KG/M2)</v>
      </c>
      <c r="E923" s="126" t="str">
        <f>IF(A923="COMPOSIÇÃO",VLOOKUP(C923,'SINAPI_COMPOSIÇÕES 062020'!A:C,3,FALSE),VLOOKUP(C923,'SINAPI_INSUMOS 062020'!A:C,3,FALSE))</f>
        <v xml:space="preserve">KG    </v>
      </c>
      <c r="F923" s="74">
        <f>(1*0.2)*1.1</f>
        <v>0.22000000000000003</v>
      </c>
      <c r="G923" s="128">
        <f>IF(A923="COMPOSIÇÃO",VLOOKUP(C923,'SINAPI_COMPOSIÇÕES 062020'!A:D,4,FALSE),VLOOKUP(C923,'SINAPI_INSUMOS 062020'!A:D,4,FALSE))</f>
        <v>9.9499999999999993</v>
      </c>
      <c r="H923" s="75">
        <f t="shared" si="70"/>
        <v>2.1800000000000002</v>
      </c>
    </row>
    <row r="924" spans="1:8" ht="13.5" thickBot="1" x14ac:dyDescent="0.3">
      <c r="A924" s="267" t="str">
        <f>CONCATENATE("TOTAL DO ÍTEM - ",A916)</f>
        <v>TOTAL DO ÍTEM - MPMT-02566</v>
      </c>
      <c r="B924" s="268"/>
      <c r="C924" s="268"/>
      <c r="D924" s="268"/>
      <c r="E924" s="268"/>
      <c r="F924" s="268"/>
      <c r="G924" s="269"/>
      <c r="H924" s="188">
        <f>TRUNC(SUM(H920:H923),2)</f>
        <v>35.07</v>
      </c>
    </row>
    <row r="925" spans="1:8" ht="13.5" thickBot="1" x14ac:dyDescent="0.3">
      <c r="A925" s="270" t="s">
        <v>12235</v>
      </c>
      <c r="B925" s="271"/>
      <c r="C925" s="271"/>
      <c r="D925" s="271"/>
      <c r="E925" s="271"/>
      <c r="F925" s="271"/>
      <c r="G925" s="271"/>
      <c r="H925" s="272"/>
    </row>
    <row r="926" spans="1:8" ht="13.5" thickBot="1" x14ac:dyDescent="0.3"/>
    <row r="927" spans="1:8" ht="25.5" x14ac:dyDescent="0.25">
      <c r="A927" s="120" t="s">
        <v>90</v>
      </c>
      <c r="B927" s="286" t="s">
        <v>91</v>
      </c>
      <c r="C927" s="287"/>
      <c r="D927" s="287"/>
      <c r="E927" s="287"/>
      <c r="F927" s="287"/>
      <c r="G927" s="288"/>
      <c r="H927" s="121" t="s">
        <v>4</v>
      </c>
    </row>
    <row r="928" spans="1:8" ht="13.5" thickBot="1" x14ac:dyDescent="0.3">
      <c r="A928" s="113" t="s">
        <v>12233</v>
      </c>
      <c r="B928" s="289" t="s">
        <v>12234</v>
      </c>
      <c r="C928" s="290"/>
      <c r="D928" s="290"/>
      <c r="E928" s="290"/>
      <c r="F928" s="290"/>
      <c r="G928" s="291"/>
      <c r="H928" s="114" t="s">
        <v>16</v>
      </c>
    </row>
    <row r="929" spans="1:8" x14ac:dyDescent="0.25">
      <c r="A929" s="273" t="s">
        <v>13834</v>
      </c>
      <c r="B929" s="275" t="s">
        <v>92</v>
      </c>
      <c r="C929" s="276"/>
      <c r="D929" s="185" t="s">
        <v>12225</v>
      </c>
      <c r="E929" s="239" t="s">
        <v>93</v>
      </c>
      <c r="F929" s="186">
        <v>0</v>
      </c>
      <c r="G929" s="277" t="s">
        <v>94</v>
      </c>
      <c r="H929" s="278"/>
    </row>
    <row r="930" spans="1:8" x14ac:dyDescent="0.25">
      <c r="A930" s="274"/>
      <c r="B930" s="281" t="s">
        <v>95</v>
      </c>
      <c r="C930" s="282"/>
      <c r="D930" s="187">
        <v>43265</v>
      </c>
      <c r="E930" s="240" t="s">
        <v>96</v>
      </c>
      <c r="F930" s="187">
        <v>43265</v>
      </c>
      <c r="G930" s="279"/>
      <c r="H930" s="280"/>
    </row>
    <row r="931" spans="1:8" x14ac:dyDescent="0.25">
      <c r="A931" s="122" t="s">
        <v>11885</v>
      </c>
      <c r="B931" s="123" t="s">
        <v>97</v>
      </c>
      <c r="C931" s="123" t="s">
        <v>98</v>
      </c>
      <c r="D931" s="123" t="s">
        <v>3</v>
      </c>
      <c r="E931" s="123" t="s">
        <v>4</v>
      </c>
      <c r="F931" s="123" t="s">
        <v>99</v>
      </c>
      <c r="G931" s="123" t="s">
        <v>100</v>
      </c>
      <c r="H931" s="124" t="s">
        <v>101</v>
      </c>
    </row>
    <row r="932" spans="1:8" ht="25.5" x14ac:dyDescent="0.25">
      <c r="A932" s="125" t="s">
        <v>398</v>
      </c>
      <c r="B932" s="115" t="s">
        <v>9</v>
      </c>
      <c r="C932" s="115">
        <v>88316</v>
      </c>
      <c r="D932" s="127" t="str">
        <f>IF(A932="COMPOSIÇÃO",VLOOKUP(C932,'SINAPI_COMPOSIÇÕES 062020'!A:B,2,FALSE),VLOOKUP(C932,'SINAPI_INSUMOS 062020'!A:B,2,FALSE))</f>
        <v>SERVENTE COM ENCARGOS COMPLEMENTARES</v>
      </c>
      <c r="E932" s="126" t="str">
        <f>IF(A932="COMPOSIÇÃO",VLOOKUP(C932,'SINAPI_COMPOSIÇÕES 062020'!A:C,3,FALSE),VLOOKUP(C932,'SINAPI_INSUMOS 062020'!A:C,3,FALSE))</f>
        <v>H</v>
      </c>
      <c r="F932" s="74">
        <v>1</v>
      </c>
      <c r="G932" s="128">
        <f>IF(A932="COMPOSIÇÃO",VLOOKUP(C932,'SINAPI_COMPOSIÇÕES 062020'!A:D,4,FALSE),VLOOKUP(C932,'SINAPI_INSUMOS 062020'!A:D,4,FALSE))</f>
        <v>14.37</v>
      </c>
      <c r="H932" s="75">
        <f t="shared" ref="H932:H935" si="71">TRUNC(G932*F932,2)</f>
        <v>14.37</v>
      </c>
    </row>
    <row r="933" spans="1:8" ht="25.5" x14ac:dyDescent="0.25">
      <c r="A933" s="125" t="s">
        <v>398</v>
      </c>
      <c r="B933" s="115" t="s">
        <v>9</v>
      </c>
      <c r="C933" s="115">
        <v>88309</v>
      </c>
      <c r="D933" s="127" t="str">
        <f>IF(A933="COMPOSIÇÃO",VLOOKUP(C933,'SINAPI_COMPOSIÇÕES 062020'!A:B,2,FALSE),VLOOKUP(C933,'SINAPI_INSUMOS 062020'!A:B,2,FALSE))</f>
        <v>PEDREIRO COM ENCARGOS COMPLEMENTARES</v>
      </c>
      <c r="E933" s="126" t="str">
        <f>IF(A933="COMPOSIÇÃO",VLOOKUP(C933,'SINAPI_COMPOSIÇÕES 062020'!A:C,3,FALSE),VLOOKUP(C933,'SINAPI_INSUMOS 062020'!A:C,3,FALSE))</f>
        <v>H</v>
      </c>
      <c r="F933" s="74">
        <v>1</v>
      </c>
      <c r="G933" s="128">
        <f>IF(A933="COMPOSIÇÃO",VLOOKUP(C933,'SINAPI_COMPOSIÇÕES 062020'!A:D,4,FALSE),VLOOKUP(C933,'SINAPI_INSUMOS 062020'!A:D,4,FALSE))</f>
        <v>17.760000000000002</v>
      </c>
      <c r="H933" s="75">
        <f t="shared" si="71"/>
        <v>17.760000000000002</v>
      </c>
    </row>
    <row r="934" spans="1:8" ht="38.25" x14ac:dyDescent="0.25">
      <c r="A934" s="125" t="s">
        <v>398</v>
      </c>
      <c r="B934" s="115" t="s">
        <v>9</v>
      </c>
      <c r="C934" s="115">
        <v>88631</v>
      </c>
      <c r="D934" s="127" t="str">
        <f>IF(A934="COMPOSIÇÃO",VLOOKUP(C934,'SINAPI_COMPOSIÇÕES 062020'!A:B,2,FALSE),VLOOKUP(C934,'SINAPI_INSUMOS 062020'!A:B,2,FALSE))</f>
        <v>ARGAMASSA TRAÇO 1:4 (EM VOLUME DE CIMENTO E AREIA MÉDIA ÚMIDA), PREPARO MANUAL. AF_08/2019</v>
      </c>
      <c r="E934" s="126" t="str">
        <f>IF(A934="COMPOSIÇÃO",VLOOKUP(C934,'SINAPI_COMPOSIÇÕES 062020'!A:C,3,FALSE),VLOOKUP(C934,'SINAPI_INSUMOS 062020'!A:C,3,FALSE))</f>
        <v>M3</v>
      </c>
      <c r="F934" s="74">
        <v>2E-3</v>
      </c>
      <c r="G934" s="128">
        <f>IF(A934="COMPOSIÇÃO",VLOOKUP(C934,'SINAPI_COMPOSIÇÕES 062020'!A:D,4,FALSE),VLOOKUP(C934,'SINAPI_INSUMOS 062020'!A:D,4,FALSE))</f>
        <v>381.86</v>
      </c>
      <c r="H934" s="75">
        <f t="shared" si="71"/>
        <v>0.76</v>
      </c>
    </row>
    <row r="935" spans="1:8" ht="25.5" x14ac:dyDescent="0.25">
      <c r="A935" s="125" t="s">
        <v>400</v>
      </c>
      <c r="B935" s="115" t="s">
        <v>9</v>
      </c>
      <c r="C935" s="115">
        <v>43106</v>
      </c>
      <c r="D935" s="127" t="str">
        <f>IF(A935="COMPOSIÇÃO",VLOOKUP(C935,'SINAPI_COMPOSIÇÕES 062020'!A:B,2,FALSE),VLOOKUP(C935,'SINAPI_INSUMOS 062020'!A:B,2,FALSE))</f>
        <v>CHAPA DE ACO GALVANIZADA BITOLA GSG 24, E = 0,64 (5,12 KG/M2)</v>
      </c>
      <c r="E935" s="126" t="str">
        <f>IF(A935="COMPOSIÇÃO",VLOOKUP(C935,'SINAPI_COMPOSIÇÕES 062020'!A:C,3,FALSE),VLOOKUP(C935,'SINAPI_INSUMOS 062020'!A:C,3,FALSE))</f>
        <v xml:space="preserve">KG    </v>
      </c>
      <c r="F935" s="74">
        <f>(1*0.28)*1.1</f>
        <v>0.30800000000000005</v>
      </c>
      <c r="G935" s="128">
        <f>IF(A935="COMPOSIÇÃO",VLOOKUP(C935,'SINAPI_COMPOSIÇÕES 062020'!A:D,4,FALSE),VLOOKUP(C935,'SINAPI_INSUMOS 062020'!A:D,4,FALSE))</f>
        <v>9.9499999999999993</v>
      </c>
      <c r="H935" s="75">
        <f t="shared" si="71"/>
        <v>3.06</v>
      </c>
    </row>
    <row r="936" spans="1:8" ht="13.5" thickBot="1" x14ac:dyDescent="0.3">
      <c r="A936" s="267" t="str">
        <f>CONCATENATE("TOTAL DO ÍTEM - ",A928)</f>
        <v>TOTAL DO ÍTEM - MPMT-02567</v>
      </c>
      <c r="B936" s="268"/>
      <c r="C936" s="268"/>
      <c r="D936" s="268"/>
      <c r="E936" s="268"/>
      <c r="F936" s="268"/>
      <c r="G936" s="269"/>
      <c r="H936" s="188">
        <f>TRUNC(SUM(H932:H935),2)</f>
        <v>35.950000000000003</v>
      </c>
    </row>
    <row r="937" spans="1:8" ht="13.5" thickBot="1" x14ac:dyDescent="0.3">
      <c r="A937" s="270" t="s">
        <v>12226</v>
      </c>
      <c r="B937" s="271"/>
      <c r="C937" s="271"/>
      <c r="D937" s="271"/>
      <c r="E937" s="271"/>
      <c r="F937" s="271"/>
      <c r="G937" s="271"/>
      <c r="H937" s="272"/>
    </row>
    <row r="938" spans="1:8" ht="13.5" thickBot="1" x14ac:dyDescent="0.3"/>
    <row r="939" spans="1:8" ht="25.5" x14ac:dyDescent="0.25">
      <c r="A939" s="120" t="s">
        <v>90</v>
      </c>
      <c r="B939" s="286" t="s">
        <v>91</v>
      </c>
      <c r="C939" s="287"/>
      <c r="D939" s="287"/>
      <c r="E939" s="287"/>
      <c r="F939" s="287"/>
      <c r="G939" s="288"/>
      <c r="H939" s="121" t="s">
        <v>4</v>
      </c>
    </row>
    <row r="940" spans="1:8" ht="13.5" thickBot="1" x14ac:dyDescent="0.3">
      <c r="A940" s="113" t="s">
        <v>12236</v>
      </c>
      <c r="B940" s="289" t="s">
        <v>12237</v>
      </c>
      <c r="C940" s="290"/>
      <c r="D940" s="290"/>
      <c r="E940" s="290"/>
      <c r="F940" s="290"/>
      <c r="G940" s="291"/>
      <c r="H940" s="114" t="s">
        <v>8</v>
      </c>
    </row>
    <row r="941" spans="1:8" x14ac:dyDescent="0.25">
      <c r="A941" s="273" t="s">
        <v>13834</v>
      </c>
      <c r="B941" s="275" t="s">
        <v>92</v>
      </c>
      <c r="C941" s="276"/>
      <c r="D941" s="185" t="s">
        <v>12238</v>
      </c>
      <c r="E941" s="239" t="s">
        <v>93</v>
      </c>
      <c r="F941" s="186">
        <v>0</v>
      </c>
      <c r="G941" s="277" t="s">
        <v>94</v>
      </c>
      <c r="H941" s="278"/>
    </row>
    <row r="942" spans="1:8" x14ac:dyDescent="0.25">
      <c r="A942" s="274"/>
      <c r="B942" s="281" t="s">
        <v>95</v>
      </c>
      <c r="C942" s="282"/>
      <c r="D942" s="187">
        <v>43544</v>
      </c>
      <c r="E942" s="240" t="s">
        <v>96</v>
      </c>
      <c r="F942" s="187">
        <v>43544</v>
      </c>
      <c r="G942" s="279"/>
      <c r="H942" s="280"/>
    </row>
    <row r="943" spans="1:8" x14ac:dyDescent="0.25">
      <c r="A943" s="122" t="s">
        <v>11885</v>
      </c>
      <c r="B943" s="123" t="s">
        <v>97</v>
      </c>
      <c r="C943" s="123" t="s">
        <v>98</v>
      </c>
      <c r="D943" s="123" t="s">
        <v>3</v>
      </c>
      <c r="E943" s="123" t="s">
        <v>4</v>
      </c>
      <c r="F943" s="123" t="s">
        <v>99</v>
      </c>
      <c r="G943" s="123" t="s">
        <v>100</v>
      </c>
      <c r="H943" s="124" t="s">
        <v>101</v>
      </c>
    </row>
    <row r="944" spans="1:8" x14ac:dyDescent="0.25">
      <c r="A944" s="125" t="s">
        <v>398</v>
      </c>
      <c r="B944" s="115" t="s">
        <v>9</v>
      </c>
      <c r="C944" s="115">
        <v>88310</v>
      </c>
      <c r="D944" s="127" t="str">
        <f>IF(A944="COMPOSIÇÃO",VLOOKUP(C944,'SINAPI_COMPOSIÇÕES 062020'!A:B,2,FALSE),VLOOKUP(C944,'SINAPI_INSUMOS 062020'!A:B,2,FALSE))</f>
        <v>PINTOR COM ENCARGOS COMPLEMENTARES</v>
      </c>
      <c r="E944" s="126" t="str">
        <f>IF(A944="COMPOSIÇÃO",VLOOKUP(C944,'SINAPI_COMPOSIÇÕES 062020'!A:C,3,FALSE),VLOOKUP(C944,'SINAPI_INSUMOS 062020'!A:C,3,FALSE))</f>
        <v>H</v>
      </c>
      <c r="F944" s="228">
        <v>0.188</v>
      </c>
      <c r="G944" s="128">
        <f>IF(A944="COMPOSIÇÃO",VLOOKUP(C944,'SINAPI_COMPOSIÇÕES 062020'!A:D,4,FALSE),VLOOKUP(C944,'SINAPI_INSUMOS 062020'!A:D,4,FALSE))</f>
        <v>18.88</v>
      </c>
      <c r="H944" s="75">
        <f t="shared" ref="H944:H946" si="72">TRUNC(G944*F944,2)</f>
        <v>3.54</v>
      </c>
    </row>
    <row r="945" spans="1:8" ht="25.5" x14ac:dyDescent="0.25">
      <c r="A945" s="125" t="s">
        <v>398</v>
      </c>
      <c r="B945" s="115" t="s">
        <v>9</v>
      </c>
      <c r="C945" s="115">
        <v>88316</v>
      </c>
      <c r="D945" s="127" t="str">
        <f>IF(A945="COMPOSIÇÃO",VLOOKUP(C945,'SINAPI_COMPOSIÇÕES 062020'!A:B,2,FALSE),VLOOKUP(C945,'SINAPI_INSUMOS 062020'!A:B,2,FALSE))</f>
        <v>SERVENTE COM ENCARGOS COMPLEMENTARES</v>
      </c>
      <c r="E945" s="126" t="str">
        <f>IF(A945="COMPOSIÇÃO",VLOOKUP(C945,'SINAPI_COMPOSIÇÕES 062020'!A:C,3,FALSE),VLOOKUP(C945,'SINAPI_INSUMOS 062020'!A:C,3,FALSE))</f>
        <v>H</v>
      </c>
      <c r="F945" s="228">
        <v>6.9000000000000006E-2</v>
      </c>
      <c r="G945" s="128">
        <f>IF(A945="COMPOSIÇÃO",VLOOKUP(C945,'SINAPI_COMPOSIÇÕES 062020'!A:D,4,FALSE),VLOOKUP(C945,'SINAPI_INSUMOS 062020'!A:D,4,FALSE))</f>
        <v>14.37</v>
      </c>
      <c r="H945" s="75">
        <f t="shared" si="72"/>
        <v>0.99</v>
      </c>
    </row>
    <row r="946" spans="1:8" ht="38.25" x14ac:dyDescent="0.25">
      <c r="A946" s="125" t="s">
        <v>400</v>
      </c>
      <c r="B946" s="115" t="s">
        <v>9</v>
      </c>
      <c r="C946" s="115">
        <v>34546</v>
      </c>
      <c r="D946" s="127" t="str">
        <f>IF(A946="COMPOSIÇÃO",VLOOKUP(C946,'SINAPI_COMPOSIÇÕES 062020'!A:B,2,FALSE),VLOOKUP(C946,'SINAPI_INSUMOS 062020'!A:B,2,FALSE))</f>
        <v>MASSA PARA TEXTURA RUSTICA DE BASE ACRILICA, COR BRANCA, USO INTERNO E EXTERNO</v>
      </c>
      <c r="E946" s="126" t="str">
        <f>IF(A946="COMPOSIÇÃO",VLOOKUP(C946,'SINAPI_COMPOSIÇÕES 062020'!A:C,3,FALSE),VLOOKUP(C946,'SINAPI_INSUMOS 062020'!A:C,3,FALSE))</f>
        <v xml:space="preserve">KG    </v>
      </c>
      <c r="F946" s="228">
        <v>1.1399999999999999</v>
      </c>
      <c r="G946" s="128">
        <f>IF(A946="COMPOSIÇÃO",VLOOKUP(C946,'SINAPI_COMPOSIÇÕES 062020'!A:D,4,FALSE),VLOOKUP(C946,'SINAPI_INSUMOS 062020'!A:D,4,FALSE))</f>
        <v>6.38</v>
      </c>
      <c r="H946" s="75">
        <f t="shared" si="72"/>
        <v>7.27</v>
      </c>
    </row>
    <row r="947" spans="1:8" ht="13.5" thickBot="1" x14ac:dyDescent="0.3">
      <c r="A947" s="267" t="str">
        <f>CONCATENATE("TOTAL DO ÍTEM - ",A940)</f>
        <v>TOTAL DO ÍTEM - MPMT-02406</v>
      </c>
      <c r="B947" s="268"/>
      <c r="C947" s="268"/>
      <c r="D947" s="268"/>
      <c r="E947" s="268"/>
      <c r="F947" s="268"/>
      <c r="G947" s="269"/>
      <c r="H947" s="188">
        <f>TRUNC(SUM(H944:H946),2)</f>
        <v>11.8</v>
      </c>
    </row>
    <row r="948" spans="1:8" ht="13.5" thickBot="1" x14ac:dyDescent="0.3">
      <c r="A948" s="270" t="s">
        <v>12239</v>
      </c>
      <c r="B948" s="271"/>
      <c r="C948" s="271"/>
      <c r="D948" s="271"/>
      <c r="E948" s="271"/>
      <c r="F948" s="271"/>
      <c r="G948" s="271"/>
      <c r="H948" s="272"/>
    </row>
    <row r="949" spans="1:8" ht="13.5" thickBot="1" x14ac:dyDescent="0.3"/>
    <row r="950" spans="1:8" ht="25.5" x14ac:dyDescent="0.25">
      <c r="A950" s="120" t="s">
        <v>90</v>
      </c>
      <c r="B950" s="286" t="s">
        <v>91</v>
      </c>
      <c r="C950" s="287"/>
      <c r="D950" s="287"/>
      <c r="E950" s="287"/>
      <c r="F950" s="287"/>
      <c r="G950" s="288"/>
      <c r="H950" s="121" t="s">
        <v>4</v>
      </c>
    </row>
    <row r="951" spans="1:8" ht="13.5" thickBot="1" x14ac:dyDescent="0.3">
      <c r="A951" s="113" t="s">
        <v>12240</v>
      </c>
      <c r="B951" s="289" t="s">
        <v>12241</v>
      </c>
      <c r="C951" s="290"/>
      <c r="D951" s="290"/>
      <c r="E951" s="290"/>
      <c r="F951" s="290"/>
      <c r="G951" s="291"/>
      <c r="H951" s="114" t="s">
        <v>4</v>
      </c>
    </row>
    <row r="952" spans="1:8" x14ac:dyDescent="0.25">
      <c r="A952" s="273" t="s">
        <v>13834</v>
      </c>
      <c r="B952" s="275" t="s">
        <v>92</v>
      </c>
      <c r="C952" s="276"/>
      <c r="D952" s="185" t="s">
        <v>12242</v>
      </c>
      <c r="E952" s="239" t="s">
        <v>93</v>
      </c>
      <c r="F952" s="186">
        <v>0</v>
      </c>
      <c r="G952" s="277" t="s">
        <v>94</v>
      </c>
      <c r="H952" s="278"/>
    </row>
    <row r="953" spans="1:8" x14ac:dyDescent="0.25">
      <c r="A953" s="274"/>
      <c r="B953" s="281" t="s">
        <v>95</v>
      </c>
      <c r="C953" s="282"/>
      <c r="D953" s="187">
        <v>43673</v>
      </c>
      <c r="E953" s="240" t="s">
        <v>96</v>
      </c>
      <c r="F953" s="187">
        <v>43673</v>
      </c>
      <c r="G953" s="279"/>
      <c r="H953" s="280"/>
    </row>
    <row r="954" spans="1:8" x14ac:dyDescent="0.25">
      <c r="A954" s="122" t="s">
        <v>11885</v>
      </c>
      <c r="B954" s="123" t="s">
        <v>97</v>
      </c>
      <c r="C954" s="123" t="s">
        <v>98</v>
      </c>
      <c r="D954" s="123" t="s">
        <v>3</v>
      </c>
      <c r="E954" s="123" t="s">
        <v>4</v>
      </c>
      <c r="F954" s="123" t="s">
        <v>99</v>
      </c>
      <c r="G954" s="123" t="s">
        <v>100</v>
      </c>
      <c r="H954" s="124" t="s">
        <v>101</v>
      </c>
    </row>
    <row r="955" spans="1:8" ht="38.25" x14ac:dyDescent="0.25">
      <c r="A955" s="125" t="s">
        <v>398</v>
      </c>
      <c r="B955" s="115" t="s">
        <v>9</v>
      </c>
      <c r="C955" s="115">
        <v>88248</v>
      </c>
      <c r="D955" s="127" t="str">
        <f>IF(A955="COMPOSIÇÃO",VLOOKUP(C955,'SINAPI_COMPOSIÇÕES 062020'!A:B,2,FALSE),VLOOKUP(C955,'SINAPI_INSUMOS 062020'!A:B,2,FALSE))</f>
        <v>AUXILIAR DE ENCANADOR OU BOMBEIRO HIDRÁULICO COM ENCARGOS COMPLEMENTARES</v>
      </c>
      <c r="E955" s="126" t="str">
        <f>IF(A955="COMPOSIÇÃO",VLOOKUP(C955,'SINAPI_COMPOSIÇÕES 062020'!A:C,3,FALSE),VLOOKUP(C955,'SINAPI_INSUMOS 062020'!A:C,3,FALSE))</f>
        <v>H</v>
      </c>
      <c r="F955" s="74">
        <v>0.11899999999999999</v>
      </c>
      <c r="G955" s="128">
        <f>IF(A955="COMPOSIÇÃO",VLOOKUP(C955,'SINAPI_COMPOSIÇÕES 062020'!A:D,4,FALSE),VLOOKUP(C955,'SINAPI_INSUMOS 062020'!A:D,4,FALSE))</f>
        <v>13.87</v>
      </c>
      <c r="H955" s="75">
        <f t="shared" ref="H955:H960" si="73">TRUNC(G955*F955,2)</f>
        <v>1.65</v>
      </c>
    </row>
    <row r="956" spans="1:8" ht="25.5" x14ac:dyDescent="0.25">
      <c r="A956" s="125" t="s">
        <v>398</v>
      </c>
      <c r="B956" s="115" t="s">
        <v>9</v>
      </c>
      <c r="C956" s="115">
        <v>88267</v>
      </c>
      <c r="D956" s="127" t="str">
        <f>IF(A956="COMPOSIÇÃO",VLOOKUP(C956,'SINAPI_COMPOSIÇÕES 062020'!A:B,2,FALSE),VLOOKUP(C956,'SINAPI_INSUMOS 062020'!A:B,2,FALSE))</f>
        <v>ENCANADOR OU BOMBEIRO HIDRÁULICO COM ENCARGOS COMPLEMENTARES</v>
      </c>
      <c r="E956" s="126" t="str">
        <f>IF(A956="COMPOSIÇÃO",VLOOKUP(C956,'SINAPI_COMPOSIÇÕES 062020'!A:C,3,FALSE),VLOOKUP(C956,'SINAPI_INSUMOS 062020'!A:C,3,FALSE))</f>
        <v>H</v>
      </c>
      <c r="F956" s="74">
        <v>0.11899999999999999</v>
      </c>
      <c r="G956" s="128">
        <f>IF(A956="COMPOSIÇÃO",VLOOKUP(C956,'SINAPI_COMPOSIÇÕES 062020'!A:D,4,FALSE),VLOOKUP(C956,'SINAPI_INSUMOS 062020'!A:D,4,FALSE))</f>
        <v>17.79</v>
      </c>
      <c r="H956" s="75">
        <f t="shared" si="73"/>
        <v>2.11</v>
      </c>
    </row>
    <row r="957" spans="1:8" ht="25.5" x14ac:dyDescent="0.25">
      <c r="A957" s="125" t="s">
        <v>400</v>
      </c>
      <c r="B957" s="115" t="s">
        <v>9</v>
      </c>
      <c r="C957" s="115">
        <v>122</v>
      </c>
      <c r="D957" s="127" t="str">
        <f>IF(A957="COMPOSIÇÃO",VLOOKUP(C957,'SINAPI_COMPOSIÇÕES 062020'!A:B,2,FALSE),VLOOKUP(C957,'SINAPI_INSUMOS 062020'!A:B,2,FALSE))</f>
        <v>ADESIVO PLASTICO PARA PVC, FRASCO COM 850 GR</v>
      </c>
      <c r="E957" s="126" t="str">
        <f>IF(A957="COMPOSIÇÃO",VLOOKUP(C957,'SINAPI_COMPOSIÇÕES 062020'!A:C,3,FALSE),VLOOKUP(C957,'SINAPI_INSUMOS 062020'!A:C,3,FALSE))</f>
        <v xml:space="preserve">UN    </v>
      </c>
      <c r="F957" s="74">
        <v>8.9999999999999993E-3</v>
      </c>
      <c r="G957" s="128">
        <f>IF(A957="COMPOSIÇÃO",VLOOKUP(C957,'SINAPI_COMPOSIÇÕES 062020'!A:D,4,FALSE),VLOOKUP(C957,'SINAPI_INSUMOS 062020'!A:D,4,FALSE))</f>
        <v>82.47</v>
      </c>
      <c r="H957" s="75">
        <f t="shared" si="73"/>
        <v>0.74</v>
      </c>
    </row>
    <row r="958" spans="1:8" ht="38.25" x14ac:dyDescent="0.25">
      <c r="A958" s="125" t="s">
        <v>400</v>
      </c>
      <c r="B958" s="115" t="s">
        <v>9</v>
      </c>
      <c r="C958" s="115">
        <v>828</v>
      </c>
      <c r="D958" s="127" t="str">
        <f>IF(A958="COMPOSIÇÃO",VLOOKUP(C958,'SINAPI_COMPOSIÇÕES 062020'!A:B,2,FALSE),VLOOKUP(C958,'SINAPI_INSUMOS 062020'!A:B,2,FALSE))</f>
        <v>BUCHA DE REDUCAO DE PVC, SOLDAVEL, CURTA, COM 25 X 20 MM, PARA AGUA FRIA PREDIAL</v>
      </c>
      <c r="E958" s="126" t="str">
        <f>IF(A958="COMPOSIÇÃO",VLOOKUP(C958,'SINAPI_COMPOSIÇÕES 062020'!A:C,3,FALSE),VLOOKUP(C958,'SINAPI_INSUMOS 062020'!A:C,3,FALSE))</f>
        <v xml:space="preserve">UN    </v>
      </c>
      <c r="F958" s="74">
        <v>1</v>
      </c>
      <c r="G958" s="128">
        <f>IF(A958="COMPOSIÇÃO",VLOOKUP(C958,'SINAPI_COMPOSIÇÕES 062020'!A:D,4,FALSE),VLOOKUP(C958,'SINAPI_INSUMOS 062020'!A:D,4,FALSE))</f>
        <v>0.32</v>
      </c>
      <c r="H958" s="75">
        <f t="shared" si="73"/>
        <v>0.32</v>
      </c>
    </row>
    <row r="959" spans="1:8" ht="25.5" x14ac:dyDescent="0.25">
      <c r="A959" s="125" t="s">
        <v>400</v>
      </c>
      <c r="B959" s="115" t="s">
        <v>9</v>
      </c>
      <c r="C959" s="115">
        <v>20083</v>
      </c>
      <c r="D959" s="127" t="str">
        <f>IF(A959="COMPOSIÇÃO",VLOOKUP(C959,'SINAPI_COMPOSIÇÕES 062020'!A:B,2,FALSE),VLOOKUP(C959,'SINAPI_INSUMOS 062020'!A:B,2,FALSE))</f>
        <v>SOLUCAO LIMPADORA PARA PVC, FRASCO COM 1000 CM3</v>
      </c>
      <c r="E959" s="126" t="str">
        <f>IF(A959="COMPOSIÇÃO",VLOOKUP(C959,'SINAPI_COMPOSIÇÕES 062020'!A:C,3,FALSE),VLOOKUP(C959,'SINAPI_INSUMOS 062020'!A:C,3,FALSE))</f>
        <v xml:space="preserve">UN    </v>
      </c>
      <c r="F959" s="74">
        <v>1.0999999999999999E-2</v>
      </c>
      <c r="G959" s="128">
        <f>IF(A959="COMPOSIÇÃO",VLOOKUP(C959,'SINAPI_COMPOSIÇÕES 062020'!A:D,4,FALSE),VLOOKUP(C959,'SINAPI_INSUMOS 062020'!A:D,4,FALSE))</f>
        <v>71.62</v>
      </c>
      <c r="H959" s="75">
        <f t="shared" si="73"/>
        <v>0.78</v>
      </c>
    </row>
    <row r="960" spans="1:8" x14ac:dyDescent="0.25">
      <c r="A960" s="125" t="s">
        <v>400</v>
      </c>
      <c r="B960" s="115" t="s">
        <v>9</v>
      </c>
      <c r="C960" s="115">
        <v>38383</v>
      </c>
      <c r="D960" s="127" t="str">
        <f>IF(A960="COMPOSIÇÃO",VLOOKUP(C960,'SINAPI_COMPOSIÇÕES 062020'!A:B,2,FALSE),VLOOKUP(C960,'SINAPI_INSUMOS 062020'!A:B,2,FALSE))</f>
        <v>LIXA D'AGUA EM FOLHA, GRAO 100</v>
      </c>
      <c r="E960" s="126" t="str">
        <f>IF(A960="COMPOSIÇÃO",VLOOKUP(C960,'SINAPI_COMPOSIÇÕES 062020'!A:C,3,FALSE),VLOOKUP(C960,'SINAPI_INSUMOS 062020'!A:C,3,FALSE))</f>
        <v xml:space="preserve">UN    </v>
      </c>
      <c r="F960" s="74">
        <v>0.06</v>
      </c>
      <c r="G960" s="128">
        <f>IF(A960="COMPOSIÇÃO",VLOOKUP(C960,'SINAPI_COMPOSIÇÕES 062020'!A:D,4,FALSE),VLOOKUP(C960,'SINAPI_INSUMOS 062020'!A:D,4,FALSE))</f>
        <v>1.99</v>
      </c>
      <c r="H960" s="75">
        <f t="shared" si="73"/>
        <v>0.11</v>
      </c>
    </row>
    <row r="961" spans="1:8" ht="13.5" thickBot="1" x14ac:dyDescent="0.3">
      <c r="A961" s="267" t="str">
        <f>CONCATENATE("TOTAL DO ÍTEM - ",A951)</f>
        <v>TOTAL DO ÍTEM - MPMT-04253</v>
      </c>
      <c r="B961" s="268"/>
      <c r="C961" s="268"/>
      <c r="D961" s="268"/>
      <c r="E961" s="268"/>
      <c r="F961" s="268"/>
      <c r="G961" s="269"/>
      <c r="H961" s="188">
        <f>TRUNC(SUM(H955:H960),2)</f>
        <v>5.71</v>
      </c>
    </row>
    <row r="962" spans="1:8" ht="13.5" thickBot="1" x14ac:dyDescent="0.3">
      <c r="A962" s="283" t="s">
        <v>12243</v>
      </c>
      <c r="B962" s="284"/>
      <c r="C962" s="284"/>
      <c r="D962" s="284"/>
      <c r="E962" s="284"/>
      <c r="F962" s="284"/>
      <c r="G962" s="284"/>
      <c r="H962" s="285"/>
    </row>
    <row r="963" spans="1:8" ht="13.5" thickBot="1" x14ac:dyDescent="0.3"/>
    <row r="964" spans="1:8" ht="25.5" x14ac:dyDescent="0.25">
      <c r="A964" s="120" t="s">
        <v>90</v>
      </c>
      <c r="B964" s="286" t="s">
        <v>91</v>
      </c>
      <c r="C964" s="287"/>
      <c r="D964" s="287"/>
      <c r="E964" s="287"/>
      <c r="F964" s="287"/>
      <c r="G964" s="288"/>
      <c r="H964" s="121" t="s">
        <v>4</v>
      </c>
    </row>
    <row r="965" spans="1:8" ht="13.5" thickBot="1" x14ac:dyDescent="0.3">
      <c r="A965" s="113" t="s">
        <v>12244</v>
      </c>
      <c r="B965" s="289" t="s">
        <v>12245</v>
      </c>
      <c r="C965" s="290"/>
      <c r="D965" s="290"/>
      <c r="E965" s="290"/>
      <c r="F965" s="290"/>
      <c r="G965" s="291"/>
      <c r="H965" s="114" t="s">
        <v>4</v>
      </c>
    </row>
    <row r="966" spans="1:8" x14ac:dyDescent="0.25">
      <c r="A966" s="273" t="s">
        <v>13834</v>
      </c>
      <c r="B966" s="275" t="s">
        <v>92</v>
      </c>
      <c r="C966" s="276"/>
      <c r="D966" s="185" t="s">
        <v>12242</v>
      </c>
      <c r="E966" s="239" t="s">
        <v>93</v>
      </c>
      <c r="F966" s="186">
        <v>0</v>
      </c>
      <c r="G966" s="277" t="s">
        <v>94</v>
      </c>
      <c r="H966" s="278"/>
    </row>
    <row r="967" spans="1:8" x14ac:dyDescent="0.25">
      <c r="A967" s="274"/>
      <c r="B967" s="281" t="s">
        <v>95</v>
      </c>
      <c r="C967" s="282"/>
      <c r="D967" s="187">
        <v>42930</v>
      </c>
      <c r="E967" s="240" t="s">
        <v>96</v>
      </c>
      <c r="F967" s="187">
        <v>42930</v>
      </c>
      <c r="G967" s="279"/>
      <c r="H967" s="280"/>
    </row>
    <row r="968" spans="1:8" x14ac:dyDescent="0.25">
      <c r="A968" s="122" t="s">
        <v>11885</v>
      </c>
      <c r="B968" s="123" t="s">
        <v>97</v>
      </c>
      <c r="C968" s="123" t="s">
        <v>98</v>
      </c>
      <c r="D968" s="123" t="s">
        <v>3</v>
      </c>
      <c r="E968" s="123" t="s">
        <v>4</v>
      </c>
      <c r="F968" s="123" t="s">
        <v>99</v>
      </c>
      <c r="G968" s="123" t="s">
        <v>100</v>
      </c>
      <c r="H968" s="124" t="s">
        <v>101</v>
      </c>
    </row>
    <row r="969" spans="1:8" ht="38.25" x14ac:dyDescent="0.25">
      <c r="A969" s="125" t="s">
        <v>398</v>
      </c>
      <c r="B969" s="115" t="s">
        <v>9</v>
      </c>
      <c r="C969" s="115">
        <v>88248</v>
      </c>
      <c r="D969" s="127" t="str">
        <f>IF(A969="COMPOSIÇÃO",VLOOKUP(C969,'SINAPI_COMPOSIÇÕES 062020'!A:B,2,FALSE),VLOOKUP(C969,'SINAPI_INSUMOS 062020'!A:B,2,FALSE))</f>
        <v>AUXILIAR DE ENCANADOR OU BOMBEIRO HIDRÁULICO COM ENCARGOS COMPLEMENTARES</v>
      </c>
      <c r="E969" s="126" t="str">
        <f>IF(A969="COMPOSIÇÃO",VLOOKUP(C969,'SINAPI_COMPOSIÇÕES 062020'!A:C,3,FALSE),VLOOKUP(C969,'SINAPI_INSUMOS 062020'!A:C,3,FALSE))</f>
        <v>H</v>
      </c>
      <c r="F969" s="74">
        <v>0.11899999999999999</v>
      </c>
      <c r="G969" s="128">
        <f>IF(A969="COMPOSIÇÃO",VLOOKUP(C969,'SINAPI_COMPOSIÇÕES 062020'!A:D,4,FALSE),VLOOKUP(C969,'SINAPI_INSUMOS 062020'!A:D,4,FALSE))</f>
        <v>13.87</v>
      </c>
      <c r="H969" s="75">
        <f t="shared" ref="H969:H974" si="74">TRUNC(G969*F969,2)</f>
        <v>1.65</v>
      </c>
    </row>
    <row r="970" spans="1:8" ht="25.5" x14ac:dyDescent="0.25">
      <c r="A970" s="125" t="s">
        <v>398</v>
      </c>
      <c r="B970" s="115" t="s">
        <v>9</v>
      </c>
      <c r="C970" s="115">
        <v>88267</v>
      </c>
      <c r="D970" s="127" t="str">
        <f>IF(A970="COMPOSIÇÃO",VLOOKUP(C970,'SINAPI_COMPOSIÇÕES 062020'!A:B,2,FALSE),VLOOKUP(C970,'SINAPI_INSUMOS 062020'!A:B,2,FALSE))</f>
        <v>ENCANADOR OU BOMBEIRO HIDRÁULICO COM ENCARGOS COMPLEMENTARES</v>
      </c>
      <c r="E970" s="126" t="str">
        <f>IF(A970="COMPOSIÇÃO",VLOOKUP(C970,'SINAPI_COMPOSIÇÕES 062020'!A:C,3,FALSE),VLOOKUP(C970,'SINAPI_INSUMOS 062020'!A:C,3,FALSE))</f>
        <v>H</v>
      </c>
      <c r="F970" s="74">
        <v>0.11899999999999999</v>
      </c>
      <c r="G970" s="128">
        <f>IF(A970="COMPOSIÇÃO",VLOOKUP(C970,'SINAPI_COMPOSIÇÕES 062020'!A:D,4,FALSE),VLOOKUP(C970,'SINAPI_INSUMOS 062020'!A:D,4,FALSE))</f>
        <v>17.79</v>
      </c>
      <c r="H970" s="75">
        <f t="shared" si="74"/>
        <v>2.11</v>
      </c>
    </row>
    <row r="971" spans="1:8" ht="25.5" x14ac:dyDescent="0.25">
      <c r="A971" s="125" t="s">
        <v>400</v>
      </c>
      <c r="B971" s="115" t="s">
        <v>9</v>
      </c>
      <c r="C971" s="115">
        <v>122</v>
      </c>
      <c r="D971" s="127" t="str">
        <f>IF(A971="COMPOSIÇÃO",VLOOKUP(C971,'SINAPI_COMPOSIÇÕES 062020'!A:B,2,FALSE),VLOOKUP(C971,'SINAPI_INSUMOS 062020'!A:B,2,FALSE))</f>
        <v>ADESIVO PLASTICO PARA PVC, FRASCO COM 850 GR</v>
      </c>
      <c r="E971" s="126" t="str">
        <f>IF(A971="COMPOSIÇÃO",VLOOKUP(C971,'SINAPI_COMPOSIÇÕES 062020'!A:C,3,FALSE),VLOOKUP(C971,'SINAPI_INSUMOS 062020'!A:C,3,FALSE))</f>
        <v xml:space="preserve">UN    </v>
      </c>
      <c r="F971" s="74">
        <v>8.9999999999999993E-3</v>
      </c>
      <c r="G971" s="128">
        <f>IF(A971="COMPOSIÇÃO",VLOOKUP(C971,'SINAPI_COMPOSIÇÕES 062020'!A:D,4,FALSE),VLOOKUP(C971,'SINAPI_INSUMOS 062020'!A:D,4,FALSE))</f>
        <v>82.47</v>
      </c>
      <c r="H971" s="75">
        <f t="shared" si="74"/>
        <v>0.74</v>
      </c>
    </row>
    <row r="972" spans="1:8" ht="38.25" x14ac:dyDescent="0.25">
      <c r="A972" s="125" t="s">
        <v>400</v>
      </c>
      <c r="B972" s="115" t="s">
        <v>9</v>
      </c>
      <c r="C972" s="115">
        <v>821</v>
      </c>
      <c r="D972" s="127" t="str">
        <f>IF(A972="COMPOSIÇÃO",VLOOKUP(C972,'SINAPI_COMPOSIÇÕES 062020'!A:B,2,FALSE),VLOOKUP(C972,'SINAPI_INSUMOS 062020'!A:B,2,FALSE))</f>
        <v>BUCHA DE REDUCAO DE PVC, SOLDAVEL, LONGA, COM 75 X 50 MM, PARA AGUA FRIA PREDIAL</v>
      </c>
      <c r="E972" s="126" t="str">
        <f>IF(A972="COMPOSIÇÃO",VLOOKUP(C972,'SINAPI_COMPOSIÇÕES 062020'!A:C,3,FALSE),VLOOKUP(C972,'SINAPI_INSUMOS 062020'!A:C,3,FALSE))</f>
        <v xml:space="preserve">UN    </v>
      </c>
      <c r="F972" s="74">
        <v>1</v>
      </c>
      <c r="G972" s="128">
        <f>IF(A972="COMPOSIÇÃO",VLOOKUP(C972,'SINAPI_COMPOSIÇÕES 062020'!A:D,4,FALSE),VLOOKUP(C972,'SINAPI_INSUMOS 062020'!A:D,4,FALSE))</f>
        <v>12.71</v>
      </c>
      <c r="H972" s="75">
        <f t="shared" si="74"/>
        <v>12.71</v>
      </c>
    </row>
    <row r="973" spans="1:8" ht="25.5" x14ac:dyDescent="0.25">
      <c r="A973" s="125" t="s">
        <v>400</v>
      </c>
      <c r="B973" s="115" t="s">
        <v>9</v>
      </c>
      <c r="C973" s="115">
        <v>20083</v>
      </c>
      <c r="D973" s="127" t="str">
        <f>IF(A973="COMPOSIÇÃO",VLOOKUP(C973,'SINAPI_COMPOSIÇÕES 062020'!A:B,2,FALSE),VLOOKUP(C973,'SINAPI_INSUMOS 062020'!A:B,2,FALSE))</f>
        <v>SOLUCAO LIMPADORA PARA PVC, FRASCO COM 1000 CM3</v>
      </c>
      <c r="E973" s="126" t="str">
        <f>IF(A973="COMPOSIÇÃO",VLOOKUP(C973,'SINAPI_COMPOSIÇÕES 062020'!A:C,3,FALSE),VLOOKUP(C973,'SINAPI_INSUMOS 062020'!A:C,3,FALSE))</f>
        <v xml:space="preserve">UN    </v>
      </c>
      <c r="F973" s="74">
        <v>1.0999999999999999E-2</v>
      </c>
      <c r="G973" s="128">
        <f>IF(A973="COMPOSIÇÃO",VLOOKUP(C973,'SINAPI_COMPOSIÇÕES 062020'!A:D,4,FALSE),VLOOKUP(C973,'SINAPI_INSUMOS 062020'!A:D,4,FALSE))</f>
        <v>71.62</v>
      </c>
      <c r="H973" s="75">
        <f t="shared" si="74"/>
        <v>0.78</v>
      </c>
    </row>
    <row r="974" spans="1:8" x14ac:dyDescent="0.25">
      <c r="A974" s="125" t="s">
        <v>400</v>
      </c>
      <c r="B974" s="115" t="s">
        <v>9</v>
      </c>
      <c r="C974" s="115">
        <v>38383</v>
      </c>
      <c r="D974" s="127" t="str">
        <f>IF(A974="COMPOSIÇÃO",VLOOKUP(C974,'SINAPI_COMPOSIÇÕES 062020'!A:B,2,FALSE),VLOOKUP(C974,'SINAPI_INSUMOS 062020'!A:B,2,FALSE))</f>
        <v>LIXA D'AGUA EM FOLHA, GRAO 100</v>
      </c>
      <c r="E974" s="126" t="str">
        <f>IF(A974="COMPOSIÇÃO",VLOOKUP(C974,'SINAPI_COMPOSIÇÕES 062020'!A:C,3,FALSE),VLOOKUP(C974,'SINAPI_INSUMOS 062020'!A:C,3,FALSE))</f>
        <v xml:space="preserve">UN    </v>
      </c>
      <c r="F974" s="74">
        <v>0.06</v>
      </c>
      <c r="G974" s="128">
        <f>IF(A974="COMPOSIÇÃO",VLOOKUP(C974,'SINAPI_COMPOSIÇÕES 062020'!A:D,4,FALSE),VLOOKUP(C974,'SINAPI_INSUMOS 062020'!A:D,4,FALSE))</f>
        <v>1.99</v>
      </c>
      <c r="H974" s="75">
        <f t="shared" si="74"/>
        <v>0.11</v>
      </c>
    </row>
    <row r="975" spans="1:8" ht="13.5" thickBot="1" x14ac:dyDescent="0.3">
      <c r="A975" s="267" t="str">
        <f>CONCATENATE("TOTAL DO ÍTEM - ",A965)</f>
        <v>TOTAL DO ÍTEM - MPMT-04043</v>
      </c>
      <c r="B975" s="268"/>
      <c r="C975" s="268"/>
      <c r="D975" s="268"/>
      <c r="E975" s="268"/>
      <c r="F975" s="268"/>
      <c r="G975" s="269"/>
      <c r="H975" s="188">
        <f>TRUNC(SUM(H969:H974),2)</f>
        <v>18.100000000000001</v>
      </c>
    </row>
    <row r="976" spans="1:8" ht="13.5" thickBot="1" x14ac:dyDescent="0.3">
      <c r="A976" s="299" t="s">
        <v>12246</v>
      </c>
      <c r="B976" s="300"/>
      <c r="C976" s="300"/>
      <c r="D976" s="300"/>
      <c r="E976" s="300"/>
      <c r="F976" s="300"/>
      <c r="G976" s="300"/>
      <c r="H976" s="301"/>
    </row>
    <row r="977" spans="1:8" ht="13.5" thickBot="1" x14ac:dyDescent="0.3"/>
    <row r="978" spans="1:8" ht="25.5" x14ac:dyDescent="0.25">
      <c r="A978" s="120" t="s">
        <v>90</v>
      </c>
      <c r="B978" s="286" t="s">
        <v>91</v>
      </c>
      <c r="C978" s="287"/>
      <c r="D978" s="287"/>
      <c r="E978" s="287"/>
      <c r="F978" s="287"/>
      <c r="G978" s="288"/>
      <c r="H978" s="121" t="s">
        <v>4</v>
      </c>
    </row>
    <row r="979" spans="1:8" ht="13.5" thickBot="1" x14ac:dyDescent="0.3">
      <c r="A979" s="113" t="s">
        <v>12247</v>
      </c>
      <c r="B979" s="289" t="s">
        <v>12248</v>
      </c>
      <c r="C979" s="290"/>
      <c r="D979" s="290"/>
      <c r="E979" s="290"/>
      <c r="F979" s="290"/>
      <c r="G979" s="291"/>
      <c r="H979" s="114" t="s">
        <v>4</v>
      </c>
    </row>
    <row r="980" spans="1:8" x14ac:dyDescent="0.25">
      <c r="A980" s="273" t="s">
        <v>13834</v>
      </c>
      <c r="B980" s="275" t="s">
        <v>92</v>
      </c>
      <c r="C980" s="276"/>
      <c r="D980" s="185" t="s">
        <v>12249</v>
      </c>
      <c r="E980" s="239" t="s">
        <v>93</v>
      </c>
      <c r="F980" s="186">
        <v>0</v>
      </c>
      <c r="G980" s="277" t="s">
        <v>94</v>
      </c>
      <c r="H980" s="278"/>
    </row>
    <row r="981" spans="1:8" x14ac:dyDescent="0.25">
      <c r="A981" s="274"/>
      <c r="B981" s="281" t="s">
        <v>95</v>
      </c>
      <c r="C981" s="282"/>
      <c r="D981" s="187">
        <v>43006</v>
      </c>
      <c r="E981" s="240" t="s">
        <v>96</v>
      </c>
      <c r="F981" s="187">
        <v>43006</v>
      </c>
      <c r="G981" s="279"/>
      <c r="H981" s="280"/>
    </row>
    <row r="982" spans="1:8" x14ac:dyDescent="0.25">
      <c r="A982" s="122" t="s">
        <v>11885</v>
      </c>
      <c r="B982" s="123" t="s">
        <v>97</v>
      </c>
      <c r="C982" s="123" t="s">
        <v>98</v>
      </c>
      <c r="D982" s="123" t="s">
        <v>3</v>
      </c>
      <c r="E982" s="123" t="s">
        <v>4</v>
      </c>
      <c r="F982" s="123" t="s">
        <v>99</v>
      </c>
      <c r="G982" s="123" t="s">
        <v>100</v>
      </c>
      <c r="H982" s="124" t="s">
        <v>101</v>
      </c>
    </row>
    <row r="983" spans="1:8" ht="38.25" x14ac:dyDescent="0.25">
      <c r="A983" s="125" t="s">
        <v>398</v>
      </c>
      <c r="B983" s="115" t="s">
        <v>9</v>
      </c>
      <c r="C983" s="115">
        <v>88248</v>
      </c>
      <c r="D983" s="127" t="str">
        <f>IF(A983="COMPOSIÇÃO",VLOOKUP(C983,'SINAPI_COMPOSIÇÕES 062020'!A:B,2,FALSE),VLOOKUP(C983,'SINAPI_INSUMOS 062020'!A:B,2,FALSE))</f>
        <v>AUXILIAR DE ENCANADOR OU BOMBEIRO HIDRÁULICO COM ENCARGOS COMPLEMENTARES</v>
      </c>
      <c r="E983" s="126" t="str">
        <f>IF(A983="COMPOSIÇÃO",VLOOKUP(C983,'SINAPI_COMPOSIÇÕES 062020'!A:C,3,FALSE),VLOOKUP(C983,'SINAPI_INSUMOS 062020'!A:C,3,FALSE))</f>
        <v>H</v>
      </c>
      <c r="F983" s="74">
        <v>0.11899999999999999</v>
      </c>
      <c r="G983" s="128">
        <f>IF(A983="COMPOSIÇÃO",VLOOKUP(C983,'SINAPI_COMPOSIÇÕES 062020'!A:D,4,FALSE),VLOOKUP(C983,'SINAPI_INSUMOS 062020'!A:D,4,FALSE))</f>
        <v>13.87</v>
      </c>
      <c r="H983" s="75">
        <f t="shared" ref="H983:H988" si="75">TRUNC(G983*F983,2)</f>
        <v>1.65</v>
      </c>
    </row>
    <row r="984" spans="1:8" ht="25.5" x14ac:dyDescent="0.25">
      <c r="A984" s="125" t="s">
        <v>398</v>
      </c>
      <c r="B984" s="115" t="s">
        <v>9</v>
      </c>
      <c r="C984" s="115">
        <v>88267</v>
      </c>
      <c r="D984" s="127" t="str">
        <f>IF(A984="COMPOSIÇÃO",VLOOKUP(C984,'SINAPI_COMPOSIÇÕES 062020'!A:B,2,FALSE),VLOOKUP(C984,'SINAPI_INSUMOS 062020'!A:B,2,FALSE))</f>
        <v>ENCANADOR OU BOMBEIRO HIDRÁULICO COM ENCARGOS COMPLEMENTARES</v>
      </c>
      <c r="E984" s="126" t="str">
        <f>IF(A984="COMPOSIÇÃO",VLOOKUP(C984,'SINAPI_COMPOSIÇÕES 062020'!A:C,3,FALSE),VLOOKUP(C984,'SINAPI_INSUMOS 062020'!A:C,3,FALSE))</f>
        <v>H</v>
      </c>
      <c r="F984" s="74">
        <v>0.11899999999999999</v>
      </c>
      <c r="G984" s="128">
        <f>IF(A984="COMPOSIÇÃO",VLOOKUP(C984,'SINAPI_COMPOSIÇÕES 062020'!A:D,4,FALSE),VLOOKUP(C984,'SINAPI_INSUMOS 062020'!A:D,4,FALSE))</f>
        <v>17.79</v>
      </c>
      <c r="H984" s="75">
        <f t="shared" si="75"/>
        <v>2.11</v>
      </c>
    </row>
    <row r="985" spans="1:8" ht="25.5" x14ac:dyDescent="0.25">
      <c r="A985" s="125" t="s">
        <v>400</v>
      </c>
      <c r="B985" s="115" t="s">
        <v>9</v>
      </c>
      <c r="C985" s="115">
        <v>122</v>
      </c>
      <c r="D985" s="127" t="str">
        <f>IF(A985="COMPOSIÇÃO",VLOOKUP(C985,'SINAPI_COMPOSIÇÕES 062020'!A:B,2,FALSE),VLOOKUP(C985,'SINAPI_INSUMOS 062020'!A:B,2,FALSE))</f>
        <v>ADESIVO PLASTICO PARA PVC, FRASCO COM 850 GR</v>
      </c>
      <c r="E985" s="126" t="str">
        <f>IF(A985="COMPOSIÇÃO",VLOOKUP(C985,'SINAPI_COMPOSIÇÕES 062020'!A:C,3,FALSE),VLOOKUP(C985,'SINAPI_INSUMOS 062020'!A:C,3,FALSE))</f>
        <v xml:space="preserve">UN    </v>
      </c>
      <c r="F985" s="74">
        <v>8.9999999999999993E-3</v>
      </c>
      <c r="G985" s="128">
        <f>IF(A985="COMPOSIÇÃO",VLOOKUP(C985,'SINAPI_COMPOSIÇÕES 062020'!A:D,4,FALSE),VLOOKUP(C985,'SINAPI_INSUMOS 062020'!A:D,4,FALSE))</f>
        <v>82.47</v>
      </c>
      <c r="H985" s="75">
        <f t="shared" si="75"/>
        <v>0.74</v>
      </c>
    </row>
    <row r="986" spans="1:8" ht="38.25" x14ac:dyDescent="0.25">
      <c r="A986" s="125" t="s">
        <v>400</v>
      </c>
      <c r="B986" s="115" t="s">
        <v>9</v>
      </c>
      <c r="C986" s="115">
        <v>823</v>
      </c>
      <c r="D986" s="127" t="str">
        <f>IF(A986="COMPOSIÇÃO",VLOOKUP(C986,'SINAPI_COMPOSIÇÕES 062020'!A:B,2,FALSE),VLOOKUP(C986,'SINAPI_INSUMOS 062020'!A:B,2,FALSE))</f>
        <v>BUCHA DE REDUCAO DE PVC, SOLDAVEL, CURTA, COM 75 X 60 MM, PARA AGUA FRIA PREDIAL</v>
      </c>
      <c r="E986" s="126" t="str">
        <f>IF(A986="COMPOSIÇÃO",VLOOKUP(C986,'SINAPI_COMPOSIÇÕES 062020'!A:C,3,FALSE),VLOOKUP(C986,'SINAPI_INSUMOS 062020'!A:C,3,FALSE))</f>
        <v xml:space="preserve">UN    </v>
      </c>
      <c r="F986" s="74">
        <v>1</v>
      </c>
      <c r="G986" s="128">
        <f>IF(A986="COMPOSIÇÃO",VLOOKUP(C986,'SINAPI_COMPOSIÇÕES 062020'!A:D,4,FALSE),VLOOKUP(C986,'SINAPI_INSUMOS 062020'!A:D,4,FALSE))</f>
        <v>12.39</v>
      </c>
      <c r="H986" s="75">
        <f t="shared" si="75"/>
        <v>12.39</v>
      </c>
    </row>
    <row r="987" spans="1:8" ht="25.5" x14ac:dyDescent="0.25">
      <c r="A987" s="125" t="s">
        <v>400</v>
      </c>
      <c r="B987" s="115" t="s">
        <v>9</v>
      </c>
      <c r="C987" s="115">
        <v>20083</v>
      </c>
      <c r="D987" s="127" t="str">
        <f>IF(A987="COMPOSIÇÃO",VLOOKUP(C987,'SINAPI_COMPOSIÇÕES 062020'!A:B,2,FALSE),VLOOKUP(C987,'SINAPI_INSUMOS 062020'!A:B,2,FALSE))</f>
        <v>SOLUCAO LIMPADORA PARA PVC, FRASCO COM 1000 CM3</v>
      </c>
      <c r="E987" s="126" t="str">
        <f>IF(A987="COMPOSIÇÃO",VLOOKUP(C987,'SINAPI_COMPOSIÇÕES 062020'!A:C,3,FALSE),VLOOKUP(C987,'SINAPI_INSUMOS 062020'!A:C,3,FALSE))</f>
        <v xml:space="preserve">UN    </v>
      </c>
      <c r="F987" s="74">
        <v>1.0999999999999999E-2</v>
      </c>
      <c r="G987" s="128">
        <f>IF(A987="COMPOSIÇÃO",VLOOKUP(C987,'SINAPI_COMPOSIÇÕES 062020'!A:D,4,FALSE),VLOOKUP(C987,'SINAPI_INSUMOS 062020'!A:D,4,FALSE))</f>
        <v>71.62</v>
      </c>
      <c r="H987" s="75">
        <f t="shared" si="75"/>
        <v>0.78</v>
      </c>
    </row>
    <row r="988" spans="1:8" x14ac:dyDescent="0.25">
      <c r="A988" s="125" t="s">
        <v>400</v>
      </c>
      <c r="B988" s="115" t="s">
        <v>9</v>
      </c>
      <c r="C988" s="115">
        <v>38383</v>
      </c>
      <c r="D988" s="127" t="str">
        <f>IF(A988="COMPOSIÇÃO",VLOOKUP(C988,'SINAPI_COMPOSIÇÕES 062020'!A:B,2,FALSE),VLOOKUP(C988,'SINAPI_INSUMOS 062020'!A:B,2,FALSE))</f>
        <v>LIXA D'AGUA EM FOLHA, GRAO 100</v>
      </c>
      <c r="E988" s="126" t="str">
        <f>IF(A988="COMPOSIÇÃO",VLOOKUP(C988,'SINAPI_COMPOSIÇÕES 062020'!A:C,3,FALSE),VLOOKUP(C988,'SINAPI_INSUMOS 062020'!A:C,3,FALSE))</f>
        <v xml:space="preserve">UN    </v>
      </c>
      <c r="F988" s="74">
        <v>0.06</v>
      </c>
      <c r="G988" s="128">
        <f>IF(A988="COMPOSIÇÃO",VLOOKUP(C988,'SINAPI_COMPOSIÇÕES 062020'!A:D,4,FALSE),VLOOKUP(C988,'SINAPI_INSUMOS 062020'!A:D,4,FALSE))</f>
        <v>1.99</v>
      </c>
      <c r="H988" s="75">
        <f t="shared" si="75"/>
        <v>0.11</v>
      </c>
    </row>
    <row r="989" spans="1:8" ht="13.5" thickBot="1" x14ac:dyDescent="0.3">
      <c r="A989" s="267" t="str">
        <f>CONCATENATE("TOTAL DO ÍTEM - ",A979)</f>
        <v>TOTAL DO ÍTEM - MPMT-04121</v>
      </c>
      <c r="B989" s="268"/>
      <c r="C989" s="268"/>
      <c r="D989" s="268"/>
      <c r="E989" s="268"/>
      <c r="F989" s="268"/>
      <c r="G989" s="269"/>
      <c r="H989" s="188">
        <f>TRUNC(SUM(H983:H988),2)</f>
        <v>17.78</v>
      </c>
    </row>
    <row r="990" spans="1:8" ht="13.5" thickBot="1" x14ac:dyDescent="0.3">
      <c r="A990" s="283" t="s">
        <v>12250</v>
      </c>
      <c r="B990" s="284"/>
      <c r="C990" s="284"/>
      <c r="D990" s="284"/>
      <c r="E990" s="284"/>
      <c r="F990" s="284"/>
      <c r="G990" s="284"/>
      <c r="H990" s="285"/>
    </row>
    <row r="991" spans="1:8" ht="13.5" thickBot="1" x14ac:dyDescent="0.3"/>
    <row r="992" spans="1:8" ht="25.5" x14ac:dyDescent="0.25">
      <c r="A992" s="120" t="s">
        <v>90</v>
      </c>
      <c r="B992" s="286" t="s">
        <v>91</v>
      </c>
      <c r="C992" s="287"/>
      <c r="D992" s="287"/>
      <c r="E992" s="287"/>
      <c r="F992" s="287"/>
      <c r="G992" s="288"/>
      <c r="H992" s="121" t="s">
        <v>4</v>
      </c>
    </row>
    <row r="993" spans="1:8" ht="13.5" thickBot="1" x14ac:dyDescent="0.3">
      <c r="A993" s="113" t="s">
        <v>12251</v>
      </c>
      <c r="B993" s="289" t="s">
        <v>12252</v>
      </c>
      <c r="C993" s="290"/>
      <c r="D993" s="290"/>
      <c r="E993" s="290"/>
      <c r="F993" s="290"/>
      <c r="G993" s="291"/>
      <c r="H993" s="114" t="s">
        <v>4</v>
      </c>
    </row>
    <row r="994" spans="1:8" x14ac:dyDescent="0.25">
      <c r="A994" s="273" t="s">
        <v>13834</v>
      </c>
      <c r="B994" s="275" t="s">
        <v>92</v>
      </c>
      <c r="C994" s="276"/>
      <c r="D994" s="185" t="s">
        <v>12242</v>
      </c>
      <c r="E994" s="239" t="s">
        <v>93</v>
      </c>
      <c r="F994" s="186">
        <v>0</v>
      </c>
      <c r="G994" s="277" t="s">
        <v>94</v>
      </c>
      <c r="H994" s="278"/>
    </row>
    <row r="995" spans="1:8" x14ac:dyDescent="0.25">
      <c r="A995" s="274"/>
      <c r="B995" s="281" t="s">
        <v>95</v>
      </c>
      <c r="C995" s="282"/>
      <c r="D995" s="187">
        <v>42930</v>
      </c>
      <c r="E995" s="240" t="s">
        <v>96</v>
      </c>
      <c r="F995" s="187">
        <v>42930</v>
      </c>
      <c r="G995" s="279"/>
      <c r="H995" s="280"/>
    </row>
    <row r="996" spans="1:8" x14ac:dyDescent="0.25">
      <c r="A996" s="122" t="s">
        <v>11885</v>
      </c>
      <c r="B996" s="123" t="s">
        <v>97</v>
      </c>
      <c r="C996" s="123" t="s">
        <v>98</v>
      </c>
      <c r="D996" s="123" t="s">
        <v>3</v>
      </c>
      <c r="E996" s="123" t="s">
        <v>4</v>
      </c>
      <c r="F996" s="123" t="s">
        <v>99</v>
      </c>
      <c r="G996" s="123" t="s">
        <v>100</v>
      </c>
      <c r="H996" s="124" t="s">
        <v>101</v>
      </c>
    </row>
    <row r="997" spans="1:8" ht="38.25" x14ac:dyDescent="0.25">
      <c r="A997" s="125" t="s">
        <v>398</v>
      </c>
      <c r="B997" s="115" t="s">
        <v>9</v>
      </c>
      <c r="C997" s="115">
        <v>88248</v>
      </c>
      <c r="D997" s="127" t="str">
        <f>IF(A997="COMPOSIÇÃO",VLOOKUP(C997,'SINAPI_COMPOSIÇÕES 062020'!A:B,2,FALSE),VLOOKUP(C997,'SINAPI_INSUMOS 062020'!A:B,2,FALSE))</f>
        <v>AUXILIAR DE ENCANADOR OU BOMBEIRO HIDRÁULICO COM ENCARGOS COMPLEMENTARES</v>
      </c>
      <c r="E997" s="126" t="str">
        <f>IF(A997="COMPOSIÇÃO",VLOOKUP(C997,'SINAPI_COMPOSIÇÕES 062020'!A:C,3,FALSE),VLOOKUP(C997,'SINAPI_INSUMOS 062020'!A:C,3,FALSE))</f>
        <v>H</v>
      </c>
      <c r="F997" s="74">
        <v>0.11899999999999999</v>
      </c>
      <c r="G997" s="128">
        <f>IF(A997="COMPOSIÇÃO",VLOOKUP(C997,'SINAPI_COMPOSIÇÕES 062020'!A:D,4,FALSE),VLOOKUP(C997,'SINAPI_INSUMOS 062020'!A:D,4,FALSE))</f>
        <v>13.87</v>
      </c>
      <c r="H997" s="75">
        <f t="shared" ref="H997:H1002" si="76">TRUNC(G997*F997,2)</f>
        <v>1.65</v>
      </c>
    </row>
    <row r="998" spans="1:8" ht="25.5" x14ac:dyDescent="0.25">
      <c r="A998" s="125" t="s">
        <v>398</v>
      </c>
      <c r="B998" s="115" t="s">
        <v>9</v>
      </c>
      <c r="C998" s="115">
        <v>88267</v>
      </c>
      <c r="D998" s="127" t="str">
        <f>IF(A998="COMPOSIÇÃO",VLOOKUP(C998,'SINAPI_COMPOSIÇÕES 062020'!A:B,2,FALSE),VLOOKUP(C998,'SINAPI_INSUMOS 062020'!A:B,2,FALSE))</f>
        <v>ENCANADOR OU BOMBEIRO HIDRÁULICO COM ENCARGOS COMPLEMENTARES</v>
      </c>
      <c r="E998" s="126" t="str">
        <f>IF(A998="COMPOSIÇÃO",VLOOKUP(C998,'SINAPI_COMPOSIÇÕES 062020'!A:C,3,FALSE),VLOOKUP(C998,'SINAPI_INSUMOS 062020'!A:C,3,FALSE))</f>
        <v>H</v>
      </c>
      <c r="F998" s="74">
        <v>0.11899999999999999</v>
      </c>
      <c r="G998" s="128">
        <f>IF(A998="COMPOSIÇÃO",VLOOKUP(C998,'SINAPI_COMPOSIÇÕES 062020'!A:D,4,FALSE),VLOOKUP(C998,'SINAPI_INSUMOS 062020'!A:D,4,FALSE))</f>
        <v>17.79</v>
      </c>
      <c r="H998" s="75">
        <f t="shared" si="76"/>
        <v>2.11</v>
      </c>
    </row>
    <row r="999" spans="1:8" ht="25.5" x14ac:dyDescent="0.25">
      <c r="A999" s="125" t="s">
        <v>400</v>
      </c>
      <c r="B999" s="115" t="s">
        <v>9</v>
      </c>
      <c r="C999" s="115">
        <v>122</v>
      </c>
      <c r="D999" s="127" t="str">
        <f>IF(A999="COMPOSIÇÃO",VLOOKUP(C999,'SINAPI_COMPOSIÇÕES 062020'!A:B,2,FALSE),VLOOKUP(C999,'SINAPI_INSUMOS 062020'!A:B,2,FALSE))</f>
        <v>ADESIVO PLASTICO PARA PVC, FRASCO COM 850 GR</v>
      </c>
      <c r="E999" s="126" t="str">
        <f>IF(A999="COMPOSIÇÃO",VLOOKUP(C999,'SINAPI_COMPOSIÇÕES 062020'!A:C,3,FALSE),VLOOKUP(C999,'SINAPI_INSUMOS 062020'!A:C,3,FALSE))</f>
        <v xml:space="preserve">UN    </v>
      </c>
      <c r="F999" s="74">
        <v>8.9999999999999993E-3</v>
      </c>
      <c r="G999" s="128">
        <f>IF(A999="COMPOSIÇÃO",VLOOKUP(C999,'SINAPI_COMPOSIÇÕES 062020'!A:D,4,FALSE),VLOOKUP(C999,'SINAPI_INSUMOS 062020'!A:D,4,FALSE))</f>
        <v>82.47</v>
      </c>
      <c r="H999" s="75">
        <f t="shared" si="76"/>
        <v>0.74</v>
      </c>
    </row>
    <row r="1000" spans="1:8" ht="38.25" x14ac:dyDescent="0.25">
      <c r="A1000" s="125" t="s">
        <v>400</v>
      </c>
      <c r="B1000" s="115" t="s">
        <v>9</v>
      </c>
      <c r="C1000" s="115">
        <v>813</v>
      </c>
      <c r="D1000" s="127" t="str">
        <f>IF(A1000="COMPOSIÇÃO",VLOOKUP(C1000,'SINAPI_COMPOSIÇÕES 062020'!A:B,2,FALSE),VLOOKUP(C1000,'SINAPI_INSUMOS 062020'!A:B,2,FALSE))</f>
        <v>BUCHA DE REDUCAO DE PVC, SOLDAVEL, LONGA, COM 50 X 25 MM, PARA AGUA FRIA PREDIAL</v>
      </c>
      <c r="E1000" s="126" t="str">
        <f>IF(A1000="COMPOSIÇÃO",VLOOKUP(C1000,'SINAPI_COMPOSIÇÕES 062020'!A:C,3,FALSE),VLOOKUP(C1000,'SINAPI_INSUMOS 062020'!A:C,3,FALSE))</f>
        <v xml:space="preserve">UN    </v>
      </c>
      <c r="F1000" s="74">
        <v>1</v>
      </c>
      <c r="G1000" s="128">
        <f>IF(A1000="COMPOSIÇÃO",VLOOKUP(C1000,'SINAPI_COMPOSIÇÕES 062020'!A:D,4,FALSE),VLOOKUP(C1000,'SINAPI_INSUMOS 062020'!A:D,4,FALSE))</f>
        <v>3.16</v>
      </c>
      <c r="H1000" s="75">
        <f t="shared" si="76"/>
        <v>3.16</v>
      </c>
    </row>
    <row r="1001" spans="1:8" ht="25.5" x14ac:dyDescent="0.25">
      <c r="A1001" s="125" t="s">
        <v>400</v>
      </c>
      <c r="B1001" s="115" t="s">
        <v>9</v>
      </c>
      <c r="C1001" s="115">
        <v>20083</v>
      </c>
      <c r="D1001" s="127" t="str">
        <f>IF(A1001="COMPOSIÇÃO",VLOOKUP(C1001,'SINAPI_COMPOSIÇÕES 062020'!A:B,2,FALSE),VLOOKUP(C1001,'SINAPI_INSUMOS 062020'!A:B,2,FALSE))</f>
        <v>SOLUCAO LIMPADORA PARA PVC, FRASCO COM 1000 CM3</v>
      </c>
      <c r="E1001" s="126" t="str">
        <f>IF(A1001="COMPOSIÇÃO",VLOOKUP(C1001,'SINAPI_COMPOSIÇÕES 062020'!A:C,3,FALSE),VLOOKUP(C1001,'SINAPI_INSUMOS 062020'!A:C,3,FALSE))</f>
        <v xml:space="preserve">UN    </v>
      </c>
      <c r="F1001" s="74">
        <v>1.0999999999999999E-2</v>
      </c>
      <c r="G1001" s="128">
        <f>IF(A1001="COMPOSIÇÃO",VLOOKUP(C1001,'SINAPI_COMPOSIÇÕES 062020'!A:D,4,FALSE),VLOOKUP(C1001,'SINAPI_INSUMOS 062020'!A:D,4,FALSE))</f>
        <v>71.62</v>
      </c>
      <c r="H1001" s="75">
        <f t="shared" si="76"/>
        <v>0.78</v>
      </c>
    </row>
    <row r="1002" spans="1:8" x14ac:dyDescent="0.25">
      <c r="A1002" s="125" t="s">
        <v>400</v>
      </c>
      <c r="B1002" s="115" t="s">
        <v>9</v>
      </c>
      <c r="C1002" s="115">
        <v>38383</v>
      </c>
      <c r="D1002" s="127" t="str">
        <f>IF(A1002="COMPOSIÇÃO",VLOOKUP(C1002,'SINAPI_COMPOSIÇÕES 062020'!A:B,2,FALSE),VLOOKUP(C1002,'SINAPI_INSUMOS 062020'!A:B,2,FALSE))</f>
        <v>LIXA D'AGUA EM FOLHA, GRAO 100</v>
      </c>
      <c r="E1002" s="126" t="str">
        <f>IF(A1002="COMPOSIÇÃO",VLOOKUP(C1002,'SINAPI_COMPOSIÇÕES 062020'!A:C,3,FALSE),VLOOKUP(C1002,'SINAPI_INSUMOS 062020'!A:C,3,FALSE))</f>
        <v xml:space="preserve">UN    </v>
      </c>
      <c r="F1002" s="74">
        <v>0.06</v>
      </c>
      <c r="G1002" s="128">
        <f>IF(A1002="COMPOSIÇÃO",VLOOKUP(C1002,'SINAPI_COMPOSIÇÕES 062020'!A:D,4,FALSE),VLOOKUP(C1002,'SINAPI_INSUMOS 062020'!A:D,4,FALSE))</f>
        <v>1.99</v>
      </c>
      <c r="H1002" s="75">
        <f t="shared" si="76"/>
        <v>0.11</v>
      </c>
    </row>
    <row r="1003" spans="1:8" ht="13.5" thickBot="1" x14ac:dyDescent="0.3">
      <c r="A1003" s="267" t="str">
        <f>CONCATENATE("TOTAL DO ÍTEM - ",A993)</f>
        <v>TOTAL DO ÍTEM - MPMT-04039</v>
      </c>
      <c r="B1003" s="268"/>
      <c r="C1003" s="268"/>
      <c r="D1003" s="268"/>
      <c r="E1003" s="268"/>
      <c r="F1003" s="268"/>
      <c r="G1003" s="269"/>
      <c r="H1003" s="188">
        <f>TRUNC(SUM(H997:H1002),2)</f>
        <v>8.5500000000000007</v>
      </c>
    </row>
    <row r="1004" spans="1:8" ht="13.5" thickBot="1" x14ac:dyDescent="0.3">
      <c r="A1004" s="283" t="s">
        <v>12246</v>
      </c>
      <c r="B1004" s="284"/>
      <c r="C1004" s="284"/>
      <c r="D1004" s="284"/>
      <c r="E1004" s="284"/>
      <c r="F1004" s="284"/>
      <c r="G1004" s="284"/>
      <c r="H1004" s="285"/>
    </row>
    <row r="1005" spans="1:8" ht="13.5" thickBot="1" x14ac:dyDescent="0.3"/>
    <row r="1006" spans="1:8" ht="25.5" x14ac:dyDescent="0.25">
      <c r="A1006" s="120" t="s">
        <v>90</v>
      </c>
      <c r="B1006" s="286" t="s">
        <v>91</v>
      </c>
      <c r="C1006" s="287"/>
      <c r="D1006" s="287"/>
      <c r="E1006" s="287"/>
      <c r="F1006" s="287"/>
      <c r="G1006" s="288"/>
      <c r="H1006" s="121" t="s">
        <v>4</v>
      </c>
    </row>
    <row r="1007" spans="1:8" ht="13.5" thickBot="1" x14ac:dyDescent="0.3">
      <c r="A1007" s="113" t="s">
        <v>12253</v>
      </c>
      <c r="B1007" s="289" t="s">
        <v>12254</v>
      </c>
      <c r="C1007" s="290"/>
      <c r="D1007" s="290"/>
      <c r="E1007" s="290"/>
      <c r="F1007" s="290"/>
      <c r="G1007" s="291"/>
      <c r="H1007" s="114" t="s">
        <v>4</v>
      </c>
    </row>
    <row r="1008" spans="1:8" x14ac:dyDescent="0.25">
      <c r="A1008" s="273" t="s">
        <v>13834</v>
      </c>
      <c r="B1008" s="275" t="s">
        <v>92</v>
      </c>
      <c r="C1008" s="276"/>
      <c r="D1008" s="185" t="s">
        <v>12255</v>
      </c>
      <c r="E1008" s="239" t="s">
        <v>93</v>
      </c>
      <c r="F1008" s="186">
        <v>0</v>
      </c>
      <c r="G1008" s="277" t="s">
        <v>94</v>
      </c>
      <c r="H1008" s="278"/>
    </row>
    <row r="1009" spans="1:8" x14ac:dyDescent="0.25">
      <c r="A1009" s="274"/>
      <c r="B1009" s="281" t="s">
        <v>95</v>
      </c>
      <c r="C1009" s="282"/>
      <c r="D1009" s="187">
        <v>43759</v>
      </c>
      <c r="E1009" s="240" t="s">
        <v>96</v>
      </c>
      <c r="F1009" s="187">
        <v>43759</v>
      </c>
      <c r="G1009" s="279"/>
      <c r="H1009" s="280"/>
    </row>
    <row r="1010" spans="1:8" x14ac:dyDescent="0.25">
      <c r="A1010" s="122" t="s">
        <v>11885</v>
      </c>
      <c r="B1010" s="123" t="s">
        <v>97</v>
      </c>
      <c r="C1010" s="123" t="s">
        <v>98</v>
      </c>
      <c r="D1010" s="123" t="s">
        <v>3</v>
      </c>
      <c r="E1010" s="123" t="s">
        <v>4</v>
      </c>
      <c r="F1010" s="123" t="s">
        <v>99</v>
      </c>
      <c r="G1010" s="123" t="s">
        <v>100</v>
      </c>
      <c r="H1010" s="124" t="s">
        <v>101</v>
      </c>
    </row>
    <row r="1011" spans="1:8" ht="38.25" x14ac:dyDescent="0.25">
      <c r="A1011" s="125" t="s">
        <v>398</v>
      </c>
      <c r="B1011" s="115" t="s">
        <v>9</v>
      </c>
      <c r="C1011" s="115">
        <v>88248</v>
      </c>
      <c r="D1011" s="127" t="str">
        <f>IF(A1011="COMPOSIÇÃO",VLOOKUP(C1011,'SINAPI_COMPOSIÇÕES 062020'!A:B,2,FALSE),VLOOKUP(C1011,'SINAPI_INSUMOS 062020'!A:B,2,FALSE))</f>
        <v>AUXILIAR DE ENCANADOR OU BOMBEIRO HIDRÁULICO COM ENCARGOS COMPLEMENTARES</v>
      </c>
      <c r="E1011" s="126" t="str">
        <f>IF(A1011="COMPOSIÇÃO",VLOOKUP(C1011,'SINAPI_COMPOSIÇÕES 062020'!A:C,3,FALSE),VLOOKUP(C1011,'SINAPI_INSUMOS 062020'!A:C,3,FALSE))</f>
        <v>H</v>
      </c>
      <c r="F1011" s="74">
        <v>2</v>
      </c>
      <c r="G1011" s="128">
        <f>IF(A1011="COMPOSIÇÃO",VLOOKUP(C1011,'SINAPI_COMPOSIÇÕES 062020'!A:D,4,FALSE),VLOOKUP(C1011,'SINAPI_INSUMOS 062020'!A:D,4,FALSE))</f>
        <v>13.87</v>
      </c>
      <c r="H1011" s="75">
        <f t="shared" ref="H1011:H1013" si="77">TRUNC(G1011*F1011,2)</f>
        <v>27.74</v>
      </c>
    </row>
    <row r="1012" spans="1:8" ht="25.5" x14ac:dyDescent="0.25">
      <c r="A1012" s="125" t="s">
        <v>398</v>
      </c>
      <c r="B1012" s="115" t="s">
        <v>9</v>
      </c>
      <c r="C1012" s="115">
        <v>88267</v>
      </c>
      <c r="D1012" s="127" t="str">
        <f>IF(A1012="COMPOSIÇÃO",VLOOKUP(C1012,'SINAPI_COMPOSIÇÕES 062020'!A:B,2,FALSE),VLOOKUP(C1012,'SINAPI_INSUMOS 062020'!A:B,2,FALSE))</f>
        <v>ENCANADOR OU BOMBEIRO HIDRÁULICO COM ENCARGOS COMPLEMENTARES</v>
      </c>
      <c r="E1012" s="126" t="str">
        <f>IF(A1012="COMPOSIÇÃO",VLOOKUP(C1012,'SINAPI_COMPOSIÇÕES 062020'!A:C,3,FALSE),VLOOKUP(C1012,'SINAPI_INSUMOS 062020'!A:C,3,FALSE))</f>
        <v>H</v>
      </c>
      <c r="F1012" s="74">
        <v>2</v>
      </c>
      <c r="G1012" s="128">
        <f>IF(A1012="COMPOSIÇÃO",VLOOKUP(C1012,'SINAPI_COMPOSIÇÕES 062020'!A:D,4,FALSE),VLOOKUP(C1012,'SINAPI_INSUMOS 062020'!A:D,4,FALSE))</f>
        <v>17.79</v>
      </c>
      <c r="H1012" s="75">
        <f t="shared" si="77"/>
        <v>35.58</v>
      </c>
    </row>
    <row r="1013" spans="1:8" ht="25.5" x14ac:dyDescent="0.25">
      <c r="A1013" s="125" t="s">
        <v>400</v>
      </c>
      <c r="B1013" s="115" t="s">
        <v>9</v>
      </c>
      <c r="C1013" s="115">
        <v>34640</v>
      </c>
      <c r="D1013" s="127" t="str">
        <f>IF(A1013="COMPOSIÇÃO",VLOOKUP(C1013,'SINAPI_COMPOSIÇÕES 062020'!A:B,2,FALSE),VLOOKUP(C1013,'SINAPI_INSUMOS 062020'!A:B,2,FALSE))</f>
        <v>CAIXA D'AGUA EM POLIETILENO 2000 LITROS, COM TAMPA</v>
      </c>
      <c r="E1013" s="126" t="str">
        <f>IF(A1013="COMPOSIÇÃO",VLOOKUP(C1013,'SINAPI_COMPOSIÇÕES 062020'!A:C,3,FALSE),VLOOKUP(C1013,'SINAPI_INSUMOS 062020'!A:C,3,FALSE))</f>
        <v xml:space="preserve">UN    </v>
      </c>
      <c r="F1013" s="74">
        <v>1</v>
      </c>
      <c r="G1013" s="128">
        <f>IF(A1013="COMPOSIÇÃO",VLOOKUP(C1013,'SINAPI_COMPOSIÇÕES 062020'!A:D,4,FALSE),VLOOKUP(C1013,'SINAPI_INSUMOS 062020'!A:D,4,FALSE))</f>
        <v>672.99</v>
      </c>
      <c r="H1013" s="75">
        <f t="shared" si="77"/>
        <v>672.99</v>
      </c>
    </row>
    <row r="1014" spans="1:8" ht="13.5" thickBot="1" x14ac:dyDescent="0.3">
      <c r="A1014" s="267" t="str">
        <f>CONCATENATE("TOTAL DO ÍTEM - ",A1007)</f>
        <v>TOTAL DO ÍTEM - MPMT-04289</v>
      </c>
      <c r="B1014" s="268"/>
      <c r="C1014" s="268"/>
      <c r="D1014" s="268"/>
      <c r="E1014" s="268"/>
      <c r="F1014" s="268"/>
      <c r="G1014" s="269"/>
      <c r="H1014" s="188">
        <f>TRUNC(SUM(H1011:H1013),2)</f>
        <v>736.31</v>
      </c>
    </row>
    <row r="1015" spans="1:8" ht="13.5" thickBot="1" x14ac:dyDescent="0.3">
      <c r="A1015" s="299" t="s">
        <v>12256</v>
      </c>
      <c r="B1015" s="300"/>
      <c r="C1015" s="300"/>
      <c r="D1015" s="300"/>
      <c r="E1015" s="300"/>
      <c r="F1015" s="300"/>
      <c r="G1015" s="300"/>
      <c r="H1015" s="301"/>
    </row>
    <row r="1016" spans="1:8" ht="13.5" thickBot="1" x14ac:dyDescent="0.3"/>
    <row r="1017" spans="1:8" ht="25.5" x14ac:dyDescent="0.25">
      <c r="A1017" s="120" t="s">
        <v>90</v>
      </c>
      <c r="B1017" s="286" t="s">
        <v>91</v>
      </c>
      <c r="C1017" s="287"/>
      <c r="D1017" s="287"/>
      <c r="E1017" s="287"/>
      <c r="F1017" s="287"/>
      <c r="G1017" s="288"/>
      <c r="H1017" s="121" t="s">
        <v>4</v>
      </c>
    </row>
    <row r="1018" spans="1:8" ht="13.5" thickBot="1" x14ac:dyDescent="0.3">
      <c r="A1018" s="113" t="s">
        <v>12257</v>
      </c>
      <c r="B1018" s="289" t="s">
        <v>12258</v>
      </c>
      <c r="C1018" s="290"/>
      <c r="D1018" s="290"/>
      <c r="E1018" s="290"/>
      <c r="F1018" s="290"/>
      <c r="G1018" s="291"/>
      <c r="H1018" s="114" t="s">
        <v>4</v>
      </c>
    </row>
    <row r="1019" spans="1:8" x14ac:dyDescent="0.25">
      <c r="A1019" s="273" t="s">
        <v>13834</v>
      </c>
      <c r="B1019" s="275" t="s">
        <v>92</v>
      </c>
      <c r="C1019" s="276"/>
      <c r="D1019" s="185" t="s">
        <v>12259</v>
      </c>
      <c r="E1019" s="239" t="s">
        <v>93</v>
      </c>
      <c r="F1019" s="186">
        <v>0</v>
      </c>
      <c r="G1019" s="277" t="s">
        <v>94</v>
      </c>
      <c r="H1019" s="278"/>
    </row>
    <row r="1020" spans="1:8" x14ac:dyDescent="0.25">
      <c r="A1020" s="274"/>
      <c r="B1020" s="281" t="s">
        <v>95</v>
      </c>
      <c r="C1020" s="282"/>
      <c r="D1020" s="187">
        <v>43390</v>
      </c>
      <c r="E1020" s="240" t="s">
        <v>96</v>
      </c>
      <c r="F1020" s="187">
        <v>43390</v>
      </c>
      <c r="G1020" s="279"/>
      <c r="H1020" s="280"/>
    </row>
    <row r="1021" spans="1:8" x14ac:dyDescent="0.25">
      <c r="A1021" s="122" t="s">
        <v>11885</v>
      </c>
      <c r="B1021" s="123" t="s">
        <v>97</v>
      </c>
      <c r="C1021" s="123" t="s">
        <v>98</v>
      </c>
      <c r="D1021" s="123" t="s">
        <v>3</v>
      </c>
      <c r="E1021" s="123" t="s">
        <v>4</v>
      </c>
      <c r="F1021" s="123" t="s">
        <v>99</v>
      </c>
      <c r="G1021" s="123" t="s">
        <v>100</v>
      </c>
      <c r="H1021" s="124" t="s">
        <v>101</v>
      </c>
    </row>
    <row r="1022" spans="1:8" ht="38.25" x14ac:dyDescent="0.25">
      <c r="A1022" s="125" t="s">
        <v>398</v>
      </c>
      <c r="B1022" s="115" t="s">
        <v>9</v>
      </c>
      <c r="C1022" s="115">
        <v>88248</v>
      </c>
      <c r="D1022" s="127" t="str">
        <f>IF(A1022="COMPOSIÇÃO",VLOOKUP(C1022,'SINAPI_COMPOSIÇÕES 062020'!A:B,2,FALSE),VLOOKUP(C1022,'SINAPI_INSUMOS 062020'!A:B,2,FALSE))</f>
        <v>AUXILIAR DE ENCANADOR OU BOMBEIRO HIDRÁULICO COM ENCARGOS COMPLEMENTARES</v>
      </c>
      <c r="E1022" s="126" t="str">
        <f>IF(A1022="COMPOSIÇÃO",VLOOKUP(C1022,'SINAPI_COMPOSIÇÕES 062020'!A:C,3,FALSE),VLOOKUP(C1022,'SINAPI_INSUMOS 062020'!A:C,3,FALSE))</f>
        <v>H</v>
      </c>
      <c r="F1022" s="74">
        <v>0.33</v>
      </c>
      <c r="G1022" s="128">
        <f>IF(A1022="COMPOSIÇÃO",VLOOKUP(C1022,'SINAPI_COMPOSIÇÕES 062020'!A:D,4,FALSE),VLOOKUP(C1022,'SINAPI_INSUMOS 062020'!A:D,4,FALSE))</f>
        <v>13.87</v>
      </c>
      <c r="H1022" s="75">
        <f t="shared" ref="H1022:H1027" si="78">TRUNC(G1022*F1022,2)</f>
        <v>4.57</v>
      </c>
    </row>
    <row r="1023" spans="1:8" ht="25.5" x14ac:dyDescent="0.25">
      <c r="A1023" s="125" t="s">
        <v>398</v>
      </c>
      <c r="B1023" s="115" t="s">
        <v>9</v>
      </c>
      <c r="C1023" s="115">
        <v>88267</v>
      </c>
      <c r="D1023" s="127" t="str">
        <f>IF(A1023="COMPOSIÇÃO",VLOOKUP(C1023,'SINAPI_COMPOSIÇÕES 062020'!A:B,2,FALSE),VLOOKUP(C1023,'SINAPI_INSUMOS 062020'!A:B,2,FALSE))</f>
        <v>ENCANADOR OU BOMBEIRO HIDRÁULICO COM ENCARGOS COMPLEMENTARES</v>
      </c>
      <c r="E1023" s="126" t="str">
        <f>IF(A1023="COMPOSIÇÃO",VLOOKUP(C1023,'SINAPI_COMPOSIÇÕES 062020'!A:C,3,FALSE),VLOOKUP(C1023,'SINAPI_INSUMOS 062020'!A:C,3,FALSE))</f>
        <v>H</v>
      </c>
      <c r="F1023" s="74">
        <v>0.33</v>
      </c>
      <c r="G1023" s="128">
        <f>IF(A1023="COMPOSIÇÃO",VLOOKUP(C1023,'SINAPI_COMPOSIÇÕES 062020'!A:D,4,FALSE),VLOOKUP(C1023,'SINAPI_INSUMOS 062020'!A:D,4,FALSE))</f>
        <v>17.79</v>
      </c>
      <c r="H1023" s="75">
        <f t="shared" si="78"/>
        <v>5.87</v>
      </c>
    </row>
    <row r="1024" spans="1:8" ht="25.5" x14ac:dyDescent="0.25">
      <c r="A1024" s="125" t="s">
        <v>400</v>
      </c>
      <c r="B1024" s="115" t="s">
        <v>9</v>
      </c>
      <c r="C1024" s="115">
        <v>301</v>
      </c>
      <c r="D1024" s="127" t="str">
        <f>IF(A1024="COMPOSIÇÃO",VLOOKUP(C1024,'SINAPI_COMPOSIÇÕES 062020'!A:B,2,FALSE),VLOOKUP(C1024,'SINAPI_INSUMOS 062020'!A:B,2,FALSE))</f>
        <v>ANEL BORRACHA PARA TUBO ESGOTO PREDIAL, DN 100 MM (NBR 5688)</v>
      </c>
      <c r="E1024" s="126" t="str">
        <f>IF(A1024="COMPOSIÇÃO",VLOOKUP(C1024,'SINAPI_COMPOSIÇÕES 062020'!A:C,3,FALSE),VLOOKUP(C1024,'SINAPI_INSUMOS 062020'!A:C,3,FALSE))</f>
        <v xml:space="preserve">UN    </v>
      </c>
      <c r="F1024" s="74">
        <v>1</v>
      </c>
      <c r="G1024" s="128">
        <f>IF(A1024="COMPOSIÇÃO",VLOOKUP(C1024,'SINAPI_COMPOSIÇÕES 062020'!A:D,4,FALSE),VLOOKUP(C1024,'SINAPI_INSUMOS 062020'!A:D,4,FALSE))</f>
        <v>3.3</v>
      </c>
      <c r="H1024" s="75">
        <f t="shared" si="78"/>
        <v>3.3</v>
      </c>
    </row>
    <row r="1025" spans="1:8" ht="25.5" x14ac:dyDescent="0.25">
      <c r="A1025" s="125" t="s">
        <v>400</v>
      </c>
      <c r="B1025" s="115" t="s">
        <v>9</v>
      </c>
      <c r="C1025" s="115">
        <v>20085</v>
      </c>
      <c r="D1025" s="127" t="str">
        <f>IF(A1025="COMPOSIÇÃO",VLOOKUP(C1025,'SINAPI_COMPOSIÇÕES 062020'!A:B,2,FALSE),VLOOKUP(C1025,'SINAPI_INSUMOS 062020'!A:B,2,FALSE))</f>
        <v>ANEL BORRACHA, DN 50 MM, PARA TUBO SERIE REFORCADA ESGOTO PREDIAL</v>
      </c>
      <c r="E1025" s="126" t="str">
        <f>IF(A1025="COMPOSIÇÃO",VLOOKUP(C1025,'SINAPI_COMPOSIÇÕES 062020'!A:C,3,FALSE),VLOOKUP(C1025,'SINAPI_INSUMOS 062020'!A:C,3,FALSE))</f>
        <v xml:space="preserve">UN    </v>
      </c>
      <c r="F1025" s="74">
        <v>1</v>
      </c>
      <c r="G1025" s="128">
        <f>IF(A1025="COMPOSIÇÃO",VLOOKUP(C1025,'SINAPI_COMPOSIÇÕES 062020'!A:D,4,FALSE),VLOOKUP(C1025,'SINAPI_INSUMOS 062020'!A:D,4,FALSE))</f>
        <v>1.66</v>
      </c>
      <c r="H1025" s="75">
        <f t="shared" si="78"/>
        <v>1.66</v>
      </c>
    </row>
    <row r="1026" spans="1:8" ht="25.5" x14ac:dyDescent="0.25">
      <c r="A1026" s="125" t="s">
        <v>400</v>
      </c>
      <c r="B1026" s="115" t="s">
        <v>9</v>
      </c>
      <c r="C1026" s="115">
        <v>11655</v>
      </c>
      <c r="D1026" s="127" t="str">
        <f>IF(A1026="COMPOSIÇÃO",VLOOKUP(C1026,'SINAPI_COMPOSIÇÕES 062020'!A:B,2,FALSE),VLOOKUP(C1026,'SINAPI_INSUMOS 062020'!A:B,2,FALSE))</f>
        <v>TE SANITARIO, PVC, DN 100 X 50 MM, SERIE NORMAL, PARA ESGOTO PREDIAL</v>
      </c>
      <c r="E1026" s="126" t="str">
        <f>IF(A1026="COMPOSIÇÃO",VLOOKUP(C1026,'SINAPI_COMPOSIÇÕES 062020'!A:C,3,FALSE),VLOOKUP(C1026,'SINAPI_INSUMOS 062020'!A:C,3,FALSE))</f>
        <v xml:space="preserve">UN    </v>
      </c>
      <c r="F1026" s="74">
        <v>1</v>
      </c>
      <c r="G1026" s="128">
        <f>IF(A1026="COMPOSIÇÃO",VLOOKUP(C1026,'SINAPI_COMPOSIÇÕES 062020'!A:D,4,FALSE),VLOOKUP(C1026,'SINAPI_INSUMOS 062020'!A:D,4,FALSE))</f>
        <v>10.68</v>
      </c>
      <c r="H1026" s="75">
        <f t="shared" si="78"/>
        <v>10.68</v>
      </c>
    </row>
    <row r="1027" spans="1:8" ht="51" x14ac:dyDescent="0.25">
      <c r="A1027" s="125" t="s">
        <v>400</v>
      </c>
      <c r="B1027" s="115" t="s">
        <v>9</v>
      </c>
      <c r="C1027" s="115">
        <v>20078</v>
      </c>
      <c r="D1027" s="127" t="str">
        <f>IF(A1027="COMPOSIÇÃO",VLOOKUP(C1027,'SINAPI_COMPOSIÇÕES 062020'!A:B,2,FALSE),VLOOKUP(C1027,'SINAPI_INSUMOS 062020'!A:B,2,FALSE))</f>
        <v>PASTA LUBRIFICANTE PARA TUBOS E CONEXOES COM JUNTA ELASTICA (USO EM PVC, ACO, POLIETILENO E OUTROS) ( DE *400* G)</v>
      </c>
      <c r="E1027" s="126" t="str">
        <f>IF(A1027="COMPOSIÇÃO",VLOOKUP(C1027,'SINAPI_COMPOSIÇÕES 062020'!A:C,3,FALSE),VLOOKUP(C1027,'SINAPI_INSUMOS 062020'!A:C,3,FALSE))</f>
        <v xml:space="preserve">UN    </v>
      </c>
      <c r="F1027" s="74">
        <v>9.1999999999999998E-2</v>
      </c>
      <c r="G1027" s="128">
        <f>IF(A1027="COMPOSIÇÃO",VLOOKUP(C1027,'SINAPI_COMPOSIÇÕES 062020'!A:D,4,FALSE),VLOOKUP(C1027,'SINAPI_INSUMOS 062020'!A:D,4,FALSE))</f>
        <v>30.2</v>
      </c>
      <c r="H1027" s="75">
        <f t="shared" si="78"/>
        <v>2.77</v>
      </c>
    </row>
    <row r="1028" spans="1:8" ht="13.5" thickBot="1" x14ac:dyDescent="0.3">
      <c r="A1028" s="267" t="str">
        <f>CONCATENATE("TOTAL DO ÍTEM - ",A1018)</f>
        <v>TOTAL DO ÍTEM - MPMT-04178</v>
      </c>
      <c r="B1028" s="268"/>
      <c r="C1028" s="268"/>
      <c r="D1028" s="268"/>
      <c r="E1028" s="268"/>
      <c r="F1028" s="268"/>
      <c r="G1028" s="269"/>
      <c r="H1028" s="188">
        <f>TRUNC(SUM(H1022:H1027),2)</f>
        <v>28.85</v>
      </c>
    </row>
    <row r="1029" spans="1:8" ht="13.5" thickBot="1" x14ac:dyDescent="0.3">
      <c r="A1029" s="299" t="s">
        <v>12260</v>
      </c>
      <c r="B1029" s="300"/>
      <c r="C1029" s="300"/>
      <c r="D1029" s="300"/>
      <c r="E1029" s="300"/>
      <c r="F1029" s="300"/>
      <c r="G1029" s="300"/>
      <c r="H1029" s="301"/>
    </row>
    <row r="1030" spans="1:8" ht="13.5" thickBot="1" x14ac:dyDescent="0.3"/>
    <row r="1031" spans="1:8" ht="25.5" x14ac:dyDescent="0.25">
      <c r="A1031" s="120" t="s">
        <v>90</v>
      </c>
      <c r="B1031" s="286" t="s">
        <v>91</v>
      </c>
      <c r="C1031" s="287"/>
      <c r="D1031" s="287"/>
      <c r="E1031" s="287"/>
      <c r="F1031" s="287"/>
      <c r="G1031" s="288"/>
      <c r="H1031" s="121" t="s">
        <v>4</v>
      </c>
    </row>
    <row r="1032" spans="1:8" ht="13.5" thickBot="1" x14ac:dyDescent="0.3">
      <c r="A1032" s="113" t="s">
        <v>12261</v>
      </c>
      <c r="B1032" s="289" t="s">
        <v>12262</v>
      </c>
      <c r="C1032" s="290"/>
      <c r="D1032" s="290"/>
      <c r="E1032" s="290"/>
      <c r="F1032" s="290"/>
      <c r="G1032" s="291"/>
      <c r="H1032" s="114" t="s">
        <v>4</v>
      </c>
    </row>
    <row r="1033" spans="1:8" x14ac:dyDescent="0.25">
      <c r="A1033" s="273" t="s">
        <v>13834</v>
      </c>
      <c r="B1033" s="275" t="s">
        <v>92</v>
      </c>
      <c r="C1033" s="276"/>
      <c r="D1033" s="185" t="s">
        <v>12263</v>
      </c>
      <c r="E1033" s="239" t="s">
        <v>93</v>
      </c>
      <c r="F1033" s="193" t="s">
        <v>11957</v>
      </c>
      <c r="G1033" s="277" t="s">
        <v>94</v>
      </c>
      <c r="H1033" s="278"/>
    </row>
    <row r="1034" spans="1:8" x14ac:dyDescent="0.25">
      <c r="A1034" s="274"/>
      <c r="B1034" s="281" t="s">
        <v>95</v>
      </c>
      <c r="C1034" s="282"/>
      <c r="D1034" s="187">
        <v>42933</v>
      </c>
      <c r="E1034" s="240" t="s">
        <v>96</v>
      </c>
      <c r="F1034" s="187">
        <v>43906</v>
      </c>
      <c r="G1034" s="279"/>
      <c r="H1034" s="280"/>
    </row>
    <row r="1035" spans="1:8" x14ac:dyDescent="0.25">
      <c r="A1035" s="122" t="s">
        <v>11885</v>
      </c>
      <c r="B1035" s="123" t="s">
        <v>97</v>
      </c>
      <c r="C1035" s="123" t="s">
        <v>98</v>
      </c>
      <c r="D1035" s="123" t="s">
        <v>3</v>
      </c>
      <c r="E1035" s="123" t="s">
        <v>4</v>
      </c>
      <c r="F1035" s="123" t="s">
        <v>99</v>
      </c>
      <c r="G1035" s="123" t="s">
        <v>100</v>
      </c>
      <c r="H1035" s="124" t="s">
        <v>101</v>
      </c>
    </row>
    <row r="1036" spans="1:8" ht="38.25" x14ac:dyDescent="0.25">
      <c r="A1036" s="125" t="s">
        <v>398</v>
      </c>
      <c r="B1036" s="115" t="s">
        <v>9</v>
      </c>
      <c r="C1036" s="115">
        <v>88248</v>
      </c>
      <c r="D1036" s="127" t="str">
        <f>IF(A1036="COMPOSIÇÃO",VLOOKUP(C1036,'SINAPI_COMPOSIÇÕES 062020'!A:B,2,FALSE),VLOOKUP(C1036,'SINAPI_INSUMOS 062020'!A:B,2,FALSE))</f>
        <v>AUXILIAR DE ENCANADOR OU BOMBEIRO HIDRÁULICO COM ENCARGOS COMPLEMENTARES</v>
      </c>
      <c r="E1036" s="126" t="str">
        <f>IF(A1036="COMPOSIÇÃO",VLOOKUP(C1036,'SINAPI_COMPOSIÇÕES 062020'!A:C,3,FALSE),VLOOKUP(C1036,'SINAPI_INSUMOS 062020'!A:C,3,FALSE))</f>
        <v>H</v>
      </c>
      <c r="F1036" s="74">
        <v>0.44</v>
      </c>
      <c r="G1036" s="128">
        <f>IF(A1036="COMPOSIÇÃO",VLOOKUP(C1036,'SINAPI_COMPOSIÇÕES 062020'!A:D,4,FALSE),VLOOKUP(C1036,'SINAPI_INSUMOS 062020'!A:D,4,FALSE))</f>
        <v>13.87</v>
      </c>
      <c r="H1036" s="75">
        <f t="shared" ref="H1036:H1041" si="79">TRUNC(G1036*F1036,2)</f>
        <v>6.1</v>
      </c>
    </row>
    <row r="1037" spans="1:8" ht="25.5" x14ac:dyDescent="0.25">
      <c r="A1037" s="125" t="s">
        <v>398</v>
      </c>
      <c r="B1037" s="115" t="s">
        <v>9</v>
      </c>
      <c r="C1037" s="115">
        <v>88267</v>
      </c>
      <c r="D1037" s="127" t="str">
        <f>IF(A1037="COMPOSIÇÃO",VLOOKUP(C1037,'SINAPI_COMPOSIÇÕES 062020'!A:B,2,FALSE),VLOOKUP(C1037,'SINAPI_INSUMOS 062020'!A:B,2,FALSE))</f>
        <v>ENCANADOR OU BOMBEIRO HIDRÁULICO COM ENCARGOS COMPLEMENTARES</v>
      </c>
      <c r="E1037" s="126" t="str">
        <f>IF(A1037="COMPOSIÇÃO",VLOOKUP(C1037,'SINAPI_COMPOSIÇÕES 062020'!A:C,3,FALSE),VLOOKUP(C1037,'SINAPI_INSUMOS 062020'!A:C,3,FALSE))</f>
        <v>H</v>
      </c>
      <c r="F1037" s="74">
        <v>0.44</v>
      </c>
      <c r="G1037" s="128">
        <f>IF(A1037="COMPOSIÇÃO",VLOOKUP(C1037,'SINAPI_COMPOSIÇÕES 062020'!A:D,4,FALSE),VLOOKUP(C1037,'SINAPI_INSUMOS 062020'!A:D,4,FALSE))</f>
        <v>17.79</v>
      </c>
      <c r="H1037" s="75">
        <f t="shared" si="79"/>
        <v>7.82</v>
      </c>
    </row>
    <row r="1038" spans="1:8" ht="25.5" x14ac:dyDescent="0.25">
      <c r="A1038" s="125" t="s">
        <v>400</v>
      </c>
      <c r="B1038" s="115" t="s">
        <v>9</v>
      </c>
      <c r="C1038" s="115">
        <v>301</v>
      </c>
      <c r="D1038" s="127" t="str">
        <f>IF(A1038="COMPOSIÇÃO",VLOOKUP(C1038,'SINAPI_COMPOSIÇÕES 062020'!A:B,2,FALSE),VLOOKUP(C1038,'SINAPI_INSUMOS 062020'!A:B,2,FALSE))</f>
        <v>ANEL BORRACHA PARA TUBO ESGOTO PREDIAL, DN 100 MM (NBR 5688)</v>
      </c>
      <c r="E1038" s="126" t="str">
        <f>IF(A1038="COMPOSIÇÃO",VLOOKUP(C1038,'SINAPI_COMPOSIÇÕES 062020'!A:C,3,FALSE),VLOOKUP(C1038,'SINAPI_INSUMOS 062020'!A:C,3,FALSE))</f>
        <v xml:space="preserve">UN    </v>
      </c>
      <c r="F1038" s="74">
        <v>2</v>
      </c>
      <c r="G1038" s="128">
        <f>IF(A1038="COMPOSIÇÃO",VLOOKUP(C1038,'SINAPI_COMPOSIÇÕES 062020'!A:D,4,FALSE),VLOOKUP(C1038,'SINAPI_INSUMOS 062020'!A:D,4,FALSE))</f>
        <v>3.3</v>
      </c>
      <c r="H1038" s="75">
        <f t="shared" si="79"/>
        <v>6.6</v>
      </c>
    </row>
    <row r="1039" spans="1:8" ht="25.5" x14ac:dyDescent="0.25">
      <c r="A1039" s="125" t="s">
        <v>400</v>
      </c>
      <c r="B1039" s="115" t="s">
        <v>9</v>
      </c>
      <c r="C1039" s="115">
        <v>296</v>
      </c>
      <c r="D1039" s="127" t="str">
        <f>IF(A1039="COMPOSIÇÃO",VLOOKUP(C1039,'SINAPI_COMPOSIÇÕES 062020'!A:B,2,FALSE),VLOOKUP(C1039,'SINAPI_INSUMOS 062020'!A:B,2,FALSE))</f>
        <v>ANEL BORRACHA PARA TUBO ESGOTO PREDIAL DN 50 MM (NBR 5688)</v>
      </c>
      <c r="E1039" s="126" t="str">
        <f>IF(A1039="COMPOSIÇÃO",VLOOKUP(C1039,'SINAPI_COMPOSIÇÕES 062020'!A:C,3,FALSE),VLOOKUP(C1039,'SINAPI_INSUMOS 062020'!A:C,3,FALSE))</f>
        <v xml:space="preserve">UN    </v>
      </c>
      <c r="F1039" s="74">
        <v>1</v>
      </c>
      <c r="G1039" s="128">
        <f>IF(A1039="COMPOSIÇÃO",VLOOKUP(C1039,'SINAPI_COMPOSIÇÕES 062020'!A:D,4,FALSE),VLOOKUP(C1039,'SINAPI_INSUMOS 062020'!A:D,4,FALSE))</f>
        <v>1.86</v>
      </c>
      <c r="H1039" s="75">
        <f t="shared" si="79"/>
        <v>1.86</v>
      </c>
    </row>
    <row r="1040" spans="1:8" ht="25.5" x14ac:dyDescent="0.25">
      <c r="A1040" s="125" t="s">
        <v>400</v>
      </c>
      <c r="B1040" s="115" t="s">
        <v>9</v>
      </c>
      <c r="C1040" s="115">
        <v>20180</v>
      </c>
      <c r="D1040" s="127" t="str">
        <f>IF(A1040="COMPOSIÇÃO",VLOOKUP(C1040,'SINAPI_COMPOSIÇÕES 062020'!A:B,2,FALSE),VLOOKUP(C1040,'SINAPI_INSUMOS 062020'!A:B,2,FALSE))</f>
        <v>TE, PVC, SERIE R, 150 X 100 MM, PARA ESGOTO PREDIAL</v>
      </c>
      <c r="E1040" s="126" t="str">
        <f>IF(A1040="COMPOSIÇÃO",VLOOKUP(C1040,'SINAPI_COMPOSIÇÕES 062020'!A:C,3,FALSE),VLOOKUP(C1040,'SINAPI_INSUMOS 062020'!A:C,3,FALSE))</f>
        <v xml:space="preserve">UN    </v>
      </c>
      <c r="F1040" s="74">
        <v>1</v>
      </c>
      <c r="G1040" s="128">
        <f>IF(A1040="COMPOSIÇÃO",VLOOKUP(C1040,'SINAPI_COMPOSIÇÕES 062020'!A:D,4,FALSE),VLOOKUP(C1040,'SINAPI_INSUMOS 062020'!A:D,4,FALSE))</f>
        <v>59.56</v>
      </c>
      <c r="H1040" s="75">
        <f t="shared" si="79"/>
        <v>59.56</v>
      </c>
    </row>
    <row r="1041" spans="1:8" ht="51" x14ac:dyDescent="0.25">
      <c r="A1041" s="125" t="s">
        <v>400</v>
      </c>
      <c r="B1041" s="115" t="s">
        <v>9</v>
      </c>
      <c r="C1041" s="115">
        <v>20078</v>
      </c>
      <c r="D1041" s="127" t="str">
        <f>IF(A1041="COMPOSIÇÃO",VLOOKUP(C1041,'SINAPI_COMPOSIÇÕES 062020'!A:B,2,FALSE),VLOOKUP(C1041,'SINAPI_INSUMOS 062020'!A:B,2,FALSE))</f>
        <v>PASTA LUBRIFICANTE PARA TUBOS E CONEXOES COM JUNTA ELASTICA (USO EM PVC, ACO, POLIETILENO E OUTROS) ( DE *400* G)</v>
      </c>
      <c r="E1041" s="126" t="str">
        <f>IF(A1041="COMPOSIÇÃO",VLOOKUP(C1041,'SINAPI_COMPOSIÇÕES 062020'!A:C,3,FALSE),VLOOKUP(C1041,'SINAPI_INSUMOS 062020'!A:C,3,FALSE))</f>
        <v xml:space="preserve">UN    </v>
      </c>
      <c r="F1041" s="74">
        <v>0.14000000000000001</v>
      </c>
      <c r="G1041" s="128">
        <f>IF(A1041="COMPOSIÇÃO",VLOOKUP(C1041,'SINAPI_COMPOSIÇÕES 062020'!A:D,4,FALSE),VLOOKUP(C1041,'SINAPI_INSUMOS 062020'!A:D,4,FALSE))</f>
        <v>30.2</v>
      </c>
      <c r="H1041" s="75">
        <f t="shared" si="79"/>
        <v>4.22</v>
      </c>
    </row>
    <row r="1042" spans="1:8" ht="13.5" thickBot="1" x14ac:dyDescent="0.3">
      <c r="A1042" s="267" t="str">
        <f>CONCATENATE("TOTAL DO ÍTEM - ",A1032)</f>
        <v>TOTAL DO ÍTEM - MPMT-04262</v>
      </c>
      <c r="B1042" s="268"/>
      <c r="C1042" s="268"/>
      <c r="D1042" s="268"/>
      <c r="E1042" s="268"/>
      <c r="F1042" s="268"/>
      <c r="G1042" s="269"/>
      <c r="H1042" s="188">
        <f>TRUNC(SUM(H1036:H1041),2)</f>
        <v>86.16</v>
      </c>
    </row>
    <row r="1043" spans="1:8" ht="13.5" thickBot="1" x14ac:dyDescent="0.3">
      <c r="A1043" s="299" t="s">
        <v>12264</v>
      </c>
      <c r="B1043" s="300"/>
      <c r="C1043" s="300"/>
      <c r="D1043" s="300"/>
      <c r="E1043" s="300"/>
      <c r="F1043" s="300"/>
      <c r="G1043" s="300"/>
      <c r="H1043" s="301"/>
    </row>
    <row r="1044" spans="1:8" ht="13.5" thickBot="1" x14ac:dyDescent="0.3"/>
    <row r="1045" spans="1:8" ht="25.5" x14ac:dyDescent="0.25">
      <c r="A1045" s="120" t="s">
        <v>90</v>
      </c>
      <c r="B1045" s="286" t="s">
        <v>91</v>
      </c>
      <c r="C1045" s="287"/>
      <c r="D1045" s="287"/>
      <c r="E1045" s="287"/>
      <c r="F1045" s="287"/>
      <c r="G1045" s="288"/>
      <c r="H1045" s="121" t="s">
        <v>4</v>
      </c>
    </row>
    <row r="1046" spans="1:8" ht="13.5" thickBot="1" x14ac:dyDescent="0.3">
      <c r="A1046" s="113" t="s">
        <v>12265</v>
      </c>
      <c r="B1046" s="289" t="s">
        <v>12266</v>
      </c>
      <c r="C1046" s="290"/>
      <c r="D1046" s="290"/>
      <c r="E1046" s="290"/>
      <c r="F1046" s="290"/>
      <c r="G1046" s="291"/>
      <c r="H1046" s="114" t="s">
        <v>4</v>
      </c>
    </row>
    <row r="1047" spans="1:8" x14ac:dyDescent="0.25">
      <c r="A1047" s="273" t="s">
        <v>13834</v>
      </c>
      <c r="B1047" s="275" t="s">
        <v>92</v>
      </c>
      <c r="C1047" s="276"/>
      <c r="D1047" s="185" t="s">
        <v>12267</v>
      </c>
      <c r="E1047" s="239" t="s">
        <v>93</v>
      </c>
      <c r="F1047" s="186">
        <v>0</v>
      </c>
      <c r="G1047" s="277" t="s">
        <v>94</v>
      </c>
      <c r="H1047" s="278"/>
    </row>
    <row r="1048" spans="1:8" x14ac:dyDescent="0.25">
      <c r="A1048" s="274"/>
      <c r="B1048" s="281" t="s">
        <v>95</v>
      </c>
      <c r="C1048" s="282"/>
      <c r="D1048" s="187">
        <v>42930</v>
      </c>
      <c r="E1048" s="240" t="s">
        <v>96</v>
      </c>
      <c r="F1048" s="187">
        <v>42930</v>
      </c>
      <c r="G1048" s="279"/>
      <c r="H1048" s="280"/>
    </row>
    <row r="1049" spans="1:8" x14ac:dyDescent="0.25">
      <c r="A1049" s="122" t="s">
        <v>11885</v>
      </c>
      <c r="B1049" s="123" t="s">
        <v>97</v>
      </c>
      <c r="C1049" s="123" t="s">
        <v>98</v>
      </c>
      <c r="D1049" s="123" t="s">
        <v>3</v>
      </c>
      <c r="E1049" s="123" t="s">
        <v>4</v>
      </c>
      <c r="F1049" s="123" t="s">
        <v>99</v>
      </c>
      <c r="G1049" s="123" t="s">
        <v>100</v>
      </c>
      <c r="H1049" s="124" t="s">
        <v>101</v>
      </c>
    </row>
    <row r="1050" spans="1:8" ht="38.25" x14ac:dyDescent="0.25">
      <c r="A1050" s="125" t="s">
        <v>398</v>
      </c>
      <c r="B1050" s="115" t="s">
        <v>9</v>
      </c>
      <c r="C1050" s="115">
        <v>88248</v>
      </c>
      <c r="D1050" s="127" t="str">
        <f>IF(A1050="COMPOSIÇÃO",VLOOKUP(C1050,'SINAPI_COMPOSIÇÕES 062020'!A:B,2,FALSE),VLOOKUP(C1050,'SINAPI_INSUMOS 062020'!A:B,2,FALSE))</f>
        <v>AUXILIAR DE ENCANADOR OU BOMBEIRO HIDRÁULICO COM ENCARGOS COMPLEMENTARES</v>
      </c>
      <c r="E1050" s="126" t="str">
        <f>IF(A1050="COMPOSIÇÃO",VLOOKUP(C1050,'SINAPI_COMPOSIÇÕES 062020'!A:C,3,FALSE),VLOOKUP(C1050,'SINAPI_INSUMOS 062020'!A:C,3,FALSE))</f>
        <v>H</v>
      </c>
      <c r="F1050" s="74">
        <v>7.0000000000000007E-2</v>
      </c>
      <c r="G1050" s="128">
        <f>IF(A1050="COMPOSIÇÃO",VLOOKUP(C1050,'SINAPI_COMPOSIÇÕES 062020'!A:D,4,FALSE),VLOOKUP(C1050,'SINAPI_INSUMOS 062020'!A:D,4,FALSE))</f>
        <v>13.87</v>
      </c>
      <c r="H1050" s="75">
        <f t="shared" ref="H1050:H1055" si="80">TRUNC(G1050*F1050,2)</f>
        <v>0.97</v>
      </c>
    </row>
    <row r="1051" spans="1:8" ht="25.5" x14ac:dyDescent="0.25">
      <c r="A1051" s="125" t="s">
        <v>398</v>
      </c>
      <c r="B1051" s="115" t="s">
        <v>9</v>
      </c>
      <c r="C1051" s="115">
        <v>88267</v>
      </c>
      <c r="D1051" s="127" t="str">
        <f>IF(A1051="COMPOSIÇÃO",VLOOKUP(C1051,'SINAPI_COMPOSIÇÕES 062020'!A:B,2,FALSE),VLOOKUP(C1051,'SINAPI_INSUMOS 062020'!A:B,2,FALSE))</f>
        <v>ENCANADOR OU BOMBEIRO HIDRÁULICO COM ENCARGOS COMPLEMENTARES</v>
      </c>
      <c r="E1051" s="126" t="str">
        <f>IF(A1051="COMPOSIÇÃO",VLOOKUP(C1051,'SINAPI_COMPOSIÇÕES 062020'!A:C,3,FALSE),VLOOKUP(C1051,'SINAPI_INSUMOS 062020'!A:C,3,FALSE))</f>
        <v>H</v>
      </c>
      <c r="F1051" s="74">
        <v>7.0000000000000007E-2</v>
      </c>
      <c r="G1051" s="128">
        <f>IF(A1051="COMPOSIÇÃO",VLOOKUP(C1051,'SINAPI_COMPOSIÇÕES 062020'!A:D,4,FALSE),VLOOKUP(C1051,'SINAPI_INSUMOS 062020'!A:D,4,FALSE))</f>
        <v>17.79</v>
      </c>
      <c r="H1051" s="75">
        <f t="shared" si="80"/>
        <v>1.24</v>
      </c>
    </row>
    <row r="1052" spans="1:8" ht="25.5" x14ac:dyDescent="0.25">
      <c r="A1052" s="125" t="s">
        <v>400</v>
      </c>
      <c r="B1052" s="115" t="s">
        <v>9</v>
      </c>
      <c r="C1052" s="115">
        <v>297</v>
      </c>
      <c r="D1052" s="127" t="str">
        <f>IF(A1052="COMPOSIÇÃO",VLOOKUP(C1052,'SINAPI_COMPOSIÇÕES 062020'!A:B,2,FALSE),VLOOKUP(C1052,'SINAPI_INSUMOS 062020'!A:B,2,FALSE))</f>
        <v>ANEL BORRACHA PARA TUBO ESGOTO PREDIAL DN 75 MM (NBR 5688)</v>
      </c>
      <c r="E1052" s="126" t="str">
        <f>IF(A1052="COMPOSIÇÃO",VLOOKUP(C1052,'SINAPI_COMPOSIÇÕES 062020'!A:C,3,FALSE),VLOOKUP(C1052,'SINAPI_INSUMOS 062020'!A:C,3,FALSE))</f>
        <v xml:space="preserve">UN    </v>
      </c>
      <c r="F1052" s="74">
        <v>1</v>
      </c>
      <c r="G1052" s="128">
        <f>IF(A1052="COMPOSIÇÃO",VLOOKUP(C1052,'SINAPI_COMPOSIÇÕES 062020'!A:D,4,FALSE),VLOOKUP(C1052,'SINAPI_INSUMOS 062020'!A:D,4,FALSE))</f>
        <v>2.63</v>
      </c>
      <c r="H1052" s="75">
        <f t="shared" si="80"/>
        <v>2.63</v>
      </c>
    </row>
    <row r="1053" spans="1:8" ht="25.5" x14ac:dyDescent="0.25">
      <c r="A1053" s="125" t="s">
        <v>400</v>
      </c>
      <c r="B1053" s="115" t="s">
        <v>9</v>
      </c>
      <c r="C1053" s="115">
        <v>296</v>
      </c>
      <c r="D1053" s="127" t="str">
        <f>IF(A1053="COMPOSIÇÃO",VLOOKUP(C1053,'SINAPI_COMPOSIÇÕES 062020'!A:B,2,FALSE),VLOOKUP(C1053,'SINAPI_INSUMOS 062020'!A:B,2,FALSE))</f>
        <v>ANEL BORRACHA PARA TUBO ESGOTO PREDIAL DN 50 MM (NBR 5688)</v>
      </c>
      <c r="E1053" s="126" t="str">
        <f>IF(A1053="COMPOSIÇÃO",VLOOKUP(C1053,'SINAPI_COMPOSIÇÕES 062020'!A:C,3,FALSE),VLOOKUP(C1053,'SINAPI_INSUMOS 062020'!A:C,3,FALSE))</f>
        <v xml:space="preserve">UN    </v>
      </c>
      <c r="F1053" s="74">
        <v>1</v>
      </c>
      <c r="G1053" s="128">
        <f>IF(A1053="COMPOSIÇÃO",VLOOKUP(C1053,'SINAPI_COMPOSIÇÕES 062020'!A:D,4,FALSE),VLOOKUP(C1053,'SINAPI_INSUMOS 062020'!A:D,4,FALSE))</f>
        <v>1.86</v>
      </c>
      <c r="H1053" s="75">
        <f t="shared" si="80"/>
        <v>1.86</v>
      </c>
    </row>
    <row r="1054" spans="1:8" ht="25.5" x14ac:dyDescent="0.25">
      <c r="A1054" s="125" t="s">
        <v>400</v>
      </c>
      <c r="B1054" s="115" t="s">
        <v>9</v>
      </c>
      <c r="C1054" s="115">
        <v>20042</v>
      </c>
      <c r="D1054" s="127" t="str">
        <f>IF(A1054="COMPOSIÇÃO",VLOOKUP(C1054,'SINAPI_COMPOSIÇÕES 062020'!A:B,2,FALSE),VLOOKUP(C1054,'SINAPI_INSUMOS 062020'!A:B,2,FALSE))</f>
        <v>REDUCAO EXCENTRICA PVC P/ ESG PREDIAL DN 75 X 50MM</v>
      </c>
      <c r="E1054" s="126" t="str">
        <f>IF(A1054="COMPOSIÇÃO",VLOOKUP(C1054,'SINAPI_COMPOSIÇÕES 062020'!A:C,3,FALSE),VLOOKUP(C1054,'SINAPI_INSUMOS 062020'!A:C,3,FALSE))</f>
        <v xml:space="preserve">UN    </v>
      </c>
      <c r="F1054" s="74">
        <v>1</v>
      </c>
      <c r="G1054" s="128">
        <f>IF(A1054="COMPOSIÇÃO",VLOOKUP(C1054,'SINAPI_COMPOSIÇÕES 062020'!A:D,4,FALSE),VLOOKUP(C1054,'SINAPI_INSUMOS 062020'!A:D,4,FALSE))</f>
        <v>4.3899999999999997</v>
      </c>
      <c r="H1054" s="75">
        <f t="shared" si="80"/>
        <v>4.3899999999999997</v>
      </c>
    </row>
    <row r="1055" spans="1:8" ht="51" x14ac:dyDescent="0.25">
      <c r="A1055" s="125" t="s">
        <v>400</v>
      </c>
      <c r="B1055" s="115" t="s">
        <v>9</v>
      </c>
      <c r="C1055" s="115">
        <v>20078</v>
      </c>
      <c r="D1055" s="127" t="str">
        <f>IF(A1055="COMPOSIÇÃO",VLOOKUP(C1055,'SINAPI_COMPOSIÇÕES 062020'!A:B,2,FALSE),VLOOKUP(C1055,'SINAPI_INSUMOS 062020'!A:B,2,FALSE))</f>
        <v>PASTA LUBRIFICANTE PARA TUBOS E CONEXOES COM JUNTA ELASTICA (USO EM PVC, ACO, POLIETILENO E OUTROS) ( DE *400* G)</v>
      </c>
      <c r="E1055" s="126" t="str">
        <f>IF(A1055="COMPOSIÇÃO",VLOOKUP(C1055,'SINAPI_COMPOSIÇÕES 062020'!A:C,3,FALSE),VLOOKUP(C1055,'SINAPI_INSUMOS 062020'!A:C,3,FALSE))</f>
        <v xml:space="preserve">UN    </v>
      </c>
      <c r="F1055" s="74">
        <v>0.03</v>
      </c>
      <c r="G1055" s="128">
        <f>IF(A1055="COMPOSIÇÃO",VLOOKUP(C1055,'SINAPI_COMPOSIÇÕES 062020'!A:D,4,FALSE),VLOOKUP(C1055,'SINAPI_INSUMOS 062020'!A:D,4,FALSE))</f>
        <v>30.2</v>
      </c>
      <c r="H1055" s="75">
        <f t="shared" si="80"/>
        <v>0.9</v>
      </c>
    </row>
    <row r="1056" spans="1:8" ht="13.5" thickBot="1" x14ac:dyDescent="0.3">
      <c r="A1056" s="267" t="str">
        <f>CONCATENATE("TOTAL DO ÍTEM - ",A1046)</f>
        <v>TOTAL DO ÍTEM - MPMT-04064</v>
      </c>
      <c r="B1056" s="268"/>
      <c r="C1056" s="268"/>
      <c r="D1056" s="268"/>
      <c r="E1056" s="268"/>
      <c r="F1056" s="268"/>
      <c r="G1056" s="269"/>
      <c r="H1056" s="188">
        <f>TRUNC(SUM(H1050:H1055),2)</f>
        <v>11.99</v>
      </c>
    </row>
    <row r="1057" spans="1:8" ht="13.5" thickBot="1" x14ac:dyDescent="0.3">
      <c r="A1057" s="283" t="s">
        <v>12268</v>
      </c>
      <c r="B1057" s="284"/>
      <c r="C1057" s="284"/>
      <c r="D1057" s="284"/>
      <c r="E1057" s="284"/>
      <c r="F1057" s="284"/>
      <c r="G1057" s="284"/>
      <c r="H1057" s="285"/>
    </row>
    <row r="1058" spans="1:8" ht="13.5" thickBot="1" x14ac:dyDescent="0.3"/>
    <row r="1059" spans="1:8" ht="25.5" x14ac:dyDescent="0.25">
      <c r="A1059" s="120" t="s">
        <v>90</v>
      </c>
      <c r="B1059" s="286" t="s">
        <v>91</v>
      </c>
      <c r="C1059" s="287"/>
      <c r="D1059" s="287"/>
      <c r="E1059" s="287"/>
      <c r="F1059" s="287"/>
      <c r="G1059" s="288"/>
      <c r="H1059" s="121" t="s">
        <v>4</v>
      </c>
    </row>
    <row r="1060" spans="1:8" ht="13.5" thickBot="1" x14ac:dyDescent="0.3">
      <c r="A1060" s="113" t="s">
        <v>12269</v>
      </c>
      <c r="B1060" s="289" t="s">
        <v>12270</v>
      </c>
      <c r="C1060" s="290"/>
      <c r="D1060" s="290"/>
      <c r="E1060" s="290"/>
      <c r="F1060" s="290"/>
      <c r="G1060" s="291"/>
      <c r="H1060" s="114" t="s">
        <v>4</v>
      </c>
    </row>
    <row r="1061" spans="1:8" x14ac:dyDescent="0.25">
      <c r="A1061" s="273" t="s">
        <v>13834</v>
      </c>
      <c r="B1061" s="275" t="s">
        <v>92</v>
      </c>
      <c r="C1061" s="276"/>
      <c r="D1061" s="185" t="s">
        <v>12271</v>
      </c>
      <c r="E1061" s="239" t="s">
        <v>93</v>
      </c>
      <c r="F1061" s="186">
        <v>0</v>
      </c>
      <c r="G1061" s="277" t="s">
        <v>94</v>
      </c>
      <c r="H1061" s="278"/>
    </row>
    <row r="1062" spans="1:8" x14ac:dyDescent="0.25">
      <c r="A1062" s="274"/>
      <c r="B1062" s="281" t="s">
        <v>95</v>
      </c>
      <c r="C1062" s="282"/>
      <c r="D1062" s="187">
        <v>42856</v>
      </c>
      <c r="E1062" s="240" t="s">
        <v>96</v>
      </c>
      <c r="F1062" s="187">
        <v>42856</v>
      </c>
      <c r="G1062" s="279"/>
      <c r="H1062" s="280"/>
    </row>
    <row r="1063" spans="1:8" x14ac:dyDescent="0.25">
      <c r="A1063" s="122" t="s">
        <v>11885</v>
      </c>
      <c r="B1063" s="123" t="s">
        <v>97</v>
      </c>
      <c r="C1063" s="123" t="s">
        <v>98</v>
      </c>
      <c r="D1063" s="123" t="s">
        <v>3</v>
      </c>
      <c r="E1063" s="123" t="s">
        <v>4</v>
      </c>
      <c r="F1063" s="123" t="s">
        <v>99</v>
      </c>
      <c r="G1063" s="123" t="s">
        <v>100</v>
      </c>
      <c r="H1063" s="124" t="s">
        <v>101</v>
      </c>
    </row>
    <row r="1064" spans="1:8" ht="38.25" x14ac:dyDescent="0.25">
      <c r="A1064" s="125" t="s">
        <v>398</v>
      </c>
      <c r="B1064" s="115" t="s">
        <v>9</v>
      </c>
      <c r="C1064" s="115">
        <v>88248</v>
      </c>
      <c r="D1064" s="127" t="str">
        <f>IF(A1064="COMPOSIÇÃO",VLOOKUP(C1064,'SINAPI_COMPOSIÇÕES 062020'!A:B,2,FALSE),VLOOKUP(C1064,'SINAPI_INSUMOS 062020'!A:B,2,FALSE))</f>
        <v>AUXILIAR DE ENCANADOR OU BOMBEIRO HIDRÁULICO COM ENCARGOS COMPLEMENTARES</v>
      </c>
      <c r="E1064" s="126" t="str">
        <f>IF(A1064="COMPOSIÇÃO",VLOOKUP(C1064,'SINAPI_COMPOSIÇÕES 062020'!A:C,3,FALSE),VLOOKUP(C1064,'SINAPI_INSUMOS 062020'!A:C,3,FALSE))</f>
        <v>H</v>
      </c>
      <c r="F1064" s="74">
        <v>7.0000000000000007E-2</v>
      </c>
      <c r="G1064" s="128">
        <f>IF(A1064="COMPOSIÇÃO",VLOOKUP(C1064,'SINAPI_COMPOSIÇÕES 062020'!A:D,4,FALSE),VLOOKUP(C1064,'SINAPI_INSUMOS 062020'!A:D,4,FALSE))</f>
        <v>13.87</v>
      </c>
      <c r="H1064" s="75">
        <f t="shared" ref="H1064:H1068" si="81">TRUNC(G1064*F1064,2)</f>
        <v>0.97</v>
      </c>
    </row>
    <row r="1065" spans="1:8" ht="25.5" x14ac:dyDescent="0.25">
      <c r="A1065" s="125" t="s">
        <v>398</v>
      </c>
      <c r="B1065" s="115" t="s">
        <v>9</v>
      </c>
      <c r="C1065" s="115">
        <v>88267</v>
      </c>
      <c r="D1065" s="127" t="str">
        <f>IF(A1065="COMPOSIÇÃO",VLOOKUP(C1065,'SINAPI_COMPOSIÇÕES 062020'!A:B,2,FALSE),VLOOKUP(C1065,'SINAPI_INSUMOS 062020'!A:B,2,FALSE))</f>
        <v>ENCANADOR OU BOMBEIRO HIDRÁULICO COM ENCARGOS COMPLEMENTARES</v>
      </c>
      <c r="E1065" s="126" t="str">
        <f>IF(A1065="COMPOSIÇÃO",VLOOKUP(C1065,'SINAPI_COMPOSIÇÕES 062020'!A:C,3,FALSE),VLOOKUP(C1065,'SINAPI_INSUMOS 062020'!A:C,3,FALSE))</f>
        <v>H</v>
      </c>
      <c r="F1065" s="74">
        <v>7.0000000000000007E-2</v>
      </c>
      <c r="G1065" s="128">
        <f>IF(A1065="COMPOSIÇÃO",VLOOKUP(C1065,'SINAPI_COMPOSIÇÕES 062020'!A:D,4,FALSE),VLOOKUP(C1065,'SINAPI_INSUMOS 062020'!A:D,4,FALSE))</f>
        <v>17.79</v>
      </c>
      <c r="H1065" s="75">
        <f t="shared" si="81"/>
        <v>1.24</v>
      </c>
    </row>
    <row r="1066" spans="1:8" ht="51" x14ac:dyDescent="0.25">
      <c r="A1066" s="125" t="s">
        <v>400</v>
      </c>
      <c r="B1066" s="115" t="s">
        <v>9</v>
      </c>
      <c r="C1066" s="115">
        <v>20078</v>
      </c>
      <c r="D1066" s="127" t="str">
        <f>IF(A1066="COMPOSIÇÃO",VLOOKUP(C1066,'SINAPI_COMPOSIÇÕES 062020'!A:B,2,FALSE),VLOOKUP(C1066,'SINAPI_INSUMOS 062020'!A:B,2,FALSE))</f>
        <v>PASTA LUBRIFICANTE PARA TUBOS E CONEXOES COM JUNTA ELASTICA (USO EM PVC, ACO, POLIETILENO E OUTROS) ( DE *400* G)</v>
      </c>
      <c r="E1066" s="126" t="str">
        <f>IF(A1066="COMPOSIÇÃO",VLOOKUP(C1066,'SINAPI_COMPOSIÇÕES 062020'!A:C,3,FALSE),VLOOKUP(C1066,'SINAPI_INSUMOS 062020'!A:C,3,FALSE))</f>
        <v xml:space="preserve">UN    </v>
      </c>
      <c r="F1066" s="74">
        <f>8/400</f>
        <v>0.02</v>
      </c>
      <c r="G1066" s="128">
        <f>IF(A1066="COMPOSIÇÃO",VLOOKUP(C1066,'SINAPI_COMPOSIÇÕES 062020'!A:D,4,FALSE),VLOOKUP(C1066,'SINAPI_INSUMOS 062020'!A:D,4,FALSE))</f>
        <v>30.2</v>
      </c>
      <c r="H1066" s="75">
        <f t="shared" si="81"/>
        <v>0.6</v>
      </c>
    </row>
    <row r="1067" spans="1:8" ht="25.5" x14ac:dyDescent="0.25">
      <c r="A1067" s="125" t="s">
        <v>400</v>
      </c>
      <c r="B1067" s="115" t="s">
        <v>9</v>
      </c>
      <c r="C1067" s="115">
        <v>296</v>
      </c>
      <c r="D1067" s="127" t="str">
        <f>IF(A1067="COMPOSIÇÃO",VLOOKUP(C1067,'SINAPI_COMPOSIÇÕES 062020'!A:B,2,FALSE),VLOOKUP(C1067,'SINAPI_INSUMOS 062020'!A:B,2,FALSE))</f>
        <v>ANEL BORRACHA PARA TUBO ESGOTO PREDIAL DN 50 MM (NBR 5688)</v>
      </c>
      <c r="E1067" s="126" t="str">
        <f>IF(A1067="COMPOSIÇÃO",VLOOKUP(C1067,'SINAPI_COMPOSIÇÕES 062020'!A:C,3,FALSE),VLOOKUP(C1067,'SINAPI_INSUMOS 062020'!A:C,3,FALSE))</f>
        <v xml:space="preserve">UN    </v>
      </c>
      <c r="F1067" s="74">
        <v>1</v>
      </c>
      <c r="G1067" s="128">
        <f>IF(A1067="COMPOSIÇÃO",VLOOKUP(C1067,'SINAPI_COMPOSIÇÕES 062020'!A:D,4,FALSE),VLOOKUP(C1067,'SINAPI_INSUMOS 062020'!A:D,4,FALSE))</f>
        <v>1.86</v>
      </c>
      <c r="H1067" s="75">
        <f t="shared" si="81"/>
        <v>1.86</v>
      </c>
    </row>
    <row r="1068" spans="1:8" ht="25.5" x14ac:dyDescent="0.25">
      <c r="A1068" s="125" t="s">
        <v>400</v>
      </c>
      <c r="B1068" s="115" t="s">
        <v>9</v>
      </c>
      <c r="C1068" s="115">
        <v>39319</v>
      </c>
      <c r="D1068" s="127" t="str">
        <f>IF(A1068="COMPOSIÇÃO",VLOOKUP(C1068,'SINAPI_COMPOSIÇÕES 062020'!A:B,2,FALSE),VLOOKUP(C1068,'SINAPI_INSUMOS 062020'!A:B,2,FALSE))</f>
        <v>TERMINAL DE VENTILACAO, 50 MM, SERIE NORMAL, ESGOTO PREDIAL</v>
      </c>
      <c r="E1068" s="126" t="str">
        <f>IF(A1068="COMPOSIÇÃO",VLOOKUP(C1068,'SINAPI_COMPOSIÇÕES 062020'!A:C,3,FALSE),VLOOKUP(C1068,'SINAPI_INSUMOS 062020'!A:C,3,FALSE))</f>
        <v xml:space="preserve">UN    </v>
      </c>
      <c r="F1068" s="74">
        <v>1</v>
      </c>
      <c r="G1068" s="128">
        <f>IF(A1068="COMPOSIÇÃO",VLOOKUP(C1068,'SINAPI_COMPOSIÇÕES 062020'!A:D,4,FALSE),VLOOKUP(C1068,'SINAPI_INSUMOS 062020'!A:D,4,FALSE))</f>
        <v>4.8</v>
      </c>
      <c r="H1068" s="75">
        <f t="shared" si="81"/>
        <v>4.8</v>
      </c>
    </row>
    <row r="1069" spans="1:8" ht="13.5" thickBot="1" x14ac:dyDescent="0.3">
      <c r="A1069" s="267" t="str">
        <f>CONCATENATE("TOTAL DO ÍTEM - ",A1060)</f>
        <v>TOTAL DO ÍTEM - MPMT-04013</v>
      </c>
      <c r="B1069" s="268"/>
      <c r="C1069" s="268"/>
      <c r="D1069" s="268"/>
      <c r="E1069" s="268"/>
      <c r="F1069" s="268"/>
      <c r="G1069" s="269"/>
      <c r="H1069" s="188">
        <f>TRUNC(SUM(H1064:H1068),2)</f>
        <v>9.4700000000000006</v>
      </c>
    </row>
    <row r="1070" spans="1:8" ht="13.5" thickBot="1" x14ac:dyDescent="0.3">
      <c r="A1070" s="283" t="s">
        <v>12272</v>
      </c>
      <c r="B1070" s="284"/>
      <c r="C1070" s="284"/>
      <c r="D1070" s="284"/>
      <c r="E1070" s="284"/>
      <c r="F1070" s="284"/>
      <c r="G1070" s="284"/>
      <c r="H1070" s="285"/>
    </row>
    <row r="1071" spans="1:8" ht="13.5" thickBot="1" x14ac:dyDescent="0.3"/>
    <row r="1072" spans="1:8" ht="25.5" x14ac:dyDescent="0.25">
      <c r="A1072" s="120" t="s">
        <v>90</v>
      </c>
      <c r="B1072" s="286" t="s">
        <v>91</v>
      </c>
      <c r="C1072" s="287"/>
      <c r="D1072" s="287"/>
      <c r="E1072" s="287"/>
      <c r="F1072" s="287"/>
      <c r="G1072" s="288"/>
      <c r="H1072" s="121" t="s">
        <v>4</v>
      </c>
    </row>
    <row r="1073" spans="1:8" ht="13.5" thickBot="1" x14ac:dyDescent="0.3">
      <c r="A1073" s="113" t="s">
        <v>12273</v>
      </c>
      <c r="B1073" s="289" t="s">
        <v>12274</v>
      </c>
      <c r="C1073" s="290"/>
      <c r="D1073" s="290"/>
      <c r="E1073" s="290"/>
      <c r="F1073" s="290"/>
      <c r="G1073" s="291"/>
      <c r="H1073" s="114" t="s">
        <v>4</v>
      </c>
    </row>
    <row r="1074" spans="1:8" x14ac:dyDescent="0.25">
      <c r="A1074" s="273" t="s">
        <v>13834</v>
      </c>
      <c r="B1074" s="275" t="s">
        <v>92</v>
      </c>
      <c r="C1074" s="276"/>
      <c r="D1074" s="185" t="s">
        <v>12271</v>
      </c>
      <c r="E1074" s="239" t="s">
        <v>93</v>
      </c>
      <c r="F1074" s="186">
        <v>0</v>
      </c>
      <c r="G1074" s="277" t="s">
        <v>94</v>
      </c>
      <c r="H1074" s="278"/>
    </row>
    <row r="1075" spans="1:8" x14ac:dyDescent="0.25">
      <c r="A1075" s="274"/>
      <c r="B1075" s="281" t="s">
        <v>95</v>
      </c>
      <c r="C1075" s="282"/>
      <c r="D1075" s="187">
        <v>42968</v>
      </c>
      <c r="E1075" s="240" t="s">
        <v>96</v>
      </c>
      <c r="F1075" s="187">
        <v>42968</v>
      </c>
      <c r="G1075" s="279"/>
      <c r="H1075" s="280"/>
    </row>
    <row r="1076" spans="1:8" x14ac:dyDescent="0.25">
      <c r="A1076" s="122" t="s">
        <v>11885</v>
      </c>
      <c r="B1076" s="123" t="s">
        <v>97</v>
      </c>
      <c r="C1076" s="123" t="s">
        <v>98</v>
      </c>
      <c r="D1076" s="123" t="s">
        <v>3</v>
      </c>
      <c r="E1076" s="123" t="s">
        <v>4</v>
      </c>
      <c r="F1076" s="123" t="s">
        <v>99</v>
      </c>
      <c r="G1076" s="123" t="s">
        <v>100</v>
      </c>
      <c r="H1076" s="124" t="s">
        <v>101</v>
      </c>
    </row>
    <row r="1077" spans="1:8" ht="38.25" x14ac:dyDescent="0.25">
      <c r="A1077" s="125" t="s">
        <v>398</v>
      </c>
      <c r="B1077" s="115" t="s">
        <v>9</v>
      </c>
      <c r="C1077" s="115">
        <v>88248</v>
      </c>
      <c r="D1077" s="127" t="str">
        <f>IF(A1077="COMPOSIÇÃO",VLOOKUP(C1077,'SINAPI_COMPOSIÇÕES 062020'!A:B,2,FALSE),VLOOKUP(C1077,'SINAPI_INSUMOS 062020'!A:B,2,FALSE))</f>
        <v>AUXILIAR DE ENCANADOR OU BOMBEIRO HIDRÁULICO COM ENCARGOS COMPLEMENTARES</v>
      </c>
      <c r="E1077" s="126" t="str">
        <f>IF(A1077="COMPOSIÇÃO",VLOOKUP(C1077,'SINAPI_COMPOSIÇÕES 062020'!A:C,3,FALSE),VLOOKUP(C1077,'SINAPI_INSUMOS 062020'!A:C,3,FALSE))</f>
        <v>H</v>
      </c>
      <c r="F1077" s="74">
        <v>7.0000000000000007E-2</v>
      </c>
      <c r="G1077" s="128">
        <f>IF(A1077="COMPOSIÇÃO",VLOOKUP(C1077,'SINAPI_COMPOSIÇÕES 062020'!A:D,4,FALSE),VLOOKUP(C1077,'SINAPI_INSUMOS 062020'!A:D,4,FALSE))</f>
        <v>13.87</v>
      </c>
      <c r="H1077" s="75">
        <f t="shared" ref="H1077:H1081" si="82">TRUNC(G1077*F1077,2)</f>
        <v>0.97</v>
      </c>
    </row>
    <row r="1078" spans="1:8" ht="25.5" x14ac:dyDescent="0.25">
      <c r="A1078" s="125" t="s">
        <v>398</v>
      </c>
      <c r="B1078" s="115" t="s">
        <v>9</v>
      </c>
      <c r="C1078" s="115">
        <v>88267</v>
      </c>
      <c r="D1078" s="127" t="str">
        <f>IF(A1078="COMPOSIÇÃO",VLOOKUP(C1078,'SINAPI_COMPOSIÇÕES 062020'!A:B,2,FALSE),VLOOKUP(C1078,'SINAPI_INSUMOS 062020'!A:B,2,FALSE))</f>
        <v>ENCANADOR OU BOMBEIRO HIDRÁULICO COM ENCARGOS COMPLEMENTARES</v>
      </c>
      <c r="E1078" s="126" t="str">
        <f>IF(A1078="COMPOSIÇÃO",VLOOKUP(C1078,'SINAPI_COMPOSIÇÕES 062020'!A:C,3,FALSE),VLOOKUP(C1078,'SINAPI_INSUMOS 062020'!A:C,3,FALSE))</f>
        <v>H</v>
      </c>
      <c r="F1078" s="74">
        <v>7.0000000000000007E-2</v>
      </c>
      <c r="G1078" s="128">
        <f>IF(A1078="COMPOSIÇÃO",VLOOKUP(C1078,'SINAPI_COMPOSIÇÕES 062020'!A:D,4,FALSE),VLOOKUP(C1078,'SINAPI_INSUMOS 062020'!A:D,4,FALSE))</f>
        <v>17.79</v>
      </c>
      <c r="H1078" s="75">
        <f t="shared" si="82"/>
        <v>1.24</v>
      </c>
    </row>
    <row r="1079" spans="1:8" ht="51" x14ac:dyDescent="0.25">
      <c r="A1079" s="125" t="s">
        <v>400</v>
      </c>
      <c r="B1079" s="115" t="s">
        <v>9</v>
      </c>
      <c r="C1079" s="115">
        <v>20078</v>
      </c>
      <c r="D1079" s="127" t="str">
        <f>IF(A1079="COMPOSIÇÃO",VLOOKUP(C1079,'SINAPI_COMPOSIÇÕES 062020'!A:B,2,FALSE),VLOOKUP(C1079,'SINAPI_INSUMOS 062020'!A:B,2,FALSE))</f>
        <v>PASTA LUBRIFICANTE PARA TUBOS E CONEXOES COM JUNTA ELASTICA (USO EM PVC, ACO, POLIETILENO E OUTROS) ( DE *400* G)</v>
      </c>
      <c r="E1079" s="126" t="str">
        <f>IF(A1079="COMPOSIÇÃO",VLOOKUP(C1079,'SINAPI_COMPOSIÇÕES 062020'!A:C,3,FALSE),VLOOKUP(C1079,'SINAPI_INSUMOS 062020'!A:C,3,FALSE))</f>
        <v xml:space="preserve">UN    </v>
      </c>
      <c r="F1079" s="74">
        <f>8/400</f>
        <v>0.02</v>
      </c>
      <c r="G1079" s="128">
        <f>IF(A1079="COMPOSIÇÃO",VLOOKUP(C1079,'SINAPI_COMPOSIÇÕES 062020'!A:D,4,FALSE),VLOOKUP(C1079,'SINAPI_INSUMOS 062020'!A:D,4,FALSE))</f>
        <v>30.2</v>
      </c>
      <c r="H1079" s="75">
        <f t="shared" si="82"/>
        <v>0.6</v>
      </c>
    </row>
    <row r="1080" spans="1:8" ht="25.5" x14ac:dyDescent="0.25">
      <c r="A1080" s="125" t="s">
        <v>400</v>
      </c>
      <c r="B1080" s="115" t="s">
        <v>9</v>
      </c>
      <c r="C1080" s="115">
        <v>296</v>
      </c>
      <c r="D1080" s="127" t="str">
        <f>IF(A1080="COMPOSIÇÃO",VLOOKUP(C1080,'SINAPI_COMPOSIÇÕES 062020'!A:B,2,FALSE),VLOOKUP(C1080,'SINAPI_INSUMOS 062020'!A:B,2,FALSE))</f>
        <v>ANEL BORRACHA PARA TUBO ESGOTO PREDIAL DN 50 MM (NBR 5688)</v>
      </c>
      <c r="E1080" s="126" t="str">
        <f>IF(A1080="COMPOSIÇÃO",VLOOKUP(C1080,'SINAPI_COMPOSIÇÕES 062020'!A:C,3,FALSE),VLOOKUP(C1080,'SINAPI_INSUMOS 062020'!A:C,3,FALSE))</f>
        <v xml:space="preserve">UN    </v>
      </c>
      <c r="F1080" s="74">
        <v>1</v>
      </c>
      <c r="G1080" s="128">
        <f>IF(A1080="COMPOSIÇÃO",VLOOKUP(C1080,'SINAPI_COMPOSIÇÕES 062020'!A:D,4,FALSE),VLOOKUP(C1080,'SINAPI_INSUMOS 062020'!A:D,4,FALSE))</f>
        <v>1.86</v>
      </c>
      <c r="H1080" s="75">
        <f t="shared" si="82"/>
        <v>1.86</v>
      </c>
    </row>
    <row r="1081" spans="1:8" ht="25.5" x14ac:dyDescent="0.25">
      <c r="A1081" s="125" t="s">
        <v>400</v>
      </c>
      <c r="B1081" s="115" t="s">
        <v>9</v>
      </c>
      <c r="C1081" s="115">
        <v>39320</v>
      </c>
      <c r="D1081" s="127" t="str">
        <f>IF(A1081="COMPOSIÇÃO",VLOOKUP(C1081,'SINAPI_COMPOSIÇÕES 062020'!A:B,2,FALSE),VLOOKUP(C1081,'SINAPI_INSUMOS 062020'!A:B,2,FALSE))</f>
        <v>TERMINAL DE VENTILACAO, 75 MM, SERIE NORMAL, ESGOTO PREDIAL</v>
      </c>
      <c r="E1081" s="126" t="str">
        <f>IF(A1081="COMPOSIÇÃO",VLOOKUP(C1081,'SINAPI_COMPOSIÇÕES 062020'!A:C,3,FALSE),VLOOKUP(C1081,'SINAPI_INSUMOS 062020'!A:C,3,FALSE))</f>
        <v xml:space="preserve">UN    </v>
      </c>
      <c r="F1081" s="74">
        <v>1</v>
      </c>
      <c r="G1081" s="128">
        <f>IF(A1081="COMPOSIÇÃO",VLOOKUP(C1081,'SINAPI_COMPOSIÇÕES 062020'!A:D,4,FALSE),VLOOKUP(C1081,'SINAPI_INSUMOS 062020'!A:D,4,FALSE))</f>
        <v>7.99</v>
      </c>
      <c r="H1081" s="75">
        <f t="shared" si="82"/>
        <v>7.99</v>
      </c>
    </row>
    <row r="1082" spans="1:8" ht="13.5" thickBot="1" x14ac:dyDescent="0.3">
      <c r="A1082" s="267" t="str">
        <f>CONCATENATE("TOTAL DO ÍTEM - ",A1073)</f>
        <v>TOTAL DO ÍTEM - MPMT-04103</v>
      </c>
      <c r="B1082" s="268"/>
      <c r="C1082" s="268"/>
      <c r="D1082" s="268"/>
      <c r="E1082" s="268"/>
      <c r="F1082" s="268"/>
      <c r="G1082" s="269"/>
      <c r="H1082" s="188">
        <f>TRUNC(SUM(H1077:H1081),2)</f>
        <v>12.66</v>
      </c>
    </row>
    <row r="1083" spans="1:8" ht="13.5" thickBot="1" x14ac:dyDescent="0.3">
      <c r="A1083" s="283" t="s">
        <v>12272</v>
      </c>
      <c r="B1083" s="284"/>
      <c r="C1083" s="284"/>
      <c r="D1083" s="284"/>
      <c r="E1083" s="284"/>
      <c r="F1083" s="284"/>
      <c r="G1083" s="284"/>
      <c r="H1083" s="285"/>
    </row>
    <row r="1084" spans="1:8" ht="13.5" thickBot="1" x14ac:dyDescent="0.3"/>
    <row r="1085" spans="1:8" ht="25.5" x14ac:dyDescent="0.25">
      <c r="A1085" s="120" t="s">
        <v>90</v>
      </c>
      <c r="B1085" s="286" t="s">
        <v>91</v>
      </c>
      <c r="C1085" s="287"/>
      <c r="D1085" s="287"/>
      <c r="E1085" s="287"/>
      <c r="F1085" s="287"/>
      <c r="G1085" s="288"/>
      <c r="H1085" s="121" t="s">
        <v>4</v>
      </c>
    </row>
    <row r="1086" spans="1:8" ht="13.5" thickBot="1" x14ac:dyDescent="0.3">
      <c r="A1086" s="113" t="s">
        <v>12275</v>
      </c>
      <c r="B1086" s="289" t="s">
        <v>12276</v>
      </c>
      <c r="C1086" s="290"/>
      <c r="D1086" s="290"/>
      <c r="E1086" s="290"/>
      <c r="F1086" s="290"/>
      <c r="G1086" s="291"/>
      <c r="H1086" s="114" t="s">
        <v>4</v>
      </c>
    </row>
    <row r="1087" spans="1:8" x14ac:dyDescent="0.25">
      <c r="A1087" s="273" t="s">
        <v>13834</v>
      </c>
      <c r="B1087" s="275" t="s">
        <v>92</v>
      </c>
      <c r="C1087" s="276"/>
      <c r="D1087" s="185" t="s">
        <v>12277</v>
      </c>
      <c r="E1087" s="239" t="s">
        <v>93</v>
      </c>
      <c r="F1087" s="186">
        <v>0</v>
      </c>
      <c r="G1087" s="277" t="s">
        <v>94</v>
      </c>
      <c r="H1087" s="278"/>
    </row>
    <row r="1088" spans="1:8" x14ac:dyDescent="0.25">
      <c r="A1088" s="274"/>
      <c r="B1088" s="281" t="s">
        <v>95</v>
      </c>
      <c r="C1088" s="282"/>
      <c r="D1088" s="187">
        <v>43906</v>
      </c>
      <c r="E1088" s="240" t="s">
        <v>96</v>
      </c>
      <c r="F1088" s="187">
        <v>43906</v>
      </c>
      <c r="G1088" s="279"/>
      <c r="H1088" s="280"/>
    </row>
    <row r="1089" spans="1:8" x14ac:dyDescent="0.25">
      <c r="A1089" s="122" t="s">
        <v>11885</v>
      </c>
      <c r="B1089" s="123" t="s">
        <v>97</v>
      </c>
      <c r="C1089" s="123" t="s">
        <v>98</v>
      </c>
      <c r="D1089" s="123" t="s">
        <v>3</v>
      </c>
      <c r="E1089" s="123" t="s">
        <v>4</v>
      </c>
      <c r="F1089" s="123" t="s">
        <v>99</v>
      </c>
      <c r="G1089" s="123" t="s">
        <v>100</v>
      </c>
      <c r="H1089" s="124" t="s">
        <v>101</v>
      </c>
    </row>
    <row r="1090" spans="1:8" ht="25.5" x14ac:dyDescent="0.25">
      <c r="A1090" s="125" t="s">
        <v>398</v>
      </c>
      <c r="B1090" s="115" t="s">
        <v>9</v>
      </c>
      <c r="C1090" s="115">
        <v>88267</v>
      </c>
      <c r="D1090" s="127" t="str">
        <f>IF(A1090="COMPOSIÇÃO",VLOOKUP(C1090,'SINAPI_COMPOSIÇÕES 062020'!A:B,2,FALSE),VLOOKUP(C1090,'SINAPI_INSUMOS 062020'!A:B,2,FALSE))</f>
        <v>ENCANADOR OU BOMBEIRO HIDRÁULICO COM ENCARGOS COMPLEMENTARES</v>
      </c>
      <c r="E1090" s="126" t="str">
        <f>IF(A1090="COMPOSIÇÃO",VLOOKUP(C1090,'SINAPI_COMPOSIÇÕES 062020'!A:C,3,FALSE),VLOOKUP(C1090,'SINAPI_INSUMOS 062020'!A:C,3,FALSE))</f>
        <v>H</v>
      </c>
      <c r="F1090" s="74">
        <v>6.5000000000000002E-2</v>
      </c>
      <c r="G1090" s="128">
        <f>IF(A1090="COMPOSIÇÃO",VLOOKUP(C1090,'SINAPI_COMPOSIÇÕES 062020'!A:D,4,FALSE),VLOOKUP(C1090,'SINAPI_INSUMOS 062020'!A:D,4,FALSE))</f>
        <v>17.79</v>
      </c>
      <c r="H1090" s="75">
        <f t="shared" ref="H1090:H1094" si="83">TRUNC(G1090*F1090,2)</f>
        <v>1.1499999999999999</v>
      </c>
    </row>
    <row r="1091" spans="1:8" ht="25.5" x14ac:dyDescent="0.25">
      <c r="A1091" s="125" t="s">
        <v>398</v>
      </c>
      <c r="B1091" s="115" t="s">
        <v>9</v>
      </c>
      <c r="C1091" s="115">
        <v>88316</v>
      </c>
      <c r="D1091" s="127" t="str">
        <f>IF(A1091="COMPOSIÇÃO",VLOOKUP(C1091,'SINAPI_COMPOSIÇÕES 062020'!A:B,2,FALSE),VLOOKUP(C1091,'SINAPI_INSUMOS 062020'!A:B,2,FALSE))</f>
        <v>SERVENTE COM ENCARGOS COMPLEMENTARES</v>
      </c>
      <c r="E1091" s="126" t="str">
        <f>IF(A1091="COMPOSIÇÃO",VLOOKUP(C1091,'SINAPI_COMPOSIÇÕES 062020'!A:C,3,FALSE),VLOOKUP(C1091,'SINAPI_INSUMOS 062020'!A:C,3,FALSE))</f>
        <v>H</v>
      </c>
      <c r="F1091" s="74">
        <v>6.5000000000000002E-2</v>
      </c>
      <c r="G1091" s="128">
        <f>IF(A1091="COMPOSIÇÃO",VLOOKUP(C1091,'SINAPI_COMPOSIÇÕES 062020'!A:D,4,FALSE),VLOOKUP(C1091,'SINAPI_INSUMOS 062020'!A:D,4,FALSE))</f>
        <v>14.37</v>
      </c>
      <c r="H1091" s="75">
        <f t="shared" si="83"/>
        <v>0.93</v>
      </c>
    </row>
    <row r="1092" spans="1:8" ht="25.5" x14ac:dyDescent="0.25">
      <c r="A1092" s="125" t="s">
        <v>400</v>
      </c>
      <c r="B1092" s="115" t="s">
        <v>9</v>
      </c>
      <c r="C1092" s="115">
        <v>122</v>
      </c>
      <c r="D1092" s="127" t="str">
        <f>IF(A1092="COMPOSIÇÃO",VLOOKUP(C1092,'SINAPI_COMPOSIÇÕES 062020'!A:B,2,FALSE),VLOOKUP(C1092,'SINAPI_INSUMOS 062020'!A:B,2,FALSE))</f>
        <v>ADESIVO PLASTICO PARA PVC, FRASCO COM 850 GR</v>
      </c>
      <c r="E1092" s="126" t="str">
        <f>IF(A1092="COMPOSIÇÃO",VLOOKUP(C1092,'SINAPI_COMPOSIÇÕES 062020'!A:C,3,FALSE),VLOOKUP(C1092,'SINAPI_INSUMOS 062020'!A:C,3,FALSE))</f>
        <v xml:space="preserve">UN    </v>
      </c>
      <c r="F1092" s="74">
        <v>7.0000000000000001E-3</v>
      </c>
      <c r="G1092" s="128">
        <f>IF(A1092="COMPOSIÇÃO",VLOOKUP(C1092,'SINAPI_COMPOSIÇÕES 062020'!A:D,4,FALSE),VLOOKUP(C1092,'SINAPI_INSUMOS 062020'!A:D,4,FALSE))</f>
        <v>82.47</v>
      </c>
      <c r="H1092" s="75">
        <f t="shared" si="83"/>
        <v>0.56999999999999995</v>
      </c>
    </row>
    <row r="1093" spans="1:8" ht="25.5" x14ac:dyDescent="0.25">
      <c r="A1093" s="125" t="s">
        <v>400</v>
      </c>
      <c r="B1093" s="115" t="s">
        <v>9</v>
      </c>
      <c r="C1093" s="115">
        <v>20089</v>
      </c>
      <c r="D1093" s="127" t="str">
        <f>IF(A1093="COMPOSIÇÃO",VLOOKUP(C1093,'SINAPI_COMPOSIÇÕES 062020'!A:B,2,FALSE),VLOOKUP(C1093,'SINAPI_INSUMOS 062020'!A:B,2,FALSE))</f>
        <v>CAP PVC, SERIE R, DN 150 MM, PARA ESGOTO PREDIAL</v>
      </c>
      <c r="E1093" s="126" t="str">
        <f>IF(A1093="COMPOSIÇÃO",VLOOKUP(C1093,'SINAPI_COMPOSIÇÕES 062020'!A:C,3,FALSE),VLOOKUP(C1093,'SINAPI_INSUMOS 062020'!A:C,3,FALSE))</f>
        <v xml:space="preserve">UN    </v>
      </c>
      <c r="F1093" s="74">
        <v>1</v>
      </c>
      <c r="G1093" s="128">
        <f>IF(A1093="COMPOSIÇÃO",VLOOKUP(C1093,'SINAPI_COMPOSIÇÕES 062020'!A:D,4,FALSE),VLOOKUP(C1093,'SINAPI_INSUMOS 062020'!A:D,4,FALSE))</f>
        <v>51.58</v>
      </c>
      <c r="H1093" s="75">
        <f t="shared" si="83"/>
        <v>51.58</v>
      </c>
    </row>
    <row r="1094" spans="1:8" ht="25.5" x14ac:dyDescent="0.25">
      <c r="A1094" s="125" t="s">
        <v>400</v>
      </c>
      <c r="B1094" s="115" t="s">
        <v>9</v>
      </c>
      <c r="C1094" s="115">
        <v>20083</v>
      </c>
      <c r="D1094" s="127" t="str">
        <f>IF(A1094="COMPOSIÇÃO",VLOOKUP(C1094,'SINAPI_COMPOSIÇÕES 062020'!A:B,2,FALSE),VLOOKUP(C1094,'SINAPI_INSUMOS 062020'!A:B,2,FALSE))</f>
        <v>SOLUCAO LIMPADORA PARA PVC, FRASCO COM 1000 CM3</v>
      </c>
      <c r="E1094" s="126" t="str">
        <f>IF(A1094="COMPOSIÇÃO",VLOOKUP(C1094,'SINAPI_COMPOSIÇÕES 062020'!A:C,3,FALSE),VLOOKUP(C1094,'SINAPI_INSUMOS 062020'!A:C,3,FALSE))</f>
        <v xml:space="preserve">UN    </v>
      </c>
      <c r="F1094" s="74">
        <v>5.0000000000000001E-3</v>
      </c>
      <c r="G1094" s="128">
        <f>IF(A1094="COMPOSIÇÃO",VLOOKUP(C1094,'SINAPI_COMPOSIÇÕES 062020'!A:D,4,FALSE),VLOOKUP(C1094,'SINAPI_INSUMOS 062020'!A:D,4,FALSE))</f>
        <v>71.62</v>
      </c>
      <c r="H1094" s="75">
        <f t="shared" si="83"/>
        <v>0.35</v>
      </c>
    </row>
    <row r="1095" spans="1:8" ht="13.5" thickBot="1" x14ac:dyDescent="0.3">
      <c r="A1095" s="267" t="str">
        <f>CONCATENATE("TOTAL DO ÍTEM - ",A1086)</f>
        <v>TOTAL DO ÍTEM - MPMT-04290</v>
      </c>
      <c r="B1095" s="268"/>
      <c r="C1095" s="268"/>
      <c r="D1095" s="268"/>
      <c r="E1095" s="268"/>
      <c r="F1095" s="268"/>
      <c r="G1095" s="269"/>
      <c r="H1095" s="188">
        <f>TRUNC(SUM(H1090:H1094),2)</f>
        <v>54.58</v>
      </c>
    </row>
    <row r="1096" spans="1:8" ht="13.5" thickBot="1" x14ac:dyDescent="0.3">
      <c r="A1096" s="299" t="s">
        <v>12278</v>
      </c>
      <c r="B1096" s="300"/>
      <c r="C1096" s="300"/>
      <c r="D1096" s="300"/>
      <c r="E1096" s="300"/>
      <c r="F1096" s="300"/>
      <c r="G1096" s="300"/>
      <c r="H1096" s="301"/>
    </row>
    <row r="1097" spans="1:8" ht="13.5" thickBot="1" x14ac:dyDescent="0.3"/>
    <row r="1098" spans="1:8" ht="25.5" x14ac:dyDescent="0.25">
      <c r="A1098" s="120" t="s">
        <v>90</v>
      </c>
      <c r="B1098" s="286" t="s">
        <v>91</v>
      </c>
      <c r="C1098" s="287"/>
      <c r="D1098" s="287"/>
      <c r="E1098" s="287"/>
      <c r="F1098" s="287"/>
      <c r="G1098" s="288"/>
      <c r="H1098" s="121" t="s">
        <v>4</v>
      </c>
    </row>
    <row r="1099" spans="1:8" ht="13.5" thickBot="1" x14ac:dyDescent="0.3">
      <c r="A1099" s="113" t="s">
        <v>12279</v>
      </c>
      <c r="B1099" s="289" t="s">
        <v>12280</v>
      </c>
      <c r="C1099" s="290"/>
      <c r="D1099" s="290"/>
      <c r="E1099" s="290"/>
      <c r="F1099" s="290"/>
      <c r="G1099" s="291"/>
      <c r="H1099" s="114" t="s">
        <v>4</v>
      </c>
    </row>
    <row r="1100" spans="1:8" x14ac:dyDescent="0.25">
      <c r="A1100" s="273" t="s">
        <v>13834</v>
      </c>
      <c r="B1100" s="275" t="s">
        <v>92</v>
      </c>
      <c r="C1100" s="276"/>
      <c r="D1100" s="185" t="s">
        <v>12281</v>
      </c>
      <c r="E1100" s="239" t="s">
        <v>93</v>
      </c>
      <c r="F1100" s="186">
        <v>0</v>
      </c>
      <c r="G1100" s="277" t="s">
        <v>94</v>
      </c>
      <c r="H1100" s="278"/>
    </row>
    <row r="1101" spans="1:8" x14ac:dyDescent="0.25">
      <c r="A1101" s="274"/>
      <c r="B1101" s="281" t="s">
        <v>95</v>
      </c>
      <c r="C1101" s="282"/>
      <c r="D1101" s="187">
        <v>43676</v>
      </c>
      <c r="E1101" s="240" t="s">
        <v>96</v>
      </c>
      <c r="F1101" s="187">
        <v>43676</v>
      </c>
      <c r="G1101" s="279"/>
      <c r="H1101" s="280"/>
    </row>
    <row r="1102" spans="1:8" x14ac:dyDescent="0.25">
      <c r="A1102" s="122" t="s">
        <v>11885</v>
      </c>
      <c r="B1102" s="123" t="s">
        <v>97</v>
      </c>
      <c r="C1102" s="123" t="s">
        <v>98</v>
      </c>
      <c r="D1102" s="123" t="s">
        <v>3</v>
      </c>
      <c r="E1102" s="123" t="s">
        <v>4</v>
      </c>
      <c r="F1102" s="123" t="s">
        <v>99</v>
      </c>
      <c r="G1102" s="123" t="s">
        <v>100</v>
      </c>
      <c r="H1102" s="124" t="s">
        <v>101</v>
      </c>
    </row>
    <row r="1103" spans="1:8" ht="89.25" x14ac:dyDescent="0.25">
      <c r="A1103" s="125" t="s">
        <v>398</v>
      </c>
      <c r="B1103" s="115" t="s">
        <v>9</v>
      </c>
      <c r="C1103" s="115">
        <v>5678</v>
      </c>
      <c r="D1103" s="127" t="str">
        <f>IF(A1103="COMPOSIÇÃO",VLOOKUP(C1103,'SINAPI_COMPOSIÇÕES 062020'!A:B,2,FALSE),VLOOKUP(C1103,'SINAPI_INSUMOS 062020'!A:B,2,FALSE))</f>
        <v>RETROESCAVADEIRA SOBRE RODAS COM CARREGADEIRA, TRAÇÃO 4X4, POTÊNCIA LÍQ. 88 HP, CAÇAMBA CARREG. CAP. MÍN. 1 M3, CAÇAMBA RETRO CAP. 0,26 M3, PESO OPERACIONAL MÍN. 6.674 KG, PROFUNDIDADE ESCAVAÇÃO MÁX. 4,37 M - CHP DIURNO. AF_06/2014</v>
      </c>
      <c r="E1103" s="126" t="str">
        <f>IF(A1103="COMPOSIÇÃO",VLOOKUP(C1103,'SINAPI_COMPOSIÇÕES 062020'!A:C,3,FALSE),VLOOKUP(C1103,'SINAPI_INSUMOS 062020'!A:C,3,FALSE))</f>
        <v>CHP</v>
      </c>
      <c r="F1103" s="74">
        <v>8.6999999999999994E-3</v>
      </c>
      <c r="G1103" s="128">
        <f>IF(A1103="COMPOSIÇÃO",VLOOKUP(C1103,'SINAPI_COMPOSIÇÕES 062020'!A:D,4,FALSE),VLOOKUP(C1103,'SINAPI_INSUMOS 062020'!A:D,4,FALSE))</f>
        <v>79.45</v>
      </c>
      <c r="H1103" s="75">
        <f t="shared" ref="H1103:H1112" si="84">TRUNC(G1103*F1103,2)</f>
        <v>0.69</v>
      </c>
    </row>
    <row r="1104" spans="1:8" ht="89.25" x14ac:dyDescent="0.25">
      <c r="A1104" s="125" t="s">
        <v>398</v>
      </c>
      <c r="B1104" s="115" t="s">
        <v>9</v>
      </c>
      <c r="C1104" s="115">
        <v>5679</v>
      </c>
      <c r="D1104" s="127" t="str">
        <f>IF(A1104="COMPOSIÇÃO",VLOOKUP(C1104,'SINAPI_COMPOSIÇÕES 062020'!A:B,2,FALSE),VLOOKUP(C1104,'SINAPI_INSUMOS 062020'!A:B,2,FALSE))</f>
        <v>RETROESCAVADEIRA SOBRE RODAS COM CARREGADEIRA, TRAÇÃO 4X4, POTÊNCIA LÍQ. 88 HP, CAÇAMBA CARREG. CAP. MÍN. 1 M3, CAÇAMBA RETRO CAP. 0,26 M3, PESO OPERACIONAL MÍN. 6.674 KG, PROFUNDIDADE ESCAVAÇÃO MÁX. 4,37 M - CHI DIURNO. AF_06/2014</v>
      </c>
      <c r="E1104" s="126" t="str">
        <f>IF(A1104="COMPOSIÇÃO",VLOOKUP(C1104,'SINAPI_COMPOSIÇÕES 062020'!A:C,3,FALSE),VLOOKUP(C1104,'SINAPI_INSUMOS 062020'!A:C,3,FALSE))</f>
        <v>CHI</v>
      </c>
      <c r="F1104" s="74">
        <v>2.9399999999999999E-2</v>
      </c>
      <c r="G1104" s="128">
        <f>IF(A1104="COMPOSIÇÃO",VLOOKUP(C1104,'SINAPI_COMPOSIÇÕES 062020'!A:D,4,FALSE),VLOOKUP(C1104,'SINAPI_INSUMOS 062020'!A:D,4,FALSE))</f>
        <v>32.6</v>
      </c>
      <c r="H1104" s="75">
        <f t="shared" si="84"/>
        <v>0.95</v>
      </c>
    </row>
    <row r="1105" spans="1:8" ht="63.75" x14ac:dyDescent="0.25">
      <c r="A1105" s="125" t="s">
        <v>398</v>
      </c>
      <c r="B1105" s="115" t="s">
        <v>9</v>
      </c>
      <c r="C1105" s="115">
        <v>87316</v>
      </c>
      <c r="D1105" s="127" t="str">
        <f>IF(A1105="COMPOSIÇÃO",VLOOKUP(C1105,'SINAPI_COMPOSIÇÕES 062020'!A:B,2,FALSE),VLOOKUP(C1105,'SINAPI_INSUMOS 062020'!A:B,2,FALSE))</f>
        <v>ARGAMASSA TRAÇO 1:4 (EM VOLUME DE CIMENTO E AREIA GROSSA ÚMIDA) PARA CHAPISCO CONVENCIONAL, PREPARO MECÂNICO COM BETONEIRA 400 L. AF_08/2019</v>
      </c>
      <c r="E1105" s="126" t="str">
        <f>IF(A1105="COMPOSIÇÃO",VLOOKUP(C1105,'SINAPI_COMPOSIÇÕES 062020'!A:C,3,FALSE),VLOOKUP(C1105,'SINAPI_INSUMOS 062020'!A:C,3,FALSE))</f>
        <v>M3</v>
      </c>
      <c r="F1105" s="74">
        <v>1.4E-3</v>
      </c>
      <c r="G1105" s="128">
        <f>IF(A1105="COMPOSIÇÃO",VLOOKUP(C1105,'SINAPI_COMPOSIÇÕES 062020'!A:D,4,FALSE),VLOOKUP(C1105,'SINAPI_INSUMOS 062020'!A:D,4,FALSE))</f>
        <v>298.39</v>
      </c>
      <c r="H1105" s="75">
        <f t="shared" si="84"/>
        <v>0.41</v>
      </c>
    </row>
    <row r="1106" spans="1:8" ht="25.5" x14ac:dyDescent="0.25">
      <c r="A1106" s="125" t="s">
        <v>398</v>
      </c>
      <c r="B1106" s="115" t="s">
        <v>9</v>
      </c>
      <c r="C1106" s="115">
        <v>88309</v>
      </c>
      <c r="D1106" s="127" t="str">
        <f>IF(A1106="COMPOSIÇÃO",VLOOKUP(C1106,'SINAPI_COMPOSIÇÕES 062020'!A:B,2,FALSE),VLOOKUP(C1106,'SINAPI_INSUMOS 062020'!A:B,2,FALSE))</f>
        <v>PEDREIRO COM ENCARGOS COMPLEMENTARES</v>
      </c>
      <c r="E1106" s="126" t="str">
        <f>IF(A1106="COMPOSIÇÃO",VLOOKUP(C1106,'SINAPI_COMPOSIÇÕES 062020'!A:C,3,FALSE),VLOOKUP(C1106,'SINAPI_INSUMOS 062020'!A:C,3,FALSE))</f>
        <v>H</v>
      </c>
      <c r="F1106" s="74">
        <v>6.0895000000000001</v>
      </c>
      <c r="G1106" s="128">
        <f>IF(A1106="COMPOSIÇÃO",VLOOKUP(C1106,'SINAPI_COMPOSIÇÕES 062020'!A:D,4,FALSE),VLOOKUP(C1106,'SINAPI_INSUMOS 062020'!A:D,4,FALSE))</f>
        <v>17.760000000000002</v>
      </c>
      <c r="H1106" s="75">
        <f t="shared" si="84"/>
        <v>108.14</v>
      </c>
    </row>
    <row r="1107" spans="1:8" ht="25.5" x14ac:dyDescent="0.25">
      <c r="A1107" s="125" t="s">
        <v>398</v>
      </c>
      <c r="B1107" s="115" t="s">
        <v>9</v>
      </c>
      <c r="C1107" s="115">
        <v>88316</v>
      </c>
      <c r="D1107" s="127" t="str">
        <f>IF(A1107="COMPOSIÇÃO",VLOOKUP(C1107,'SINAPI_COMPOSIÇÕES 062020'!A:B,2,FALSE),VLOOKUP(C1107,'SINAPI_INSUMOS 062020'!A:B,2,FALSE))</f>
        <v>SERVENTE COM ENCARGOS COMPLEMENTARES</v>
      </c>
      <c r="E1107" s="126" t="str">
        <f>IF(A1107="COMPOSIÇÃO",VLOOKUP(C1107,'SINAPI_COMPOSIÇÕES 062020'!A:C,3,FALSE),VLOOKUP(C1107,'SINAPI_INSUMOS 062020'!A:C,3,FALSE))</f>
        <v>H</v>
      </c>
      <c r="F1107" s="74">
        <v>6.0895000000000001</v>
      </c>
      <c r="G1107" s="128">
        <f>IF(A1107="COMPOSIÇÃO",VLOOKUP(C1107,'SINAPI_COMPOSIÇÕES 062020'!A:D,4,FALSE),VLOOKUP(C1107,'SINAPI_INSUMOS 062020'!A:D,4,FALSE))</f>
        <v>14.37</v>
      </c>
      <c r="H1107" s="75">
        <f t="shared" si="84"/>
        <v>87.5</v>
      </c>
    </row>
    <row r="1108" spans="1:8" ht="51" x14ac:dyDescent="0.25">
      <c r="A1108" s="125" t="s">
        <v>398</v>
      </c>
      <c r="B1108" s="115" t="s">
        <v>9</v>
      </c>
      <c r="C1108" s="115">
        <v>88628</v>
      </c>
      <c r="D1108" s="127" t="str">
        <f>IF(A1108="COMPOSIÇÃO",VLOOKUP(C1108,'SINAPI_COMPOSIÇÕES 062020'!A:B,2,FALSE),VLOOKUP(C1108,'SINAPI_INSUMOS 062020'!A:B,2,FALSE))</f>
        <v>ARGAMASSA TRAÇO 1:3 (EM VOLUME DE CIMENTO E AREIA MÉDIA ÚMIDA), PREPARO MECÂNICO COM BETONEIRA 400 L. AF_08/2019</v>
      </c>
      <c r="E1108" s="126" t="str">
        <f>IF(A1108="COMPOSIÇÃO",VLOOKUP(C1108,'SINAPI_COMPOSIÇÕES 062020'!A:C,3,FALSE),VLOOKUP(C1108,'SINAPI_INSUMOS 062020'!A:C,3,FALSE))</f>
        <v>M3</v>
      </c>
      <c r="F1108" s="74">
        <v>0.11559999999999999</v>
      </c>
      <c r="G1108" s="128">
        <f>IF(A1108="COMPOSIÇÃO",VLOOKUP(C1108,'SINAPI_COMPOSIÇÕES 062020'!A:D,4,FALSE),VLOOKUP(C1108,'SINAPI_INSUMOS 062020'!A:D,4,FALSE))</f>
        <v>349.75</v>
      </c>
      <c r="H1108" s="75">
        <f t="shared" si="84"/>
        <v>40.43</v>
      </c>
    </row>
    <row r="1109" spans="1:8" ht="38.25" x14ac:dyDescent="0.25">
      <c r="A1109" s="125" t="s">
        <v>398</v>
      </c>
      <c r="B1109" s="115" t="s">
        <v>9</v>
      </c>
      <c r="C1109" s="115">
        <v>94097</v>
      </c>
      <c r="D1109" s="127" t="str">
        <f>IF(A1109="COMPOSIÇÃO",VLOOKUP(C1109,'SINAPI_COMPOSIÇÕES 062020'!A:B,2,FALSE),VLOOKUP(C1109,'SINAPI_INSUMOS 062020'!A:B,2,FALSE))</f>
        <v>PREPARO DE FUNDO DE VALA COM LARGURA MENOR QUE 1,5 M, EM LOCAL COM NÍVEL BAIXO DE INTERFERÊNCIA. AF_06/2016</v>
      </c>
      <c r="E1109" s="126" t="str">
        <f>IF(A1109="COMPOSIÇÃO",VLOOKUP(C1109,'SINAPI_COMPOSIÇÕES 062020'!A:C,3,FALSE),VLOOKUP(C1109,'SINAPI_INSUMOS 062020'!A:C,3,FALSE))</f>
        <v>M2</v>
      </c>
      <c r="F1109" s="74">
        <v>0.81</v>
      </c>
      <c r="G1109" s="128">
        <f>IF(A1109="COMPOSIÇÃO",VLOOKUP(C1109,'SINAPI_COMPOSIÇÕES 062020'!A:D,4,FALSE),VLOOKUP(C1109,'SINAPI_INSUMOS 062020'!A:D,4,FALSE))</f>
        <v>4.17</v>
      </c>
      <c r="H1109" s="75">
        <f t="shared" si="84"/>
        <v>3.37</v>
      </c>
    </row>
    <row r="1110" spans="1:8" ht="51" x14ac:dyDescent="0.25">
      <c r="A1110" s="125" t="s">
        <v>398</v>
      </c>
      <c r="B1110" s="115" t="s">
        <v>9</v>
      </c>
      <c r="C1110" s="115">
        <v>94970</v>
      </c>
      <c r="D1110" s="127" t="str">
        <f>IF(A1110="COMPOSIÇÃO",VLOOKUP(C1110,'SINAPI_COMPOSIÇÕES 062020'!A:B,2,FALSE),VLOOKUP(C1110,'SINAPI_INSUMOS 062020'!A:B,2,FALSE))</f>
        <v>CONCRETO FCK = 20MPA, TRAÇO 1:2,7:3 (CIMENTO/ AREIA MÉDIA/ BRITA 1)  - PREPARO MECÂNICO COM BETONEIRA 600 L. AF_07/2016</v>
      </c>
      <c r="E1110" s="126" t="str">
        <f>IF(A1110="COMPOSIÇÃO",VLOOKUP(C1110,'SINAPI_COMPOSIÇÕES 062020'!A:C,3,FALSE),VLOOKUP(C1110,'SINAPI_INSUMOS 062020'!A:C,3,FALSE))</f>
        <v>M3</v>
      </c>
      <c r="F1110" s="74">
        <v>7.4399999999999994E-2</v>
      </c>
      <c r="G1110" s="128">
        <f>IF(A1110="COMPOSIÇÃO",VLOOKUP(C1110,'SINAPI_COMPOSIÇÕES 062020'!A:D,4,FALSE),VLOOKUP(C1110,'SINAPI_INSUMOS 062020'!A:D,4,FALSE))</f>
        <v>303.10000000000002</v>
      </c>
      <c r="H1110" s="75">
        <f t="shared" si="84"/>
        <v>22.55</v>
      </c>
    </row>
    <row r="1111" spans="1:8" ht="38.25" x14ac:dyDescent="0.25">
      <c r="A1111" s="125" t="s">
        <v>398</v>
      </c>
      <c r="B1111" s="115" t="s">
        <v>9</v>
      </c>
      <c r="C1111" s="115">
        <v>97735</v>
      </c>
      <c r="D1111" s="127" t="str">
        <f>IF(A1111="COMPOSIÇÃO",VLOOKUP(C1111,'SINAPI_COMPOSIÇÕES 062020'!A:B,2,FALSE),VLOOKUP(C1111,'SINAPI_INSUMOS 062020'!A:B,2,FALSE))</f>
        <v>PEÇA RETANGULAR PRÉ-MOLDADA, VOLUME DE CONCRETO DE 30 A 100 LITROS, TAXA DE AÇO APROXIMADA DE 30KG/M³. AF_01/2018</v>
      </c>
      <c r="E1111" s="126" t="str">
        <f>IF(A1111="COMPOSIÇÃO",VLOOKUP(C1111,'SINAPI_COMPOSIÇÕES 062020'!A:C,3,FALSE),VLOOKUP(C1111,'SINAPI_INSUMOS 062020'!A:C,3,FALSE))</f>
        <v>M3</v>
      </c>
      <c r="F1111" s="74">
        <v>4.48E-2</v>
      </c>
      <c r="G1111" s="128">
        <f>IF(A1111="COMPOSIÇÃO",VLOOKUP(C1111,'SINAPI_COMPOSIÇÕES 062020'!A:D,4,FALSE),VLOOKUP(C1111,'SINAPI_INSUMOS 062020'!A:D,4,FALSE))</f>
        <v>1617.38</v>
      </c>
      <c r="H1111" s="75">
        <f t="shared" si="84"/>
        <v>72.45</v>
      </c>
    </row>
    <row r="1112" spans="1:8" ht="25.5" x14ac:dyDescent="0.25">
      <c r="A1112" s="125" t="s">
        <v>400</v>
      </c>
      <c r="B1112" s="115" t="s">
        <v>9</v>
      </c>
      <c r="C1112" s="115">
        <v>7258</v>
      </c>
      <c r="D1112" s="127" t="str">
        <f>IF(A1112="COMPOSIÇÃO",VLOOKUP(C1112,'SINAPI_COMPOSIÇÕES 062020'!A:B,2,FALSE),VLOOKUP(C1112,'SINAPI_INSUMOS 062020'!A:B,2,FALSE))</f>
        <v>TIJOLO CERAMICO MACICO *5 X 10 X 20* CM</v>
      </c>
      <c r="E1112" s="126" t="str">
        <f>IF(A1112="COMPOSIÇÃO",VLOOKUP(C1112,'SINAPI_COMPOSIÇÕES 062020'!A:C,3,FALSE),VLOOKUP(C1112,'SINAPI_INSUMOS 062020'!A:C,3,FALSE))</f>
        <v xml:space="preserve">UN    </v>
      </c>
      <c r="F1112" s="74">
        <v>166.0916</v>
      </c>
      <c r="G1112" s="128">
        <f>IF(A1112="COMPOSIÇÃO",VLOOKUP(C1112,'SINAPI_COMPOSIÇÕES 062020'!A:D,4,FALSE),VLOOKUP(C1112,'SINAPI_INSUMOS 062020'!A:D,4,FALSE))</f>
        <v>0.37</v>
      </c>
      <c r="H1112" s="75">
        <f t="shared" si="84"/>
        <v>61.45</v>
      </c>
    </row>
    <row r="1113" spans="1:8" ht="13.5" thickBot="1" x14ac:dyDescent="0.3">
      <c r="A1113" s="267" t="str">
        <f>CONCATENATE("TOTAL DO ÍTEM - ",A1099)</f>
        <v>TOTAL DO ÍTEM - MPMT-04300</v>
      </c>
      <c r="B1113" s="268"/>
      <c r="C1113" s="268"/>
      <c r="D1113" s="268"/>
      <c r="E1113" s="268"/>
      <c r="F1113" s="268"/>
      <c r="G1113" s="269"/>
      <c r="H1113" s="188">
        <f>TRUNC(SUM(H1103:H1112),2)</f>
        <v>397.94</v>
      </c>
    </row>
    <row r="1114" spans="1:8" ht="13.5" thickBot="1" x14ac:dyDescent="0.3">
      <c r="A1114" s="299" t="s">
        <v>12282</v>
      </c>
      <c r="B1114" s="300"/>
      <c r="C1114" s="300"/>
      <c r="D1114" s="300"/>
      <c r="E1114" s="300"/>
      <c r="F1114" s="300"/>
      <c r="G1114" s="300"/>
      <c r="H1114" s="301"/>
    </row>
    <row r="1115" spans="1:8" ht="13.5" thickBot="1" x14ac:dyDescent="0.3"/>
    <row r="1116" spans="1:8" ht="25.5" x14ac:dyDescent="0.25">
      <c r="A1116" s="120" t="s">
        <v>90</v>
      </c>
      <c r="B1116" s="286" t="s">
        <v>91</v>
      </c>
      <c r="C1116" s="287"/>
      <c r="D1116" s="287"/>
      <c r="E1116" s="287"/>
      <c r="F1116" s="287"/>
      <c r="G1116" s="288"/>
      <c r="H1116" s="121" t="s">
        <v>4</v>
      </c>
    </row>
    <row r="1117" spans="1:8" ht="13.5" thickBot="1" x14ac:dyDescent="0.3">
      <c r="A1117" s="113" t="s">
        <v>12283</v>
      </c>
      <c r="B1117" s="289" t="s">
        <v>12284</v>
      </c>
      <c r="C1117" s="290"/>
      <c r="D1117" s="290"/>
      <c r="E1117" s="290"/>
      <c r="F1117" s="290"/>
      <c r="G1117" s="291"/>
      <c r="H1117" s="114" t="s">
        <v>4</v>
      </c>
    </row>
    <row r="1118" spans="1:8" x14ac:dyDescent="0.25">
      <c r="A1118" s="273" t="s">
        <v>13834</v>
      </c>
      <c r="B1118" s="275" t="s">
        <v>92</v>
      </c>
      <c r="C1118" s="276"/>
      <c r="D1118" s="185" t="s">
        <v>12281</v>
      </c>
      <c r="E1118" s="239" t="s">
        <v>93</v>
      </c>
      <c r="F1118" s="186">
        <v>0</v>
      </c>
      <c r="G1118" s="277" t="s">
        <v>94</v>
      </c>
      <c r="H1118" s="278"/>
    </row>
    <row r="1119" spans="1:8" x14ac:dyDescent="0.25">
      <c r="A1119" s="274"/>
      <c r="B1119" s="281" t="s">
        <v>95</v>
      </c>
      <c r="C1119" s="282"/>
      <c r="D1119" s="187">
        <v>43676</v>
      </c>
      <c r="E1119" s="240" t="s">
        <v>96</v>
      </c>
      <c r="F1119" s="187">
        <v>43676</v>
      </c>
      <c r="G1119" s="279"/>
      <c r="H1119" s="280"/>
    </row>
    <row r="1120" spans="1:8" x14ac:dyDescent="0.25">
      <c r="A1120" s="122" t="s">
        <v>11885</v>
      </c>
      <c r="B1120" s="123" t="s">
        <v>97</v>
      </c>
      <c r="C1120" s="123" t="s">
        <v>98</v>
      </c>
      <c r="D1120" s="123" t="s">
        <v>3</v>
      </c>
      <c r="E1120" s="123" t="s">
        <v>4</v>
      </c>
      <c r="F1120" s="123" t="s">
        <v>99</v>
      </c>
      <c r="G1120" s="123" t="s">
        <v>100</v>
      </c>
      <c r="H1120" s="124" t="s">
        <v>101</v>
      </c>
    </row>
    <row r="1121" spans="1:8" ht="89.25" x14ac:dyDescent="0.25">
      <c r="A1121" s="125" t="s">
        <v>398</v>
      </c>
      <c r="B1121" s="115" t="s">
        <v>9</v>
      </c>
      <c r="C1121" s="115">
        <v>5678</v>
      </c>
      <c r="D1121" s="127" t="str">
        <f>IF(A1121="COMPOSIÇÃO",VLOOKUP(C1121,'SINAPI_COMPOSIÇÕES 062020'!A:B,2,FALSE),VLOOKUP(C1121,'SINAPI_INSUMOS 062020'!A:B,2,FALSE))</f>
        <v>RETROESCAVADEIRA SOBRE RODAS COM CARREGADEIRA, TRAÇÃO 4X4, POTÊNCIA LÍQ. 88 HP, CAÇAMBA CARREG. CAP. MÍN. 1 M3, CAÇAMBA RETRO CAP. 0,26 M3, PESO OPERACIONAL MÍN. 6.674 KG, PROFUNDIDADE ESCAVAÇÃO MÁX. 4,37 M - CHP DIURNO. AF_06/2014</v>
      </c>
      <c r="E1121" s="126" t="str">
        <f>IF(A1121="COMPOSIÇÃO",VLOOKUP(C1121,'SINAPI_COMPOSIÇÕES 062020'!A:C,3,FALSE),VLOOKUP(C1121,'SINAPI_INSUMOS 062020'!A:C,3,FALSE))</f>
        <v>CHP</v>
      </c>
      <c r="F1121" s="74">
        <v>8.6999999999999994E-3</v>
      </c>
      <c r="G1121" s="128">
        <f>IF(A1121="COMPOSIÇÃO",VLOOKUP(C1121,'SINAPI_COMPOSIÇÕES 062020'!A:D,4,FALSE),VLOOKUP(C1121,'SINAPI_INSUMOS 062020'!A:D,4,FALSE))</f>
        <v>79.45</v>
      </c>
      <c r="H1121" s="75">
        <f t="shared" ref="H1121:H1130" si="85">TRUNC(G1121*F1121,2)</f>
        <v>0.69</v>
      </c>
    </row>
    <row r="1122" spans="1:8" ht="89.25" x14ac:dyDescent="0.25">
      <c r="A1122" s="125" t="s">
        <v>398</v>
      </c>
      <c r="B1122" s="115" t="s">
        <v>9</v>
      </c>
      <c r="C1122" s="115">
        <v>5679</v>
      </c>
      <c r="D1122" s="127" t="str">
        <f>IF(A1122="COMPOSIÇÃO",VLOOKUP(C1122,'SINAPI_COMPOSIÇÕES 062020'!A:B,2,FALSE),VLOOKUP(C1122,'SINAPI_INSUMOS 062020'!A:B,2,FALSE))</f>
        <v>RETROESCAVADEIRA SOBRE RODAS COM CARREGADEIRA, TRAÇÃO 4X4, POTÊNCIA LÍQ. 88 HP, CAÇAMBA CARREG. CAP. MÍN. 1 M3, CAÇAMBA RETRO CAP. 0,26 M3, PESO OPERACIONAL MÍN. 6.674 KG, PROFUNDIDADE ESCAVAÇÃO MÁX. 4,37 M - CHI DIURNO. AF_06/2014</v>
      </c>
      <c r="E1122" s="126" t="str">
        <f>IF(A1122="COMPOSIÇÃO",VLOOKUP(C1122,'SINAPI_COMPOSIÇÕES 062020'!A:C,3,FALSE),VLOOKUP(C1122,'SINAPI_INSUMOS 062020'!A:C,3,FALSE))</f>
        <v>CHI</v>
      </c>
      <c r="F1122" s="74">
        <v>2.9399999999999999E-2</v>
      </c>
      <c r="G1122" s="128">
        <f>IF(A1122="COMPOSIÇÃO",VLOOKUP(C1122,'SINAPI_COMPOSIÇÕES 062020'!A:D,4,FALSE),VLOOKUP(C1122,'SINAPI_INSUMOS 062020'!A:D,4,FALSE))</f>
        <v>32.6</v>
      </c>
      <c r="H1122" s="75">
        <f t="shared" si="85"/>
        <v>0.95</v>
      </c>
    </row>
    <row r="1123" spans="1:8" ht="63.75" x14ac:dyDescent="0.25">
      <c r="A1123" s="125" t="s">
        <v>398</v>
      </c>
      <c r="B1123" s="115" t="s">
        <v>9</v>
      </c>
      <c r="C1123" s="115">
        <v>87316</v>
      </c>
      <c r="D1123" s="127" t="str">
        <f>IF(A1123="COMPOSIÇÃO",VLOOKUP(C1123,'SINAPI_COMPOSIÇÕES 062020'!A:B,2,FALSE),VLOOKUP(C1123,'SINAPI_INSUMOS 062020'!A:B,2,FALSE))</f>
        <v>ARGAMASSA TRAÇO 1:4 (EM VOLUME DE CIMENTO E AREIA GROSSA ÚMIDA) PARA CHAPISCO CONVENCIONAL, PREPARO MECÂNICO COM BETONEIRA 400 L. AF_08/2019</v>
      </c>
      <c r="E1123" s="126" t="str">
        <f>IF(A1123="COMPOSIÇÃO",VLOOKUP(C1123,'SINAPI_COMPOSIÇÕES 062020'!A:C,3,FALSE),VLOOKUP(C1123,'SINAPI_INSUMOS 062020'!A:C,3,FALSE))</f>
        <v>M3</v>
      </c>
      <c r="F1123" s="74">
        <v>1.4E-3</v>
      </c>
      <c r="G1123" s="128">
        <f>IF(A1123="COMPOSIÇÃO",VLOOKUP(C1123,'SINAPI_COMPOSIÇÕES 062020'!A:D,4,FALSE),VLOOKUP(C1123,'SINAPI_INSUMOS 062020'!A:D,4,FALSE))</f>
        <v>298.39</v>
      </c>
      <c r="H1123" s="75">
        <f t="shared" si="85"/>
        <v>0.41</v>
      </c>
    </row>
    <row r="1124" spans="1:8" ht="25.5" x14ac:dyDescent="0.25">
      <c r="A1124" s="125" t="s">
        <v>398</v>
      </c>
      <c r="B1124" s="115" t="s">
        <v>9</v>
      </c>
      <c r="C1124" s="115">
        <v>88309</v>
      </c>
      <c r="D1124" s="127" t="str">
        <f>IF(A1124="COMPOSIÇÃO",VLOOKUP(C1124,'SINAPI_COMPOSIÇÕES 062020'!A:B,2,FALSE),VLOOKUP(C1124,'SINAPI_INSUMOS 062020'!A:B,2,FALSE))</f>
        <v>PEDREIRO COM ENCARGOS COMPLEMENTARES</v>
      </c>
      <c r="E1124" s="126" t="str">
        <f>IF(A1124="COMPOSIÇÃO",VLOOKUP(C1124,'SINAPI_COMPOSIÇÕES 062020'!A:C,3,FALSE),VLOOKUP(C1124,'SINAPI_INSUMOS 062020'!A:C,3,FALSE))</f>
        <v>H</v>
      </c>
      <c r="F1124" s="74">
        <v>6.0895000000000001</v>
      </c>
      <c r="G1124" s="128">
        <f>IF(A1124="COMPOSIÇÃO",VLOOKUP(C1124,'SINAPI_COMPOSIÇÕES 062020'!A:D,4,FALSE),VLOOKUP(C1124,'SINAPI_INSUMOS 062020'!A:D,4,FALSE))</f>
        <v>17.760000000000002</v>
      </c>
      <c r="H1124" s="75">
        <f t="shared" si="85"/>
        <v>108.14</v>
      </c>
    </row>
    <row r="1125" spans="1:8" ht="25.5" x14ac:dyDescent="0.25">
      <c r="A1125" s="125" t="s">
        <v>398</v>
      </c>
      <c r="B1125" s="115" t="s">
        <v>9</v>
      </c>
      <c r="C1125" s="115">
        <v>88316</v>
      </c>
      <c r="D1125" s="127" t="str">
        <f>IF(A1125="COMPOSIÇÃO",VLOOKUP(C1125,'SINAPI_COMPOSIÇÕES 062020'!A:B,2,FALSE),VLOOKUP(C1125,'SINAPI_INSUMOS 062020'!A:B,2,FALSE))</f>
        <v>SERVENTE COM ENCARGOS COMPLEMENTARES</v>
      </c>
      <c r="E1125" s="126" t="str">
        <f>IF(A1125="COMPOSIÇÃO",VLOOKUP(C1125,'SINAPI_COMPOSIÇÕES 062020'!A:C,3,FALSE),VLOOKUP(C1125,'SINAPI_INSUMOS 062020'!A:C,3,FALSE))</f>
        <v>H</v>
      </c>
      <c r="F1125" s="74">
        <v>6.0895000000000001</v>
      </c>
      <c r="G1125" s="128">
        <f>IF(A1125="COMPOSIÇÃO",VLOOKUP(C1125,'SINAPI_COMPOSIÇÕES 062020'!A:D,4,FALSE),VLOOKUP(C1125,'SINAPI_INSUMOS 062020'!A:D,4,FALSE))</f>
        <v>14.37</v>
      </c>
      <c r="H1125" s="75">
        <f t="shared" si="85"/>
        <v>87.5</v>
      </c>
    </row>
    <row r="1126" spans="1:8" ht="51" x14ac:dyDescent="0.25">
      <c r="A1126" s="125" t="s">
        <v>398</v>
      </c>
      <c r="B1126" s="115" t="s">
        <v>9</v>
      </c>
      <c r="C1126" s="115">
        <v>88628</v>
      </c>
      <c r="D1126" s="127" t="str">
        <f>IF(A1126="COMPOSIÇÃO",VLOOKUP(C1126,'SINAPI_COMPOSIÇÕES 062020'!A:B,2,FALSE),VLOOKUP(C1126,'SINAPI_INSUMOS 062020'!A:B,2,FALSE))</f>
        <v>ARGAMASSA TRAÇO 1:3 (EM VOLUME DE CIMENTO E AREIA MÉDIA ÚMIDA), PREPARO MECÂNICO COM BETONEIRA 400 L. AF_08/2019</v>
      </c>
      <c r="E1126" s="126" t="str">
        <f>IF(A1126="COMPOSIÇÃO",VLOOKUP(C1126,'SINAPI_COMPOSIÇÕES 062020'!A:C,3,FALSE),VLOOKUP(C1126,'SINAPI_INSUMOS 062020'!A:C,3,FALSE))</f>
        <v>M3</v>
      </c>
      <c r="F1126" s="74">
        <v>0.11559999999999999</v>
      </c>
      <c r="G1126" s="128">
        <f>IF(A1126="COMPOSIÇÃO",VLOOKUP(C1126,'SINAPI_COMPOSIÇÕES 062020'!A:D,4,FALSE),VLOOKUP(C1126,'SINAPI_INSUMOS 062020'!A:D,4,FALSE))</f>
        <v>349.75</v>
      </c>
      <c r="H1126" s="75">
        <f t="shared" si="85"/>
        <v>40.43</v>
      </c>
    </row>
    <row r="1127" spans="1:8" ht="38.25" x14ac:dyDescent="0.25">
      <c r="A1127" s="125" t="s">
        <v>398</v>
      </c>
      <c r="B1127" s="115" t="s">
        <v>9</v>
      </c>
      <c r="C1127" s="115">
        <v>94097</v>
      </c>
      <c r="D1127" s="127" t="str">
        <f>IF(A1127="COMPOSIÇÃO",VLOOKUP(C1127,'SINAPI_COMPOSIÇÕES 062020'!A:B,2,FALSE),VLOOKUP(C1127,'SINAPI_INSUMOS 062020'!A:B,2,FALSE))</f>
        <v>PREPARO DE FUNDO DE VALA COM LARGURA MENOR QUE 1,5 M, EM LOCAL COM NÍVEL BAIXO DE INTERFERÊNCIA. AF_06/2016</v>
      </c>
      <c r="E1127" s="126" t="str">
        <f>IF(A1127="COMPOSIÇÃO",VLOOKUP(C1127,'SINAPI_COMPOSIÇÕES 062020'!A:C,3,FALSE),VLOOKUP(C1127,'SINAPI_INSUMOS 062020'!A:C,3,FALSE))</f>
        <v>M2</v>
      </c>
      <c r="F1127" s="74">
        <v>0.81</v>
      </c>
      <c r="G1127" s="128">
        <f>IF(A1127="COMPOSIÇÃO",VLOOKUP(C1127,'SINAPI_COMPOSIÇÕES 062020'!A:D,4,FALSE),VLOOKUP(C1127,'SINAPI_INSUMOS 062020'!A:D,4,FALSE))</f>
        <v>4.17</v>
      </c>
      <c r="H1127" s="75">
        <f t="shared" si="85"/>
        <v>3.37</v>
      </c>
    </row>
    <row r="1128" spans="1:8" ht="51" x14ac:dyDescent="0.25">
      <c r="A1128" s="125" t="s">
        <v>398</v>
      </c>
      <c r="B1128" s="115" t="s">
        <v>9</v>
      </c>
      <c r="C1128" s="115">
        <v>94970</v>
      </c>
      <c r="D1128" s="127" t="str">
        <f>IF(A1128="COMPOSIÇÃO",VLOOKUP(C1128,'SINAPI_COMPOSIÇÕES 062020'!A:B,2,FALSE),VLOOKUP(C1128,'SINAPI_INSUMOS 062020'!A:B,2,FALSE))</f>
        <v>CONCRETO FCK = 20MPA, TRAÇO 1:2,7:3 (CIMENTO/ AREIA MÉDIA/ BRITA 1)  - PREPARO MECÂNICO COM BETONEIRA 600 L. AF_07/2016</v>
      </c>
      <c r="E1128" s="126" t="str">
        <f>IF(A1128="COMPOSIÇÃO",VLOOKUP(C1128,'SINAPI_COMPOSIÇÕES 062020'!A:C,3,FALSE),VLOOKUP(C1128,'SINAPI_INSUMOS 062020'!A:C,3,FALSE))</f>
        <v>M3</v>
      </c>
      <c r="F1128" s="74">
        <v>7.4399999999999994E-2</v>
      </c>
      <c r="G1128" s="128">
        <f>IF(A1128="COMPOSIÇÃO",VLOOKUP(C1128,'SINAPI_COMPOSIÇÕES 062020'!A:D,4,FALSE),VLOOKUP(C1128,'SINAPI_INSUMOS 062020'!A:D,4,FALSE))</f>
        <v>303.10000000000002</v>
      </c>
      <c r="H1128" s="75">
        <f t="shared" si="85"/>
        <v>22.55</v>
      </c>
    </row>
    <row r="1129" spans="1:8" ht="38.25" x14ac:dyDescent="0.25">
      <c r="A1129" s="125" t="s">
        <v>398</v>
      </c>
      <c r="B1129" s="115" t="s">
        <v>9</v>
      </c>
      <c r="C1129" s="115">
        <v>97735</v>
      </c>
      <c r="D1129" s="127" t="str">
        <f>IF(A1129="COMPOSIÇÃO",VLOOKUP(C1129,'SINAPI_COMPOSIÇÕES 062020'!A:B,2,FALSE),VLOOKUP(C1129,'SINAPI_INSUMOS 062020'!A:B,2,FALSE))</f>
        <v>PEÇA RETANGULAR PRÉ-MOLDADA, VOLUME DE CONCRETO DE 30 A 100 LITROS, TAXA DE AÇO APROXIMADA DE 30KG/M³. AF_01/2018</v>
      </c>
      <c r="E1129" s="126" t="str">
        <f>IF(A1129="COMPOSIÇÃO",VLOOKUP(C1129,'SINAPI_COMPOSIÇÕES 062020'!A:C,3,FALSE),VLOOKUP(C1129,'SINAPI_INSUMOS 062020'!A:C,3,FALSE))</f>
        <v>M3</v>
      </c>
      <c r="F1129" s="74">
        <v>4.48E-2</v>
      </c>
      <c r="G1129" s="128">
        <f>IF(A1129="COMPOSIÇÃO",VLOOKUP(C1129,'SINAPI_COMPOSIÇÕES 062020'!A:D,4,FALSE),VLOOKUP(C1129,'SINAPI_INSUMOS 062020'!A:D,4,FALSE))</f>
        <v>1617.38</v>
      </c>
      <c r="H1129" s="75">
        <f t="shared" si="85"/>
        <v>72.45</v>
      </c>
    </row>
    <row r="1130" spans="1:8" ht="25.5" x14ac:dyDescent="0.25">
      <c r="A1130" s="125" t="s">
        <v>400</v>
      </c>
      <c r="B1130" s="115" t="s">
        <v>9</v>
      </c>
      <c r="C1130" s="115">
        <v>7258</v>
      </c>
      <c r="D1130" s="127" t="str">
        <f>IF(A1130="COMPOSIÇÃO",VLOOKUP(C1130,'SINAPI_COMPOSIÇÕES 062020'!A:B,2,FALSE),VLOOKUP(C1130,'SINAPI_INSUMOS 062020'!A:B,2,FALSE))</f>
        <v>TIJOLO CERAMICO MACICO *5 X 10 X 20* CM</v>
      </c>
      <c r="E1130" s="126" t="str">
        <f>IF(A1130="COMPOSIÇÃO",VLOOKUP(C1130,'SINAPI_COMPOSIÇÕES 062020'!A:C,3,FALSE),VLOOKUP(C1130,'SINAPI_INSUMOS 062020'!A:C,3,FALSE))</f>
        <v xml:space="preserve">UN    </v>
      </c>
      <c r="F1130" s="74">
        <v>166.0916</v>
      </c>
      <c r="G1130" s="128">
        <f>IF(A1130="COMPOSIÇÃO",VLOOKUP(C1130,'SINAPI_COMPOSIÇÕES 062020'!A:D,4,FALSE),VLOOKUP(C1130,'SINAPI_INSUMOS 062020'!A:D,4,FALSE))</f>
        <v>0.37</v>
      </c>
      <c r="H1130" s="75">
        <f t="shared" si="85"/>
        <v>61.45</v>
      </c>
    </row>
    <row r="1131" spans="1:8" ht="13.5" thickBot="1" x14ac:dyDescent="0.3">
      <c r="A1131" s="267" t="str">
        <f>CONCATENATE("TOTAL DO ÍTEM - ",A1117)</f>
        <v>TOTAL DO ÍTEM - MPMT-04294</v>
      </c>
      <c r="B1131" s="268"/>
      <c r="C1131" s="268"/>
      <c r="D1131" s="268"/>
      <c r="E1131" s="268"/>
      <c r="F1131" s="268"/>
      <c r="G1131" s="269"/>
      <c r="H1131" s="188">
        <f>TRUNC(SUM(H1121:H1130),2)</f>
        <v>397.94</v>
      </c>
    </row>
    <row r="1132" spans="1:8" ht="13.5" thickBot="1" x14ac:dyDescent="0.3">
      <c r="A1132" s="299" t="s">
        <v>12282</v>
      </c>
      <c r="B1132" s="300"/>
      <c r="C1132" s="300"/>
      <c r="D1132" s="300"/>
      <c r="E1132" s="300"/>
      <c r="F1132" s="300"/>
      <c r="G1132" s="300"/>
      <c r="H1132" s="301"/>
    </row>
    <row r="1133" spans="1:8" ht="13.5" thickBot="1" x14ac:dyDescent="0.3"/>
    <row r="1134" spans="1:8" ht="25.5" x14ac:dyDescent="0.25">
      <c r="A1134" s="120" t="s">
        <v>90</v>
      </c>
      <c r="B1134" s="286" t="s">
        <v>91</v>
      </c>
      <c r="C1134" s="287"/>
      <c r="D1134" s="287"/>
      <c r="E1134" s="287"/>
      <c r="F1134" s="287"/>
      <c r="G1134" s="288"/>
      <c r="H1134" s="121" t="s">
        <v>4</v>
      </c>
    </row>
    <row r="1135" spans="1:8" ht="13.5" thickBot="1" x14ac:dyDescent="0.3">
      <c r="A1135" s="113" t="s">
        <v>12285</v>
      </c>
      <c r="B1135" s="289" t="s">
        <v>12286</v>
      </c>
      <c r="C1135" s="290"/>
      <c r="D1135" s="290"/>
      <c r="E1135" s="290"/>
      <c r="F1135" s="290"/>
      <c r="G1135" s="291"/>
      <c r="H1135" s="114" t="s">
        <v>4</v>
      </c>
    </row>
    <row r="1136" spans="1:8" x14ac:dyDescent="0.25">
      <c r="A1136" s="273" t="s">
        <v>13834</v>
      </c>
      <c r="B1136" s="275" t="s">
        <v>92</v>
      </c>
      <c r="C1136" s="276"/>
      <c r="D1136" s="185" t="s">
        <v>12287</v>
      </c>
      <c r="E1136" s="239" t="s">
        <v>93</v>
      </c>
      <c r="F1136" s="186">
        <v>0</v>
      </c>
      <c r="G1136" s="277" t="s">
        <v>94</v>
      </c>
      <c r="H1136" s="278"/>
    </row>
    <row r="1137" spans="1:8" x14ac:dyDescent="0.25">
      <c r="A1137" s="274"/>
      <c r="B1137" s="281" t="s">
        <v>95</v>
      </c>
      <c r="C1137" s="282"/>
      <c r="D1137" s="187">
        <v>43675</v>
      </c>
      <c r="E1137" s="240" t="s">
        <v>96</v>
      </c>
      <c r="F1137" s="187">
        <v>43675</v>
      </c>
      <c r="G1137" s="279"/>
      <c r="H1137" s="280"/>
    </row>
    <row r="1138" spans="1:8" x14ac:dyDescent="0.25">
      <c r="A1138" s="122" t="s">
        <v>11885</v>
      </c>
      <c r="B1138" s="123" t="s">
        <v>97</v>
      </c>
      <c r="C1138" s="123" t="s">
        <v>98</v>
      </c>
      <c r="D1138" s="123" t="s">
        <v>3</v>
      </c>
      <c r="E1138" s="123" t="s">
        <v>4</v>
      </c>
      <c r="F1138" s="123" t="s">
        <v>99</v>
      </c>
      <c r="G1138" s="123" t="s">
        <v>100</v>
      </c>
      <c r="H1138" s="124" t="s">
        <v>101</v>
      </c>
    </row>
    <row r="1139" spans="1:8" ht="89.25" x14ac:dyDescent="0.25">
      <c r="A1139" s="125" t="s">
        <v>398</v>
      </c>
      <c r="B1139" s="115" t="s">
        <v>9</v>
      </c>
      <c r="C1139" s="115">
        <v>5678</v>
      </c>
      <c r="D1139" s="127" t="str">
        <f>IF(A1139="COMPOSIÇÃO",VLOOKUP(C1139,'SINAPI_COMPOSIÇÕES 062020'!A:B,2,FALSE),VLOOKUP(C1139,'SINAPI_INSUMOS 062020'!A:B,2,FALSE))</f>
        <v>RETROESCAVADEIRA SOBRE RODAS COM CARREGADEIRA, TRAÇÃO 4X4, POTÊNCIA LÍQ. 88 HP, CAÇAMBA CARREG. CAP. MÍN. 1 M3, CAÇAMBA RETRO CAP. 0,26 M3, PESO OPERACIONAL MÍN. 6.674 KG, PROFUNDIDADE ESCAVAÇÃO MÁX. 4,37 M - CHP DIURNO. AF_06/2014</v>
      </c>
      <c r="E1139" s="126" t="str">
        <f>IF(A1139="COMPOSIÇÃO",VLOOKUP(C1139,'SINAPI_COMPOSIÇÕES 062020'!A:C,3,FALSE),VLOOKUP(C1139,'SINAPI_INSUMOS 062020'!A:C,3,FALSE))</f>
        <v>CHP</v>
      </c>
      <c r="F1139" s="74">
        <v>8.6999999999999994E-3</v>
      </c>
      <c r="G1139" s="128">
        <f>IF(A1139="COMPOSIÇÃO",VLOOKUP(C1139,'SINAPI_COMPOSIÇÕES 062020'!A:D,4,FALSE),VLOOKUP(C1139,'SINAPI_INSUMOS 062020'!A:D,4,FALSE))</f>
        <v>79.45</v>
      </c>
      <c r="H1139" s="75">
        <f t="shared" ref="H1139:H1148" si="86">TRUNC(G1139*F1139,2)</f>
        <v>0.69</v>
      </c>
    </row>
    <row r="1140" spans="1:8" ht="89.25" x14ac:dyDescent="0.25">
      <c r="A1140" s="125" t="s">
        <v>398</v>
      </c>
      <c r="B1140" s="115" t="s">
        <v>9</v>
      </c>
      <c r="C1140" s="115">
        <v>5679</v>
      </c>
      <c r="D1140" s="127" t="str">
        <f>IF(A1140="COMPOSIÇÃO",VLOOKUP(C1140,'SINAPI_COMPOSIÇÕES 062020'!A:B,2,FALSE),VLOOKUP(C1140,'SINAPI_INSUMOS 062020'!A:B,2,FALSE))</f>
        <v>RETROESCAVADEIRA SOBRE RODAS COM CARREGADEIRA, TRAÇÃO 4X4, POTÊNCIA LÍQ. 88 HP, CAÇAMBA CARREG. CAP. MÍN. 1 M3, CAÇAMBA RETRO CAP. 0,26 M3, PESO OPERACIONAL MÍN. 6.674 KG, PROFUNDIDADE ESCAVAÇÃO MÁX. 4,37 M - CHI DIURNO. AF_06/2014</v>
      </c>
      <c r="E1140" s="126" t="str">
        <f>IF(A1140="COMPOSIÇÃO",VLOOKUP(C1140,'SINAPI_COMPOSIÇÕES 062020'!A:C,3,FALSE),VLOOKUP(C1140,'SINAPI_INSUMOS 062020'!A:C,3,FALSE))</f>
        <v>CHI</v>
      </c>
      <c r="F1140" s="74">
        <v>2.9399999999999999E-2</v>
      </c>
      <c r="G1140" s="128">
        <f>IF(A1140="COMPOSIÇÃO",VLOOKUP(C1140,'SINAPI_COMPOSIÇÕES 062020'!A:D,4,FALSE),VLOOKUP(C1140,'SINAPI_INSUMOS 062020'!A:D,4,FALSE))</f>
        <v>32.6</v>
      </c>
      <c r="H1140" s="75">
        <f t="shared" si="86"/>
        <v>0.95</v>
      </c>
    </row>
    <row r="1141" spans="1:8" ht="63.75" x14ac:dyDescent="0.25">
      <c r="A1141" s="125" t="s">
        <v>398</v>
      </c>
      <c r="B1141" s="115" t="s">
        <v>9</v>
      </c>
      <c r="C1141" s="115">
        <v>87316</v>
      </c>
      <c r="D1141" s="127" t="str">
        <f>IF(A1141="COMPOSIÇÃO",VLOOKUP(C1141,'SINAPI_COMPOSIÇÕES 062020'!A:B,2,FALSE),VLOOKUP(C1141,'SINAPI_INSUMOS 062020'!A:B,2,FALSE))</f>
        <v>ARGAMASSA TRAÇO 1:4 (EM VOLUME DE CIMENTO E AREIA GROSSA ÚMIDA) PARA CHAPISCO CONVENCIONAL, PREPARO MECÂNICO COM BETONEIRA 400 L. AF_08/2019</v>
      </c>
      <c r="E1141" s="126" t="str">
        <f>IF(A1141="COMPOSIÇÃO",VLOOKUP(C1141,'SINAPI_COMPOSIÇÕES 062020'!A:C,3,FALSE),VLOOKUP(C1141,'SINAPI_INSUMOS 062020'!A:C,3,FALSE))</f>
        <v>M3</v>
      </c>
      <c r="F1141" s="74">
        <v>1.4E-3</v>
      </c>
      <c r="G1141" s="128">
        <f>IF(A1141="COMPOSIÇÃO",VLOOKUP(C1141,'SINAPI_COMPOSIÇÕES 062020'!A:D,4,FALSE),VLOOKUP(C1141,'SINAPI_INSUMOS 062020'!A:D,4,FALSE))</f>
        <v>298.39</v>
      </c>
      <c r="H1141" s="75">
        <f t="shared" si="86"/>
        <v>0.41</v>
      </c>
    </row>
    <row r="1142" spans="1:8" ht="25.5" x14ac:dyDescent="0.25">
      <c r="A1142" s="125" t="s">
        <v>398</v>
      </c>
      <c r="B1142" s="115" t="s">
        <v>9</v>
      </c>
      <c r="C1142" s="115">
        <v>88309</v>
      </c>
      <c r="D1142" s="127" t="str">
        <f>IF(A1142="COMPOSIÇÃO",VLOOKUP(C1142,'SINAPI_COMPOSIÇÕES 062020'!A:B,2,FALSE),VLOOKUP(C1142,'SINAPI_INSUMOS 062020'!A:B,2,FALSE))</f>
        <v>PEDREIRO COM ENCARGOS COMPLEMENTARES</v>
      </c>
      <c r="E1142" s="126" t="str">
        <f>IF(A1142="COMPOSIÇÃO",VLOOKUP(C1142,'SINAPI_COMPOSIÇÕES 062020'!A:C,3,FALSE),VLOOKUP(C1142,'SINAPI_INSUMOS 062020'!A:C,3,FALSE))</f>
        <v>H</v>
      </c>
      <c r="F1142" s="74">
        <v>6.0895000000000001</v>
      </c>
      <c r="G1142" s="128">
        <f>IF(A1142="COMPOSIÇÃO",VLOOKUP(C1142,'SINAPI_COMPOSIÇÕES 062020'!A:D,4,FALSE),VLOOKUP(C1142,'SINAPI_INSUMOS 062020'!A:D,4,FALSE))</f>
        <v>17.760000000000002</v>
      </c>
      <c r="H1142" s="75">
        <f t="shared" si="86"/>
        <v>108.14</v>
      </c>
    </row>
    <row r="1143" spans="1:8" ht="25.5" x14ac:dyDescent="0.25">
      <c r="A1143" s="125" t="s">
        <v>398</v>
      </c>
      <c r="B1143" s="115" t="s">
        <v>9</v>
      </c>
      <c r="C1143" s="115">
        <v>88316</v>
      </c>
      <c r="D1143" s="127" t="str">
        <f>IF(A1143="COMPOSIÇÃO",VLOOKUP(C1143,'SINAPI_COMPOSIÇÕES 062020'!A:B,2,FALSE),VLOOKUP(C1143,'SINAPI_INSUMOS 062020'!A:B,2,FALSE))</f>
        <v>SERVENTE COM ENCARGOS COMPLEMENTARES</v>
      </c>
      <c r="E1143" s="126" t="str">
        <f>IF(A1143="COMPOSIÇÃO",VLOOKUP(C1143,'SINAPI_COMPOSIÇÕES 062020'!A:C,3,FALSE),VLOOKUP(C1143,'SINAPI_INSUMOS 062020'!A:C,3,FALSE))</f>
        <v>H</v>
      </c>
      <c r="F1143" s="74">
        <v>6.0895000000000001</v>
      </c>
      <c r="G1143" s="128">
        <f>IF(A1143="COMPOSIÇÃO",VLOOKUP(C1143,'SINAPI_COMPOSIÇÕES 062020'!A:D,4,FALSE),VLOOKUP(C1143,'SINAPI_INSUMOS 062020'!A:D,4,FALSE))</f>
        <v>14.37</v>
      </c>
      <c r="H1143" s="75">
        <f t="shared" si="86"/>
        <v>87.5</v>
      </c>
    </row>
    <row r="1144" spans="1:8" ht="38.25" x14ac:dyDescent="0.25">
      <c r="A1144" s="125" t="s">
        <v>398</v>
      </c>
      <c r="B1144" s="115" t="s">
        <v>9</v>
      </c>
      <c r="C1144" s="115">
        <v>94097</v>
      </c>
      <c r="D1144" s="127" t="str">
        <f>IF(A1144="COMPOSIÇÃO",VLOOKUP(C1144,'SINAPI_COMPOSIÇÕES 062020'!A:B,2,FALSE),VLOOKUP(C1144,'SINAPI_INSUMOS 062020'!A:B,2,FALSE))</f>
        <v>PREPARO DE FUNDO DE VALA COM LARGURA MENOR QUE 1,5 M, EM LOCAL COM NÍVEL BAIXO DE INTERFERÊNCIA. AF_06/2016</v>
      </c>
      <c r="E1144" s="126" t="str">
        <f>IF(A1144="COMPOSIÇÃO",VLOOKUP(C1144,'SINAPI_COMPOSIÇÕES 062020'!A:C,3,FALSE),VLOOKUP(C1144,'SINAPI_INSUMOS 062020'!A:C,3,FALSE))</f>
        <v>M2</v>
      </c>
      <c r="F1144" s="74">
        <v>0.81</v>
      </c>
      <c r="G1144" s="128">
        <f>IF(A1144="COMPOSIÇÃO",VLOOKUP(C1144,'SINAPI_COMPOSIÇÕES 062020'!A:D,4,FALSE),VLOOKUP(C1144,'SINAPI_INSUMOS 062020'!A:D,4,FALSE))</f>
        <v>4.17</v>
      </c>
      <c r="H1144" s="75">
        <f t="shared" si="86"/>
        <v>3.37</v>
      </c>
    </row>
    <row r="1145" spans="1:8" ht="51" x14ac:dyDescent="0.25">
      <c r="A1145" s="125" t="s">
        <v>398</v>
      </c>
      <c r="B1145" s="115" t="s">
        <v>9</v>
      </c>
      <c r="C1145" s="115">
        <v>94970</v>
      </c>
      <c r="D1145" s="127" t="str">
        <f>IF(A1145="COMPOSIÇÃO",VLOOKUP(C1145,'SINAPI_COMPOSIÇÕES 062020'!A:B,2,FALSE),VLOOKUP(C1145,'SINAPI_INSUMOS 062020'!A:B,2,FALSE))</f>
        <v>CONCRETO FCK = 20MPA, TRAÇO 1:2,7:3 (CIMENTO/ AREIA MÉDIA/ BRITA 1)  - PREPARO MECÂNICO COM BETONEIRA 600 L. AF_07/2016</v>
      </c>
      <c r="E1145" s="126" t="str">
        <f>IF(A1145="COMPOSIÇÃO",VLOOKUP(C1145,'SINAPI_COMPOSIÇÕES 062020'!A:C,3,FALSE),VLOOKUP(C1145,'SINAPI_INSUMOS 062020'!A:C,3,FALSE))</f>
        <v>M3</v>
      </c>
      <c r="F1145" s="74">
        <v>7.4399999999999994E-2</v>
      </c>
      <c r="G1145" s="128">
        <f>IF(A1145="COMPOSIÇÃO",VLOOKUP(C1145,'SINAPI_COMPOSIÇÕES 062020'!A:D,4,FALSE),VLOOKUP(C1145,'SINAPI_INSUMOS 062020'!A:D,4,FALSE))</f>
        <v>303.10000000000002</v>
      </c>
      <c r="H1145" s="75">
        <f t="shared" si="86"/>
        <v>22.55</v>
      </c>
    </row>
    <row r="1146" spans="1:8" ht="51" x14ac:dyDescent="0.25">
      <c r="A1146" s="125" t="s">
        <v>398</v>
      </c>
      <c r="B1146" s="115" t="s">
        <v>9</v>
      </c>
      <c r="C1146" s="115">
        <v>98560</v>
      </c>
      <c r="D1146" s="127" t="str">
        <f>IF(A1146="COMPOSIÇÃO",VLOOKUP(C1146,'SINAPI_COMPOSIÇÕES 062020'!A:B,2,FALSE),VLOOKUP(C1146,'SINAPI_INSUMOS 062020'!A:B,2,FALSE))</f>
        <v>IMPERMEABILIZAÇÃO DE PISO COM ARGAMASSA DE CIMENTO E AREIA, COM ADITIVO IMPERMEABILIZANTE, E = 2CM. AF_06/2018</v>
      </c>
      <c r="E1146" s="126" t="str">
        <f>IF(A1146="COMPOSIÇÃO",VLOOKUP(C1146,'SINAPI_COMPOSIÇÕES 062020'!A:C,3,FALSE),VLOOKUP(C1146,'SINAPI_INSUMOS 062020'!A:C,3,FALSE))</f>
        <v>M2</v>
      </c>
      <c r="F1146" s="74">
        <f>(0.4+0.4+0.7+0.7)*1</f>
        <v>2.2000000000000002</v>
      </c>
      <c r="G1146" s="128">
        <f>IF(A1146="COMPOSIÇÃO",VLOOKUP(C1146,'SINAPI_COMPOSIÇÕES 062020'!A:D,4,FALSE),VLOOKUP(C1146,'SINAPI_INSUMOS 062020'!A:D,4,FALSE))</f>
        <v>32.04</v>
      </c>
      <c r="H1146" s="75">
        <f t="shared" si="86"/>
        <v>70.48</v>
      </c>
    </row>
    <row r="1147" spans="1:8" ht="38.25" x14ac:dyDescent="0.25">
      <c r="A1147" s="125" t="s">
        <v>398</v>
      </c>
      <c r="B1147" s="115" t="s">
        <v>9</v>
      </c>
      <c r="C1147" s="115">
        <v>97735</v>
      </c>
      <c r="D1147" s="127" t="str">
        <f>IF(A1147="COMPOSIÇÃO",VLOOKUP(C1147,'SINAPI_COMPOSIÇÕES 062020'!A:B,2,FALSE),VLOOKUP(C1147,'SINAPI_INSUMOS 062020'!A:B,2,FALSE))</f>
        <v>PEÇA RETANGULAR PRÉ-MOLDADA, VOLUME DE CONCRETO DE 30 A 100 LITROS, TAXA DE AÇO APROXIMADA DE 30KG/M³. AF_01/2018</v>
      </c>
      <c r="E1147" s="126" t="str">
        <f>IF(A1147="COMPOSIÇÃO",VLOOKUP(C1147,'SINAPI_COMPOSIÇÕES 062020'!A:C,3,FALSE),VLOOKUP(C1147,'SINAPI_INSUMOS 062020'!A:C,3,FALSE))</f>
        <v>M3</v>
      </c>
      <c r="F1147" s="74">
        <v>4.48E-2</v>
      </c>
      <c r="G1147" s="128">
        <f>IF(A1147="COMPOSIÇÃO",VLOOKUP(C1147,'SINAPI_COMPOSIÇÕES 062020'!A:D,4,FALSE),VLOOKUP(C1147,'SINAPI_INSUMOS 062020'!A:D,4,FALSE))</f>
        <v>1617.38</v>
      </c>
      <c r="H1147" s="75">
        <f t="shared" si="86"/>
        <v>72.45</v>
      </c>
    </row>
    <row r="1148" spans="1:8" ht="25.5" x14ac:dyDescent="0.25">
      <c r="A1148" s="125" t="s">
        <v>400</v>
      </c>
      <c r="B1148" s="115" t="s">
        <v>9</v>
      </c>
      <c r="C1148" s="115">
        <v>7258</v>
      </c>
      <c r="D1148" s="127" t="str">
        <f>IF(A1148="COMPOSIÇÃO",VLOOKUP(C1148,'SINAPI_COMPOSIÇÕES 062020'!A:B,2,FALSE),VLOOKUP(C1148,'SINAPI_INSUMOS 062020'!A:B,2,FALSE))</f>
        <v>TIJOLO CERAMICO MACICO *5 X 10 X 20* CM</v>
      </c>
      <c r="E1148" s="126" t="str">
        <f>IF(A1148="COMPOSIÇÃO",VLOOKUP(C1148,'SINAPI_COMPOSIÇÕES 062020'!A:C,3,FALSE),VLOOKUP(C1148,'SINAPI_INSUMOS 062020'!A:C,3,FALSE))</f>
        <v xml:space="preserve">UN    </v>
      </c>
      <c r="F1148" s="74">
        <v>166.0916</v>
      </c>
      <c r="G1148" s="128">
        <f>IF(A1148="COMPOSIÇÃO",VLOOKUP(C1148,'SINAPI_COMPOSIÇÕES 062020'!A:D,4,FALSE),VLOOKUP(C1148,'SINAPI_INSUMOS 062020'!A:D,4,FALSE))</f>
        <v>0.37</v>
      </c>
      <c r="H1148" s="75">
        <f t="shared" si="86"/>
        <v>61.45</v>
      </c>
    </row>
    <row r="1149" spans="1:8" ht="13.5" thickBot="1" x14ac:dyDescent="0.3">
      <c r="A1149" s="267" t="str">
        <f>CONCATENATE("TOTAL DO ÍTEM - ",A1135)</f>
        <v>TOTAL DO ÍTEM - MPMT-04301</v>
      </c>
      <c r="B1149" s="268"/>
      <c r="C1149" s="268"/>
      <c r="D1149" s="268"/>
      <c r="E1149" s="268"/>
      <c r="F1149" s="268"/>
      <c r="G1149" s="269"/>
      <c r="H1149" s="188">
        <f>TRUNC(SUM(H1139:H1148),2)</f>
        <v>427.99</v>
      </c>
    </row>
    <row r="1150" spans="1:8" ht="13.5" thickBot="1" x14ac:dyDescent="0.3">
      <c r="A1150" s="283" t="s">
        <v>12288</v>
      </c>
      <c r="B1150" s="284"/>
      <c r="C1150" s="284"/>
      <c r="D1150" s="284"/>
      <c r="E1150" s="284"/>
      <c r="F1150" s="284"/>
      <c r="G1150" s="284"/>
      <c r="H1150" s="285"/>
    </row>
    <row r="1151" spans="1:8" ht="13.5" thickBot="1" x14ac:dyDescent="0.3"/>
    <row r="1152" spans="1:8" ht="25.5" x14ac:dyDescent="0.25">
      <c r="A1152" s="120" t="s">
        <v>90</v>
      </c>
      <c r="B1152" s="286" t="s">
        <v>91</v>
      </c>
      <c r="C1152" s="287"/>
      <c r="D1152" s="287"/>
      <c r="E1152" s="287"/>
      <c r="F1152" s="287"/>
      <c r="G1152" s="288"/>
      <c r="H1152" s="121" t="s">
        <v>4</v>
      </c>
    </row>
    <row r="1153" spans="1:8" ht="13.5" thickBot="1" x14ac:dyDescent="0.3">
      <c r="A1153" s="113" t="s">
        <v>12289</v>
      </c>
      <c r="B1153" s="289" t="s">
        <v>12290</v>
      </c>
      <c r="C1153" s="290"/>
      <c r="D1153" s="290"/>
      <c r="E1153" s="290"/>
      <c r="F1153" s="290"/>
      <c r="G1153" s="291"/>
      <c r="H1153" s="114" t="s">
        <v>4</v>
      </c>
    </row>
    <row r="1154" spans="1:8" x14ac:dyDescent="0.25">
      <c r="A1154" s="273" t="s">
        <v>13834</v>
      </c>
      <c r="B1154" s="275" t="s">
        <v>92</v>
      </c>
      <c r="C1154" s="276"/>
      <c r="D1154" s="185" t="s">
        <v>12287</v>
      </c>
      <c r="E1154" s="239" t="s">
        <v>93</v>
      </c>
      <c r="F1154" s="186">
        <v>0</v>
      </c>
      <c r="G1154" s="277" t="s">
        <v>94</v>
      </c>
      <c r="H1154" s="278"/>
    </row>
    <row r="1155" spans="1:8" x14ac:dyDescent="0.25">
      <c r="A1155" s="274"/>
      <c r="B1155" s="281" t="s">
        <v>95</v>
      </c>
      <c r="C1155" s="282"/>
      <c r="D1155" s="187">
        <v>43675</v>
      </c>
      <c r="E1155" s="240" t="s">
        <v>96</v>
      </c>
      <c r="F1155" s="187">
        <v>43675</v>
      </c>
      <c r="G1155" s="279"/>
      <c r="H1155" s="280"/>
    </row>
    <row r="1156" spans="1:8" x14ac:dyDescent="0.25">
      <c r="A1156" s="122" t="s">
        <v>11885</v>
      </c>
      <c r="B1156" s="123" t="s">
        <v>97</v>
      </c>
      <c r="C1156" s="123" t="s">
        <v>98</v>
      </c>
      <c r="D1156" s="123" t="s">
        <v>3</v>
      </c>
      <c r="E1156" s="123" t="s">
        <v>4</v>
      </c>
      <c r="F1156" s="123" t="s">
        <v>99</v>
      </c>
      <c r="G1156" s="123" t="s">
        <v>100</v>
      </c>
      <c r="H1156" s="124" t="s">
        <v>101</v>
      </c>
    </row>
    <row r="1157" spans="1:8" ht="89.25" x14ac:dyDescent="0.25">
      <c r="A1157" s="125" t="s">
        <v>398</v>
      </c>
      <c r="B1157" s="115" t="s">
        <v>9</v>
      </c>
      <c r="C1157" s="115">
        <v>5678</v>
      </c>
      <c r="D1157" s="127" t="str">
        <f>IF(A1157="COMPOSIÇÃO",VLOOKUP(C1157,'SINAPI_COMPOSIÇÕES 062020'!A:B,2,FALSE),VLOOKUP(C1157,'SINAPI_INSUMOS 062020'!A:B,2,FALSE))</f>
        <v>RETROESCAVADEIRA SOBRE RODAS COM CARREGADEIRA, TRAÇÃO 4X4, POTÊNCIA LÍQ. 88 HP, CAÇAMBA CARREG. CAP. MÍN. 1 M3, CAÇAMBA RETRO CAP. 0,26 M3, PESO OPERACIONAL MÍN. 6.674 KG, PROFUNDIDADE ESCAVAÇÃO MÁX. 4,37 M - CHP DIURNO. AF_06/2014</v>
      </c>
      <c r="E1157" s="126" t="str">
        <f>IF(A1157="COMPOSIÇÃO",VLOOKUP(C1157,'SINAPI_COMPOSIÇÕES 062020'!A:C,3,FALSE),VLOOKUP(C1157,'SINAPI_INSUMOS 062020'!A:C,3,FALSE))</f>
        <v>CHP</v>
      </c>
      <c r="F1157" s="74">
        <v>8.6999999999999994E-3</v>
      </c>
      <c r="G1157" s="128">
        <f>IF(A1157="COMPOSIÇÃO",VLOOKUP(C1157,'SINAPI_COMPOSIÇÕES 062020'!A:D,4,FALSE),VLOOKUP(C1157,'SINAPI_INSUMOS 062020'!A:D,4,FALSE))</f>
        <v>79.45</v>
      </c>
      <c r="H1157" s="75">
        <f t="shared" ref="H1157:H1166" si="87">TRUNC(G1157*F1157,2)</f>
        <v>0.69</v>
      </c>
    </row>
    <row r="1158" spans="1:8" ht="89.25" x14ac:dyDescent="0.25">
      <c r="A1158" s="125" t="s">
        <v>398</v>
      </c>
      <c r="B1158" s="115" t="s">
        <v>9</v>
      </c>
      <c r="C1158" s="115">
        <v>5679</v>
      </c>
      <c r="D1158" s="127" t="str">
        <f>IF(A1158="COMPOSIÇÃO",VLOOKUP(C1158,'SINAPI_COMPOSIÇÕES 062020'!A:B,2,FALSE),VLOOKUP(C1158,'SINAPI_INSUMOS 062020'!A:B,2,FALSE))</f>
        <v>RETROESCAVADEIRA SOBRE RODAS COM CARREGADEIRA, TRAÇÃO 4X4, POTÊNCIA LÍQ. 88 HP, CAÇAMBA CARREG. CAP. MÍN. 1 M3, CAÇAMBA RETRO CAP. 0,26 M3, PESO OPERACIONAL MÍN. 6.674 KG, PROFUNDIDADE ESCAVAÇÃO MÁX. 4,37 M - CHI DIURNO. AF_06/2014</v>
      </c>
      <c r="E1158" s="126" t="str">
        <f>IF(A1158="COMPOSIÇÃO",VLOOKUP(C1158,'SINAPI_COMPOSIÇÕES 062020'!A:C,3,FALSE),VLOOKUP(C1158,'SINAPI_INSUMOS 062020'!A:C,3,FALSE))</f>
        <v>CHI</v>
      </c>
      <c r="F1158" s="74">
        <v>2.9399999999999999E-2</v>
      </c>
      <c r="G1158" s="128">
        <f>IF(A1158="COMPOSIÇÃO",VLOOKUP(C1158,'SINAPI_COMPOSIÇÕES 062020'!A:D,4,FALSE),VLOOKUP(C1158,'SINAPI_INSUMOS 062020'!A:D,4,FALSE))</f>
        <v>32.6</v>
      </c>
      <c r="H1158" s="75">
        <f t="shared" si="87"/>
        <v>0.95</v>
      </c>
    </row>
    <row r="1159" spans="1:8" ht="63.75" x14ac:dyDescent="0.25">
      <c r="A1159" s="125" t="s">
        <v>398</v>
      </c>
      <c r="B1159" s="115" t="s">
        <v>9</v>
      </c>
      <c r="C1159" s="115">
        <v>87316</v>
      </c>
      <c r="D1159" s="127" t="str">
        <f>IF(A1159="COMPOSIÇÃO",VLOOKUP(C1159,'SINAPI_COMPOSIÇÕES 062020'!A:B,2,FALSE),VLOOKUP(C1159,'SINAPI_INSUMOS 062020'!A:B,2,FALSE))</f>
        <v>ARGAMASSA TRAÇO 1:4 (EM VOLUME DE CIMENTO E AREIA GROSSA ÚMIDA) PARA CHAPISCO CONVENCIONAL, PREPARO MECÂNICO COM BETONEIRA 400 L. AF_08/2019</v>
      </c>
      <c r="E1159" s="126" t="str">
        <f>IF(A1159="COMPOSIÇÃO",VLOOKUP(C1159,'SINAPI_COMPOSIÇÕES 062020'!A:C,3,FALSE),VLOOKUP(C1159,'SINAPI_INSUMOS 062020'!A:C,3,FALSE))</f>
        <v>M3</v>
      </c>
      <c r="F1159" s="74">
        <v>1.4E-3</v>
      </c>
      <c r="G1159" s="128">
        <f>IF(A1159="COMPOSIÇÃO",VLOOKUP(C1159,'SINAPI_COMPOSIÇÕES 062020'!A:D,4,FALSE),VLOOKUP(C1159,'SINAPI_INSUMOS 062020'!A:D,4,FALSE))</f>
        <v>298.39</v>
      </c>
      <c r="H1159" s="75">
        <f t="shared" si="87"/>
        <v>0.41</v>
      </c>
    </row>
    <row r="1160" spans="1:8" ht="25.5" x14ac:dyDescent="0.25">
      <c r="A1160" s="125" t="s">
        <v>398</v>
      </c>
      <c r="B1160" s="115" t="s">
        <v>9</v>
      </c>
      <c r="C1160" s="115">
        <v>88309</v>
      </c>
      <c r="D1160" s="127" t="str">
        <f>IF(A1160="COMPOSIÇÃO",VLOOKUP(C1160,'SINAPI_COMPOSIÇÕES 062020'!A:B,2,FALSE),VLOOKUP(C1160,'SINAPI_INSUMOS 062020'!A:B,2,FALSE))</f>
        <v>PEDREIRO COM ENCARGOS COMPLEMENTARES</v>
      </c>
      <c r="E1160" s="126" t="str">
        <f>IF(A1160="COMPOSIÇÃO",VLOOKUP(C1160,'SINAPI_COMPOSIÇÕES 062020'!A:C,3,FALSE),VLOOKUP(C1160,'SINAPI_INSUMOS 062020'!A:C,3,FALSE))</f>
        <v>H</v>
      </c>
      <c r="F1160" s="74">
        <v>6.0895000000000001</v>
      </c>
      <c r="G1160" s="128">
        <f>IF(A1160="COMPOSIÇÃO",VLOOKUP(C1160,'SINAPI_COMPOSIÇÕES 062020'!A:D,4,FALSE),VLOOKUP(C1160,'SINAPI_INSUMOS 062020'!A:D,4,FALSE))</f>
        <v>17.760000000000002</v>
      </c>
      <c r="H1160" s="75">
        <f t="shared" si="87"/>
        <v>108.14</v>
      </c>
    </row>
    <row r="1161" spans="1:8" ht="25.5" x14ac:dyDescent="0.25">
      <c r="A1161" s="125" t="s">
        <v>398</v>
      </c>
      <c r="B1161" s="115" t="s">
        <v>9</v>
      </c>
      <c r="C1161" s="115">
        <v>88316</v>
      </c>
      <c r="D1161" s="127" t="str">
        <f>IF(A1161="COMPOSIÇÃO",VLOOKUP(C1161,'SINAPI_COMPOSIÇÕES 062020'!A:B,2,FALSE),VLOOKUP(C1161,'SINAPI_INSUMOS 062020'!A:B,2,FALSE))</f>
        <v>SERVENTE COM ENCARGOS COMPLEMENTARES</v>
      </c>
      <c r="E1161" s="126" t="str">
        <f>IF(A1161="COMPOSIÇÃO",VLOOKUP(C1161,'SINAPI_COMPOSIÇÕES 062020'!A:C,3,FALSE),VLOOKUP(C1161,'SINAPI_INSUMOS 062020'!A:C,3,FALSE))</f>
        <v>H</v>
      </c>
      <c r="F1161" s="74">
        <v>6.0895000000000001</v>
      </c>
      <c r="G1161" s="128">
        <f>IF(A1161="COMPOSIÇÃO",VLOOKUP(C1161,'SINAPI_COMPOSIÇÕES 062020'!A:D,4,FALSE),VLOOKUP(C1161,'SINAPI_INSUMOS 062020'!A:D,4,FALSE))</f>
        <v>14.37</v>
      </c>
      <c r="H1161" s="75">
        <f t="shared" si="87"/>
        <v>87.5</v>
      </c>
    </row>
    <row r="1162" spans="1:8" ht="38.25" x14ac:dyDescent="0.25">
      <c r="A1162" s="125" t="s">
        <v>398</v>
      </c>
      <c r="B1162" s="115" t="s">
        <v>9</v>
      </c>
      <c r="C1162" s="115">
        <v>94097</v>
      </c>
      <c r="D1162" s="127" t="str">
        <f>IF(A1162="COMPOSIÇÃO",VLOOKUP(C1162,'SINAPI_COMPOSIÇÕES 062020'!A:B,2,FALSE),VLOOKUP(C1162,'SINAPI_INSUMOS 062020'!A:B,2,FALSE))</f>
        <v>PREPARO DE FUNDO DE VALA COM LARGURA MENOR QUE 1,5 M, EM LOCAL COM NÍVEL BAIXO DE INTERFERÊNCIA. AF_06/2016</v>
      </c>
      <c r="E1162" s="126" t="str">
        <f>IF(A1162="COMPOSIÇÃO",VLOOKUP(C1162,'SINAPI_COMPOSIÇÕES 062020'!A:C,3,FALSE),VLOOKUP(C1162,'SINAPI_INSUMOS 062020'!A:C,3,FALSE))</f>
        <v>M2</v>
      </c>
      <c r="F1162" s="74">
        <v>0.81</v>
      </c>
      <c r="G1162" s="128">
        <f>IF(A1162="COMPOSIÇÃO",VLOOKUP(C1162,'SINAPI_COMPOSIÇÕES 062020'!A:D,4,FALSE),VLOOKUP(C1162,'SINAPI_INSUMOS 062020'!A:D,4,FALSE))</f>
        <v>4.17</v>
      </c>
      <c r="H1162" s="75">
        <f t="shared" si="87"/>
        <v>3.37</v>
      </c>
    </row>
    <row r="1163" spans="1:8" ht="51" x14ac:dyDescent="0.25">
      <c r="A1163" s="125" t="s">
        <v>398</v>
      </c>
      <c r="B1163" s="115" t="s">
        <v>9</v>
      </c>
      <c r="C1163" s="115">
        <v>94970</v>
      </c>
      <c r="D1163" s="127" t="str">
        <f>IF(A1163="COMPOSIÇÃO",VLOOKUP(C1163,'SINAPI_COMPOSIÇÕES 062020'!A:B,2,FALSE),VLOOKUP(C1163,'SINAPI_INSUMOS 062020'!A:B,2,FALSE))</f>
        <v>CONCRETO FCK = 20MPA, TRAÇO 1:2,7:3 (CIMENTO/ AREIA MÉDIA/ BRITA 1)  - PREPARO MECÂNICO COM BETONEIRA 600 L. AF_07/2016</v>
      </c>
      <c r="E1163" s="126" t="str">
        <f>IF(A1163="COMPOSIÇÃO",VLOOKUP(C1163,'SINAPI_COMPOSIÇÕES 062020'!A:C,3,FALSE),VLOOKUP(C1163,'SINAPI_INSUMOS 062020'!A:C,3,FALSE))</f>
        <v>M3</v>
      </c>
      <c r="F1163" s="74">
        <v>7.4399999999999994E-2</v>
      </c>
      <c r="G1163" s="128">
        <f>IF(A1163="COMPOSIÇÃO",VLOOKUP(C1163,'SINAPI_COMPOSIÇÕES 062020'!A:D,4,FALSE),VLOOKUP(C1163,'SINAPI_INSUMOS 062020'!A:D,4,FALSE))</f>
        <v>303.10000000000002</v>
      </c>
      <c r="H1163" s="75">
        <f t="shared" si="87"/>
        <v>22.55</v>
      </c>
    </row>
    <row r="1164" spans="1:8" ht="51" x14ac:dyDescent="0.25">
      <c r="A1164" s="125" t="s">
        <v>398</v>
      </c>
      <c r="B1164" s="115" t="s">
        <v>9</v>
      </c>
      <c r="C1164" s="115">
        <v>98560</v>
      </c>
      <c r="D1164" s="127" t="str">
        <f>IF(A1164="COMPOSIÇÃO",VLOOKUP(C1164,'SINAPI_COMPOSIÇÕES 062020'!A:B,2,FALSE),VLOOKUP(C1164,'SINAPI_INSUMOS 062020'!A:B,2,FALSE))</f>
        <v>IMPERMEABILIZAÇÃO DE PISO COM ARGAMASSA DE CIMENTO E AREIA, COM ADITIVO IMPERMEABILIZANTE, E = 2CM. AF_06/2018</v>
      </c>
      <c r="E1164" s="126" t="str">
        <f>IF(A1164="COMPOSIÇÃO",VLOOKUP(C1164,'SINAPI_COMPOSIÇÕES 062020'!A:C,3,FALSE),VLOOKUP(C1164,'SINAPI_INSUMOS 062020'!A:C,3,FALSE))</f>
        <v>M2</v>
      </c>
      <c r="F1164" s="74">
        <f>(0.4+0.4+0.9+0.9)*1</f>
        <v>2.6</v>
      </c>
      <c r="G1164" s="128">
        <f>IF(A1164="COMPOSIÇÃO",VLOOKUP(C1164,'SINAPI_COMPOSIÇÕES 062020'!A:D,4,FALSE),VLOOKUP(C1164,'SINAPI_INSUMOS 062020'!A:D,4,FALSE))</f>
        <v>32.04</v>
      </c>
      <c r="H1164" s="75">
        <f t="shared" si="87"/>
        <v>83.3</v>
      </c>
    </row>
    <row r="1165" spans="1:8" ht="38.25" x14ac:dyDescent="0.25">
      <c r="A1165" s="125" t="s">
        <v>398</v>
      </c>
      <c r="B1165" s="115" t="s">
        <v>9</v>
      </c>
      <c r="C1165" s="115">
        <v>97735</v>
      </c>
      <c r="D1165" s="127" t="str">
        <f>IF(A1165="COMPOSIÇÃO",VLOOKUP(C1165,'SINAPI_COMPOSIÇÕES 062020'!A:B,2,FALSE),VLOOKUP(C1165,'SINAPI_INSUMOS 062020'!A:B,2,FALSE))</f>
        <v>PEÇA RETANGULAR PRÉ-MOLDADA, VOLUME DE CONCRETO DE 30 A 100 LITROS, TAXA DE AÇO APROXIMADA DE 30KG/M³. AF_01/2018</v>
      </c>
      <c r="E1165" s="126" t="str">
        <f>IF(A1165="COMPOSIÇÃO",VLOOKUP(C1165,'SINAPI_COMPOSIÇÕES 062020'!A:C,3,FALSE),VLOOKUP(C1165,'SINAPI_INSUMOS 062020'!A:C,3,FALSE))</f>
        <v>M3</v>
      </c>
      <c r="F1165" s="74">
        <v>4.48E-2</v>
      </c>
      <c r="G1165" s="128">
        <f>IF(A1165="COMPOSIÇÃO",VLOOKUP(C1165,'SINAPI_COMPOSIÇÕES 062020'!A:D,4,FALSE),VLOOKUP(C1165,'SINAPI_INSUMOS 062020'!A:D,4,FALSE))</f>
        <v>1617.38</v>
      </c>
      <c r="H1165" s="75">
        <f t="shared" si="87"/>
        <v>72.45</v>
      </c>
    </row>
    <row r="1166" spans="1:8" ht="25.5" x14ac:dyDescent="0.25">
      <c r="A1166" s="125" t="s">
        <v>400</v>
      </c>
      <c r="B1166" s="115" t="s">
        <v>9</v>
      </c>
      <c r="C1166" s="115">
        <v>7258</v>
      </c>
      <c r="D1166" s="127" t="str">
        <f>IF(A1166="COMPOSIÇÃO",VLOOKUP(C1166,'SINAPI_COMPOSIÇÕES 062020'!A:B,2,FALSE),VLOOKUP(C1166,'SINAPI_INSUMOS 062020'!A:B,2,FALSE))</f>
        <v>TIJOLO CERAMICO MACICO *5 X 10 X 20* CM</v>
      </c>
      <c r="E1166" s="126" t="str">
        <f>IF(A1166="COMPOSIÇÃO",VLOOKUP(C1166,'SINAPI_COMPOSIÇÕES 062020'!A:C,3,FALSE),VLOOKUP(C1166,'SINAPI_INSUMOS 062020'!A:C,3,FALSE))</f>
        <v xml:space="preserve">UN    </v>
      </c>
      <c r="F1166" s="74">
        <v>166.0916</v>
      </c>
      <c r="G1166" s="128">
        <f>IF(A1166="COMPOSIÇÃO",VLOOKUP(C1166,'SINAPI_COMPOSIÇÕES 062020'!A:D,4,FALSE),VLOOKUP(C1166,'SINAPI_INSUMOS 062020'!A:D,4,FALSE))</f>
        <v>0.37</v>
      </c>
      <c r="H1166" s="75">
        <f t="shared" si="87"/>
        <v>61.45</v>
      </c>
    </row>
    <row r="1167" spans="1:8" ht="13.5" thickBot="1" x14ac:dyDescent="0.3">
      <c r="A1167" s="267" t="str">
        <f>CONCATENATE("TOTAL DO ÍTEM - ",A1153)</f>
        <v>TOTAL DO ÍTEM - MPMT-04302</v>
      </c>
      <c r="B1167" s="268"/>
      <c r="C1167" s="268"/>
      <c r="D1167" s="268"/>
      <c r="E1167" s="268"/>
      <c r="F1167" s="268"/>
      <c r="G1167" s="269"/>
      <c r="H1167" s="188">
        <f>TRUNC(SUM(H1157:H1166),2)</f>
        <v>440.81</v>
      </c>
    </row>
    <row r="1168" spans="1:8" ht="13.5" thickBot="1" x14ac:dyDescent="0.3">
      <c r="A1168" s="283" t="s">
        <v>12288</v>
      </c>
      <c r="B1168" s="284"/>
      <c r="C1168" s="284"/>
      <c r="D1168" s="284"/>
      <c r="E1168" s="284"/>
      <c r="F1168" s="284"/>
      <c r="G1168" s="284"/>
      <c r="H1168" s="285"/>
    </row>
    <row r="1169" spans="1:8" ht="13.5" thickBot="1" x14ac:dyDescent="0.3"/>
    <row r="1170" spans="1:8" ht="25.5" x14ac:dyDescent="0.25">
      <c r="A1170" s="120" t="s">
        <v>90</v>
      </c>
      <c r="B1170" s="286" t="s">
        <v>91</v>
      </c>
      <c r="C1170" s="287"/>
      <c r="D1170" s="287"/>
      <c r="E1170" s="287"/>
      <c r="F1170" s="287"/>
      <c r="G1170" s="288"/>
      <c r="H1170" s="121" t="s">
        <v>4</v>
      </c>
    </row>
    <row r="1171" spans="1:8" ht="13.5" thickBot="1" x14ac:dyDescent="0.3">
      <c r="A1171" s="113" t="s">
        <v>12291</v>
      </c>
      <c r="B1171" s="289" t="s">
        <v>12292</v>
      </c>
      <c r="C1171" s="290"/>
      <c r="D1171" s="290"/>
      <c r="E1171" s="290"/>
      <c r="F1171" s="290"/>
      <c r="G1171" s="291"/>
      <c r="H1171" s="114" t="s">
        <v>4</v>
      </c>
    </row>
    <row r="1172" spans="1:8" x14ac:dyDescent="0.25">
      <c r="A1172" s="273" t="s">
        <v>13834</v>
      </c>
      <c r="B1172" s="275" t="s">
        <v>92</v>
      </c>
      <c r="C1172" s="276"/>
      <c r="D1172" s="185" t="s">
        <v>12281</v>
      </c>
      <c r="E1172" s="239" t="s">
        <v>93</v>
      </c>
      <c r="F1172" s="186">
        <v>0</v>
      </c>
      <c r="G1172" s="277" t="s">
        <v>94</v>
      </c>
      <c r="H1172" s="278"/>
    </row>
    <row r="1173" spans="1:8" x14ac:dyDescent="0.25">
      <c r="A1173" s="274"/>
      <c r="B1173" s="281" t="s">
        <v>95</v>
      </c>
      <c r="C1173" s="282"/>
      <c r="D1173" s="187">
        <v>43676</v>
      </c>
      <c r="E1173" s="240" t="s">
        <v>96</v>
      </c>
      <c r="F1173" s="187">
        <v>43676</v>
      </c>
      <c r="G1173" s="279"/>
      <c r="H1173" s="280"/>
    </row>
    <row r="1174" spans="1:8" x14ac:dyDescent="0.25">
      <c r="A1174" s="122" t="s">
        <v>11885</v>
      </c>
      <c r="B1174" s="123" t="s">
        <v>97</v>
      </c>
      <c r="C1174" s="123" t="s">
        <v>98</v>
      </c>
      <c r="D1174" s="123" t="s">
        <v>3</v>
      </c>
      <c r="E1174" s="123" t="s">
        <v>4</v>
      </c>
      <c r="F1174" s="123" t="s">
        <v>99</v>
      </c>
      <c r="G1174" s="123" t="s">
        <v>100</v>
      </c>
      <c r="H1174" s="124" t="s">
        <v>101</v>
      </c>
    </row>
    <row r="1175" spans="1:8" ht="89.25" x14ac:dyDescent="0.25">
      <c r="A1175" s="125" t="s">
        <v>398</v>
      </c>
      <c r="B1175" s="115" t="s">
        <v>9</v>
      </c>
      <c r="C1175" s="115">
        <v>5678</v>
      </c>
      <c r="D1175" s="127" t="str">
        <f>IF(A1175="COMPOSIÇÃO",VLOOKUP(C1175,'SINAPI_COMPOSIÇÕES 062020'!A:B,2,FALSE),VLOOKUP(C1175,'SINAPI_INSUMOS 062020'!A:B,2,FALSE))</f>
        <v>RETROESCAVADEIRA SOBRE RODAS COM CARREGADEIRA, TRAÇÃO 4X4, POTÊNCIA LÍQ. 88 HP, CAÇAMBA CARREG. CAP. MÍN. 1 M3, CAÇAMBA RETRO CAP. 0,26 M3, PESO OPERACIONAL MÍN. 6.674 KG, PROFUNDIDADE ESCAVAÇÃO MÁX. 4,37 M - CHP DIURNO. AF_06/2014</v>
      </c>
      <c r="E1175" s="126" t="str">
        <f>IF(A1175="COMPOSIÇÃO",VLOOKUP(C1175,'SINAPI_COMPOSIÇÕES 062020'!A:C,3,FALSE),VLOOKUP(C1175,'SINAPI_INSUMOS 062020'!A:C,3,FALSE))</f>
        <v>CHP</v>
      </c>
      <c r="F1175" s="74">
        <v>8.6999999999999994E-3</v>
      </c>
      <c r="G1175" s="128">
        <f>IF(A1175="COMPOSIÇÃO",VLOOKUP(C1175,'SINAPI_COMPOSIÇÕES 062020'!A:D,4,FALSE),VLOOKUP(C1175,'SINAPI_INSUMOS 062020'!A:D,4,FALSE))</f>
        <v>79.45</v>
      </c>
      <c r="H1175" s="75">
        <f t="shared" ref="H1175:H1184" si="88">TRUNC(G1175*F1175,2)</f>
        <v>0.69</v>
      </c>
    </row>
    <row r="1176" spans="1:8" ht="89.25" x14ac:dyDescent="0.25">
      <c r="A1176" s="125" t="s">
        <v>398</v>
      </c>
      <c r="B1176" s="115" t="s">
        <v>9</v>
      </c>
      <c r="C1176" s="115">
        <v>5679</v>
      </c>
      <c r="D1176" s="127" t="str">
        <f>IF(A1176="COMPOSIÇÃO",VLOOKUP(C1176,'SINAPI_COMPOSIÇÕES 062020'!A:B,2,FALSE),VLOOKUP(C1176,'SINAPI_INSUMOS 062020'!A:B,2,FALSE))</f>
        <v>RETROESCAVADEIRA SOBRE RODAS COM CARREGADEIRA, TRAÇÃO 4X4, POTÊNCIA LÍQ. 88 HP, CAÇAMBA CARREG. CAP. MÍN. 1 M3, CAÇAMBA RETRO CAP. 0,26 M3, PESO OPERACIONAL MÍN. 6.674 KG, PROFUNDIDADE ESCAVAÇÃO MÁX. 4,37 M - CHI DIURNO. AF_06/2014</v>
      </c>
      <c r="E1176" s="126" t="str">
        <f>IF(A1176="COMPOSIÇÃO",VLOOKUP(C1176,'SINAPI_COMPOSIÇÕES 062020'!A:C,3,FALSE),VLOOKUP(C1176,'SINAPI_INSUMOS 062020'!A:C,3,FALSE))</f>
        <v>CHI</v>
      </c>
      <c r="F1176" s="74">
        <v>2.9399999999999999E-2</v>
      </c>
      <c r="G1176" s="128">
        <f>IF(A1176="COMPOSIÇÃO",VLOOKUP(C1176,'SINAPI_COMPOSIÇÕES 062020'!A:D,4,FALSE),VLOOKUP(C1176,'SINAPI_INSUMOS 062020'!A:D,4,FALSE))</f>
        <v>32.6</v>
      </c>
      <c r="H1176" s="75">
        <f t="shared" si="88"/>
        <v>0.95</v>
      </c>
    </row>
    <row r="1177" spans="1:8" ht="63.75" x14ac:dyDescent="0.25">
      <c r="A1177" s="125" t="s">
        <v>398</v>
      </c>
      <c r="B1177" s="115" t="s">
        <v>9</v>
      </c>
      <c r="C1177" s="115">
        <v>87316</v>
      </c>
      <c r="D1177" s="127" t="str">
        <f>IF(A1177="COMPOSIÇÃO",VLOOKUP(C1177,'SINAPI_COMPOSIÇÕES 062020'!A:B,2,FALSE),VLOOKUP(C1177,'SINAPI_INSUMOS 062020'!A:B,2,FALSE))</f>
        <v>ARGAMASSA TRAÇO 1:4 (EM VOLUME DE CIMENTO E AREIA GROSSA ÚMIDA) PARA CHAPISCO CONVENCIONAL, PREPARO MECÂNICO COM BETONEIRA 400 L. AF_08/2019</v>
      </c>
      <c r="E1177" s="126" t="str">
        <f>IF(A1177="COMPOSIÇÃO",VLOOKUP(C1177,'SINAPI_COMPOSIÇÕES 062020'!A:C,3,FALSE),VLOOKUP(C1177,'SINAPI_INSUMOS 062020'!A:C,3,FALSE))</f>
        <v>M3</v>
      </c>
      <c r="F1177" s="74">
        <v>1.4E-3</v>
      </c>
      <c r="G1177" s="128">
        <f>IF(A1177="COMPOSIÇÃO",VLOOKUP(C1177,'SINAPI_COMPOSIÇÕES 062020'!A:D,4,FALSE),VLOOKUP(C1177,'SINAPI_INSUMOS 062020'!A:D,4,FALSE))</f>
        <v>298.39</v>
      </c>
      <c r="H1177" s="75">
        <f t="shared" si="88"/>
        <v>0.41</v>
      </c>
    </row>
    <row r="1178" spans="1:8" ht="25.5" x14ac:dyDescent="0.25">
      <c r="A1178" s="125" t="s">
        <v>398</v>
      </c>
      <c r="B1178" s="115" t="s">
        <v>9</v>
      </c>
      <c r="C1178" s="115">
        <v>88309</v>
      </c>
      <c r="D1178" s="127" t="str">
        <f>IF(A1178="COMPOSIÇÃO",VLOOKUP(C1178,'SINAPI_COMPOSIÇÕES 062020'!A:B,2,FALSE),VLOOKUP(C1178,'SINAPI_INSUMOS 062020'!A:B,2,FALSE))</f>
        <v>PEDREIRO COM ENCARGOS COMPLEMENTARES</v>
      </c>
      <c r="E1178" s="126" t="str">
        <f>IF(A1178="COMPOSIÇÃO",VLOOKUP(C1178,'SINAPI_COMPOSIÇÕES 062020'!A:C,3,FALSE),VLOOKUP(C1178,'SINAPI_INSUMOS 062020'!A:C,3,FALSE))</f>
        <v>H</v>
      </c>
      <c r="F1178" s="74">
        <v>6.0895000000000001</v>
      </c>
      <c r="G1178" s="128">
        <f>IF(A1178="COMPOSIÇÃO",VLOOKUP(C1178,'SINAPI_COMPOSIÇÕES 062020'!A:D,4,FALSE),VLOOKUP(C1178,'SINAPI_INSUMOS 062020'!A:D,4,FALSE))</f>
        <v>17.760000000000002</v>
      </c>
      <c r="H1178" s="75">
        <f t="shared" si="88"/>
        <v>108.14</v>
      </c>
    </row>
    <row r="1179" spans="1:8" ht="25.5" x14ac:dyDescent="0.25">
      <c r="A1179" s="125" t="s">
        <v>398</v>
      </c>
      <c r="B1179" s="115" t="s">
        <v>9</v>
      </c>
      <c r="C1179" s="115">
        <v>88316</v>
      </c>
      <c r="D1179" s="127" t="str">
        <f>IF(A1179="COMPOSIÇÃO",VLOOKUP(C1179,'SINAPI_COMPOSIÇÕES 062020'!A:B,2,FALSE),VLOOKUP(C1179,'SINAPI_INSUMOS 062020'!A:B,2,FALSE))</f>
        <v>SERVENTE COM ENCARGOS COMPLEMENTARES</v>
      </c>
      <c r="E1179" s="126" t="str">
        <f>IF(A1179="COMPOSIÇÃO",VLOOKUP(C1179,'SINAPI_COMPOSIÇÕES 062020'!A:C,3,FALSE),VLOOKUP(C1179,'SINAPI_INSUMOS 062020'!A:C,3,FALSE))</f>
        <v>H</v>
      </c>
      <c r="F1179" s="74">
        <v>6.0895000000000001</v>
      </c>
      <c r="G1179" s="128">
        <f>IF(A1179="COMPOSIÇÃO",VLOOKUP(C1179,'SINAPI_COMPOSIÇÕES 062020'!A:D,4,FALSE),VLOOKUP(C1179,'SINAPI_INSUMOS 062020'!A:D,4,FALSE))</f>
        <v>14.37</v>
      </c>
      <c r="H1179" s="75">
        <f t="shared" si="88"/>
        <v>87.5</v>
      </c>
    </row>
    <row r="1180" spans="1:8" ht="51" x14ac:dyDescent="0.25">
      <c r="A1180" s="125" t="s">
        <v>398</v>
      </c>
      <c r="B1180" s="115" t="s">
        <v>9</v>
      </c>
      <c r="C1180" s="115">
        <v>88628</v>
      </c>
      <c r="D1180" s="127" t="str">
        <f>IF(A1180="COMPOSIÇÃO",VLOOKUP(C1180,'SINAPI_COMPOSIÇÕES 062020'!A:B,2,FALSE),VLOOKUP(C1180,'SINAPI_INSUMOS 062020'!A:B,2,FALSE))</f>
        <v>ARGAMASSA TRAÇO 1:3 (EM VOLUME DE CIMENTO E AREIA MÉDIA ÚMIDA), PREPARO MECÂNICO COM BETONEIRA 400 L. AF_08/2019</v>
      </c>
      <c r="E1180" s="126" t="str">
        <f>IF(A1180="COMPOSIÇÃO",VLOOKUP(C1180,'SINAPI_COMPOSIÇÕES 062020'!A:C,3,FALSE),VLOOKUP(C1180,'SINAPI_INSUMOS 062020'!A:C,3,FALSE))</f>
        <v>M3</v>
      </c>
      <c r="F1180" s="74">
        <v>0.11559999999999999</v>
      </c>
      <c r="G1180" s="128">
        <f>IF(A1180="COMPOSIÇÃO",VLOOKUP(C1180,'SINAPI_COMPOSIÇÕES 062020'!A:D,4,FALSE),VLOOKUP(C1180,'SINAPI_INSUMOS 062020'!A:D,4,FALSE))</f>
        <v>349.75</v>
      </c>
      <c r="H1180" s="75">
        <f t="shared" si="88"/>
        <v>40.43</v>
      </c>
    </row>
    <row r="1181" spans="1:8" ht="38.25" x14ac:dyDescent="0.25">
      <c r="A1181" s="125" t="s">
        <v>398</v>
      </c>
      <c r="B1181" s="115" t="s">
        <v>9</v>
      </c>
      <c r="C1181" s="115">
        <v>94097</v>
      </c>
      <c r="D1181" s="127" t="str">
        <f>IF(A1181="COMPOSIÇÃO",VLOOKUP(C1181,'SINAPI_COMPOSIÇÕES 062020'!A:B,2,FALSE),VLOOKUP(C1181,'SINAPI_INSUMOS 062020'!A:B,2,FALSE))</f>
        <v>PREPARO DE FUNDO DE VALA COM LARGURA MENOR QUE 1,5 M, EM LOCAL COM NÍVEL BAIXO DE INTERFERÊNCIA. AF_06/2016</v>
      </c>
      <c r="E1181" s="126" t="str">
        <f>IF(A1181="COMPOSIÇÃO",VLOOKUP(C1181,'SINAPI_COMPOSIÇÕES 062020'!A:C,3,FALSE),VLOOKUP(C1181,'SINAPI_INSUMOS 062020'!A:C,3,FALSE))</f>
        <v>M2</v>
      </c>
      <c r="F1181" s="74">
        <v>0.81</v>
      </c>
      <c r="G1181" s="128">
        <f>IF(A1181="COMPOSIÇÃO",VLOOKUP(C1181,'SINAPI_COMPOSIÇÕES 062020'!A:D,4,FALSE),VLOOKUP(C1181,'SINAPI_INSUMOS 062020'!A:D,4,FALSE))</f>
        <v>4.17</v>
      </c>
      <c r="H1181" s="75">
        <f t="shared" si="88"/>
        <v>3.37</v>
      </c>
    </row>
    <row r="1182" spans="1:8" ht="51" x14ac:dyDescent="0.25">
      <c r="A1182" s="125" t="s">
        <v>398</v>
      </c>
      <c r="B1182" s="115" t="s">
        <v>9</v>
      </c>
      <c r="C1182" s="115">
        <v>94970</v>
      </c>
      <c r="D1182" s="127" t="str">
        <f>IF(A1182="COMPOSIÇÃO",VLOOKUP(C1182,'SINAPI_COMPOSIÇÕES 062020'!A:B,2,FALSE),VLOOKUP(C1182,'SINAPI_INSUMOS 062020'!A:B,2,FALSE))</f>
        <v>CONCRETO FCK = 20MPA, TRAÇO 1:2,7:3 (CIMENTO/ AREIA MÉDIA/ BRITA 1)  - PREPARO MECÂNICO COM BETONEIRA 600 L. AF_07/2016</v>
      </c>
      <c r="E1182" s="126" t="str">
        <f>IF(A1182="COMPOSIÇÃO",VLOOKUP(C1182,'SINAPI_COMPOSIÇÕES 062020'!A:C,3,FALSE),VLOOKUP(C1182,'SINAPI_INSUMOS 062020'!A:C,3,FALSE))</f>
        <v>M3</v>
      </c>
      <c r="F1182" s="74">
        <v>7.4399999999999994E-2</v>
      </c>
      <c r="G1182" s="128">
        <f>IF(A1182="COMPOSIÇÃO",VLOOKUP(C1182,'SINAPI_COMPOSIÇÕES 062020'!A:D,4,FALSE),VLOOKUP(C1182,'SINAPI_INSUMOS 062020'!A:D,4,FALSE))</f>
        <v>303.10000000000002</v>
      </c>
      <c r="H1182" s="75">
        <f t="shared" si="88"/>
        <v>22.55</v>
      </c>
    </row>
    <row r="1183" spans="1:8" ht="38.25" x14ac:dyDescent="0.25">
      <c r="A1183" s="125" t="s">
        <v>398</v>
      </c>
      <c r="B1183" s="115" t="s">
        <v>9</v>
      </c>
      <c r="C1183" s="115">
        <v>97735</v>
      </c>
      <c r="D1183" s="127" t="str">
        <f>IF(A1183="COMPOSIÇÃO",VLOOKUP(C1183,'SINAPI_COMPOSIÇÕES 062020'!A:B,2,FALSE),VLOOKUP(C1183,'SINAPI_INSUMOS 062020'!A:B,2,FALSE))</f>
        <v>PEÇA RETANGULAR PRÉ-MOLDADA, VOLUME DE CONCRETO DE 30 A 100 LITROS, TAXA DE AÇO APROXIMADA DE 30KG/M³. AF_01/2018</v>
      </c>
      <c r="E1183" s="126" t="str">
        <f>IF(A1183="COMPOSIÇÃO",VLOOKUP(C1183,'SINAPI_COMPOSIÇÕES 062020'!A:C,3,FALSE),VLOOKUP(C1183,'SINAPI_INSUMOS 062020'!A:C,3,FALSE))</f>
        <v>M3</v>
      </c>
      <c r="F1183" s="74">
        <v>4.48E-2</v>
      </c>
      <c r="G1183" s="128">
        <f>IF(A1183="COMPOSIÇÃO",VLOOKUP(C1183,'SINAPI_COMPOSIÇÕES 062020'!A:D,4,FALSE),VLOOKUP(C1183,'SINAPI_INSUMOS 062020'!A:D,4,FALSE))</f>
        <v>1617.38</v>
      </c>
      <c r="H1183" s="75">
        <f t="shared" si="88"/>
        <v>72.45</v>
      </c>
    </row>
    <row r="1184" spans="1:8" ht="25.5" x14ac:dyDescent="0.25">
      <c r="A1184" s="125" t="s">
        <v>400</v>
      </c>
      <c r="B1184" s="115" t="s">
        <v>9</v>
      </c>
      <c r="C1184" s="115">
        <v>7258</v>
      </c>
      <c r="D1184" s="127" t="str">
        <f>IF(A1184="COMPOSIÇÃO",VLOOKUP(C1184,'SINAPI_COMPOSIÇÕES 062020'!A:B,2,FALSE),VLOOKUP(C1184,'SINAPI_INSUMOS 062020'!A:B,2,FALSE))</f>
        <v>TIJOLO CERAMICO MACICO *5 X 10 X 20* CM</v>
      </c>
      <c r="E1184" s="126" t="str">
        <f>IF(A1184="COMPOSIÇÃO",VLOOKUP(C1184,'SINAPI_COMPOSIÇÕES 062020'!A:C,3,FALSE),VLOOKUP(C1184,'SINAPI_INSUMOS 062020'!A:C,3,FALSE))</f>
        <v xml:space="preserve">UN    </v>
      </c>
      <c r="F1184" s="74">
        <v>186.0916</v>
      </c>
      <c r="G1184" s="128">
        <f>IF(A1184="COMPOSIÇÃO",VLOOKUP(C1184,'SINAPI_COMPOSIÇÕES 062020'!A:D,4,FALSE),VLOOKUP(C1184,'SINAPI_INSUMOS 062020'!A:D,4,FALSE))</f>
        <v>0.37</v>
      </c>
      <c r="H1184" s="75">
        <f t="shared" si="88"/>
        <v>68.849999999999994</v>
      </c>
    </row>
    <row r="1185" spans="1:8" ht="13.5" thickBot="1" x14ac:dyDescent="0.3">
      <c r="A1185" s="267" t="str">
        <f>CONCATENATE("TOTAL DO ÍTEM - ",A1171)</f>
        <v>TOTAL DO ÍTEM - MPMT-04303</v>
      </c>
      <c r="B1185" s="268"/>
      <c r="C1185" s="268"/>
      <c r="D1185" s="268"/>
      <c r="E1185" s="268"/>
      <c r="F1185" s="268"/>
      <c r="G1185" s="269"/>
      <c r="H1185" s="188">
        <f>TRUNC(SUM(H1175:H1184),2)</f>
        <v>405.34</v>
      </c>
    </row>
    <row r="1186" spans="1:8" ht="13.5" thickBot="1" x14ac:dyDescent="0.3">
      <c r="A1186" s="299" t="s">
        <v>12282</v>
      </c>
      <c r="B1186" s="300"/>
      <c r="C1186" s="300"/>
      <c r="D1186" s="300"/>
      <c r="E1186" s="300"/>
      <c r="F1186" s="300"/>
      <c r="G1186" s="300"/>
      <c r="H1186" s="301"/>
    </row>
    <row r="1187" spans="1:8" ht="13.5" thickBot="1" x14ac:dyDescent="0.3"/>
    <row r="1188" spans="1:8" ht="25.5" x14ac:dyDescent="0.25">
      <c r="A1188" s="120" t="s">
        <v>90</v>
      </c>
      <c r="B1188" s="286" t="s">
        <v>91</v>
      </c>
      <c r="C1188" s="287"/>
      <c r="D1188" s="287"/>
      <c r="E1188" s="287"/>
      <c r="F1188" s="287"/>
      <c r="G1188" s="288"/>
      <c r="H1188" s="121" t="s">
        <v>4</v>
      </c>
    </row>
    <row r="1189" spans="1:8" ht="13.5" thickBot="1" x14ac:dyDescent="0.3">
      <c r="A1189" s="113" t="s">
        <v>12293</v>
      </c>
      <c r="B1189" s="289" t="s">
        <v>12294</v>
      </c>
      <c r="C1189" s="290"/>
      <c r="D1189" s="290"/>
      <c r="E1189" s="290"/>
      <c r="F1189" s="290"/>
      <c r="G1189" s="291"/>
      <c r="H1189" s="114" t="s">
        <v>4</v>
      </c>
    </row>
    <row r="1190" spans="1:8" x14ac:dyDescent="0.25">
      <c r="A1190" s="273" t="s">
        <v>13834</v>
      </c>
      <c r="B1190" s="275" t="s">
        <v>92</v>
      </c>
      <c r="C1190" s="276"/>
      <c r="D1190" s="185" t="s">
        <v>12281</v>
      </c>
      <c r="E1190" s="239" t="s">
        <v>93</v>
      </c>
      <c r="F1190" s="186">
        <v>0</v>
      </c>
      <c r="G1190" s="277" t="s">
        <v>94</v>
      </c>
      <c r="H1190" s="278"/>
    </row>
    <row r="1191" spans="1:8" x14ac:dyDescent="0.25">
      <c r="A1191" s="274"/>
      <c r="B1191" s="281" t="s">
        <v>95</v>
      </c>
      <c r="C1191" s="282"/>
      <c r="D1191" s="187">
        <v>43676</v>
      </c>
      <c r="E1191" s="240" t="s">
        <v>96</v>
      </c>
      <c r="F1191" s="187">
        <v>43676</v>
      </c>
      <c r="G1191" s="279"/>
      <c r="H1191" s="280"/>
    </row>
    <row r="1192" spans="1:8" x14ac:dyDescent="0.25">
      <c r="A1192" s="122" t="s">
        <v>11885</v>
      </c>
      <c r="B1192" s="123" t="s">
        <v>97</v>
      </c>
      <c r="C1192" s="123" t="s">
        <v>98</v>
      </c>
      <c r="D1192" s="123" t="s">
        <v>3</v>
      </c>
      <c r="E1192" s="123" t="s">
        <v>4</v>
      </c>
      <c r="F1192" s="123" t="s">
        <v>99</v>
      </c>
      <c r="G1192" s="123" t="s">
        <v>100</v>
      </c>
      <c r="H1192" s="124" t="s">
        <v>101</v>
      </c>
    </row>
    <row r="1193" spans="1:8" ht="89.25" x14ac:dyDescent="0.25">
      <c r="A1193" s="125" t="s">
        <v>398</v>
      </c>
      <c r="B1193" s="115" t="s">
        <v>9</v>
      </c>
      <c r="C1193" s="115">
        <v>5678</v>
      </c>
      <c r="D1193" s="127" t="str">
        <f>IF(A1193="COMPOSIÇÃO",VLOOKUP(C1193,'SINAPI_COMPOSIÇÕES 062020'!A:B,2,FALSE),VLOOKUP(C1193,'SINAPI_INSUMOS 062020'!A:B,2,FALSE))</f>
        <v>RETROESCAVADEIRA SOBRE RODAS COM CARREGADEIRA, TRAÇÃO 4X4, POTÊNCIA LÍQ. 88 HP, CAÇAMBA CARREG. CAP. MÍN. 1 M3, CAÇAMBA RETRO CAP. 0,26 M3, PESO OPERACIONAL MÍN. 6.674 KG, PROFUNDIDADE ESCAVAÇÃO MÁX. 4,37 M - CHP DIURNO. AF_06/2014</v>
      </c>
      <c r="E1193" s="126" t="str">
        <f>IF(A1193="COMPOSIÇÃO",VLOOKUP(C1193,'SINAPI_COMPOSIÇÕES 062020'!A:C,3,FALSE),VLOOKUP(C1193,'SINAPI_INSUMOS 062020'!A:C,3,FALSE))</f>
        <v>CHP</v>
      </c>
      <c r="F1193" s="74">
        <v>8.6999999999999994E-3</v>
      </c>
      <c r="G1193" s="128">
        <f>IF(A1193="COMPOSIÇÃO",VLOOKUP(C1193,'SINAPI_COMPOSIÇÕES 062020'!A:D,4,FALSE),VLOOKUP(C1193,'SINAPI_INSUMOS 062020'!A:D,4,FALSE))</f>
        <v>79.45</v>
      </c>
      <c r="H1193" s="75">
        <f t="shared" ref="H1193:H1202" si="89">TRUNC(G1193*F1193,2)</f>
        <v>0.69</v>
      </c>
    </row>
    <row r="1194" spans="1:8" ht="89.25" x14ac:dyDescent="0.25">
      <c r="A1194" s="125" t="s">
        <v>398</v>
      </c>
      <c r="B1194" s="115" t="s">
        <v>9</v>
      </c>
      <c r="C1194" s="115">
        <v>5679</v>
      </c>
      <c r="D1194" s="127" t="str">
        <f>IF(A1194="COMPOSIÇÃO",VLOOKUP(C1194,'SINAPI_COMPOSIÇÕES 062020'!A:B,2,FALSE),VLOOKUP(C1194,'SINAPI_INSUMOS 062020'!A:B,2,FALSE))</f>
        <v>RETROESCAVADEIRA SOBRE RODAS COM CARREGADEIRA, TRAÇÃO 4X4, POTÊNCIA LÍQ. 88 HP, CAÇAMBA CARREG. CAP. MÍN. 1 M3, CAÇAMBA RETRO CAP. 0,26 M3, PESO OPERACIONAL MÍN. 6.674 KG, PROFUNDIDADE ESCAVAÇÃO MÁX. 4,37 M - CHI DIURNO. AF_06/2014</v>
      </c>
      <c r="E1194" s="126" t="str">
        <f>IF(A1194="COMPOSIÇÃO",VLOOKUP(C1194,'SINAPI_COMPOSIÇÕES 062020'!A:C,3,FALSE),VLOOKUP(C1194,'SINAPI_INSUMOS 062020'!A:C,3,FALSE))</f>
        <v>CHI</v>
      </c>
      <c r="F1194" s="74">
        <v>2.9399999999999999E-2</v>
      </c>
      <c r="G1194" s="128">
        <f>IF(A1194="COMPOSIÇÃO",VLOOKUP(C1194,'SINAPI_COMPOSIÇÕES 062020'!A:D,4,FALSE),VLOOKUP(C1194,'SINAPI_INSUMOS 062020'!A:D,4,FALSE))</f>
        <v>32.6</v>
      </c>
      <c r="H1194" s="75">
        <f t="shared" si="89"/>
        <v>0.95</v>
      </c>
    </row>
    <row r="1195" spans="1:8" ht="63.75" x14ac:dyDescent="0.25">
      <c r="A1195" s="125" t="s">
        <v>398</v>
      </c>
      <c r="B1195" s="115" t="s">
        <v>9</v>
      </c>
      <c r="C1195" s="115">
        <v>87316</v>
      </c>
      <c r="D1195" s="127" t="str">
        <f>IF(A1195="COMPOSIÇÃO",VLOOKUP(C1195,'SINAPI_COMPOSIÇÕES 062020'!A:B,2,FALSE),VLOOKUP(C1195,'SINAPI_INSUMOS 062020'!A:B,2,FALSE))</f>
        <v>ARGAMASSA TRAÇO 1:4 (EM VOLUME DE CIMENTO E AREIA GROSSA ÚMIDA) PARA CHAPISCO CONVENCIONAL, PREPARO MECÂNICO COM BETONEIRA 400 L. AF_08/2019</v>
      </c>
      <c r="E1195" s="126" t="str">
        <f>IF(A1195="COMPOSIÇÃO",VLOOKUP(C1195,'SINAPI_COMPOSIÇÕES 062020'!A:C,3,FALSE),VLOOKUP(C1195,'SINAPI_INSUMOS 062020'!A:C,3,FALSE))</f>
        <v>M3</v>
      </c>
      <c r="F1195" s="74">
        <v>1.4E-3</v>
      </c>
      <c r="G1195" s="128">
        <f>IF(A1195="COMPOSIÇÃO",VLOOKUP(C1195,'SINAPI_COMPOSIÇÕES 062020'!A:D,4,FALSE),VLOOKUP(C1195,'SINAPI_INSUMOS 062020'!A:D,4,FALSE))</f>
        <v>298.39</v>
      </c>
      <c r="H1195" s="75">
        <f t="shared" si="89"/>
        <v>0.41</v>
      </c>
    </row>
    <row r="1196" spans="1:8" ht="25.5" x14ac:dyDescent="0.25">
      <c r="A1196" s="125" t="s">
        <v>398</v>
      </c>
      <c r="B1196" s="115" t="s">
        <v>9</v>
      </c>
      <c r="C1196" s="115">
        <v>88309</v>
      </c>
      <c r="D1196" s="127" t="str">
        <f>IF(A1196="COMPOSIÇÃO",VLOOKUP(C1196,'SINAPI_COMPOSIÇÕES 062020'!A:B,2,FALSE),VLOOKUP(C1196,'SINAPI_INSUMOS 062020'!A:B,2,FALSE))</f>
        <v>PEDREIRO COM ENCARGOS COMPLEMENTARES</v>
      </c>
      <c r="E1196" s="126" t="str">
        <f>IF(A1196="COMPOSIÇÃO",VLOOKUP(C1196,'SINAPI_COMPOSIÇÕES 062020'!A:C,3,FALSE),VLOOKUP(C1196,'SINAPI_INSUMOS 062020'!A:C,3,FALSE))</f>
        <v>H</v>
      </c>
      <c r="F1196" s="74">
        <v>6.0895000000000001</v>
      </c>
      <c r="G1196" s="128">
        <f>IF(A1196="COMPOSIÇÃO",VLOOKUP(C1196,'SINAPI_COMPOSIÇÕES 062020'!A:D,4,FALSE),VLOOKUP(C1196,'SINAPI_INSUMOS 062020'!A:D,4,FALSE))</f>
        <v>17.760000000000002</v>
      </c>
      <c r="H1196" s="75">
        <f t="shared" si="89"/>
        <v>108.14</v>
      </c>
    </row>
    <row r="1197" spans="1:8" ht="25.5" x14ac:dyDescent="0.25">
      <c r="A1197" s="125" t="s">
        <v>398</v>
      </c>
      <c r="B1197" s="115" t="s">
        <v>9</v>
      </c>
      <c r="C1197" s="115">
        <v>88316</v>
      </c>
      <c r="D1197" s="127" t="str">
        <f>IF(A1197="COMPOSIÇÃO",VLOOKUP(C1197,'SINAPI_COMPOSIÇÕES 062020'!A:B,2,FALSE),VLOOKUP(C1197,'SINAPI_INSUMOS 062020'!A:B,2,FALSE))</f>
        <v>SERVENTE COM ENCARGOS COMPLEMENTARES</v>
      </c>
      <c r="E1197" s="126" t="str">
        <f>IF(A1197="COMPOSIÇÃO",VLOOKUP(C1197,'SINAPI_COMPOSIÇÕES 062020'!A:C,3,FALSE),VLOOKUP(C1197,'SINAPI_INSUMOS 062020'!A:C,3,FALSE))</f>
        <v>H</v>
      </c>
      <c r="F1197" s="74">
        <v>6.0895000000000001</v>
      </c>
      <c r="G1197" s="128">
        <f>IF(A1197="COMPOSIÇÃO",VLOOKUP(C1197,'SINAPI_COMPOSIÇÕES 062020'!A:D,4,FALSE),VLOOKUP(C1197,'SINAPI_INSUMOS 062020'!A:D,4,FALSE))</f>
        <v>14.37</v>
      </c>
      <c r="H1197" s="75">
        <f t="shared" si="89"/>
        <v>87.5</v>
      </c>
    </row>
    <row r="1198" spans="1:8" ht="51" x14ac:dyDescent="0.25">
      <c r="A1198" s="125" t="s">
        <v>398</v>
      </c>
      <c r="B1198" s="115" t="s">
        <v>9</v>
      </c>
      <c r="C1198" s="115">
        <v>88628</v>
      </c>
      <c r="D1198" s="127" t="str">
        <f>IF(A1198="COMPOSIÇÃO",VLOOKUP(C1198,'SINAPI_COMPOSIÇÕES 062020'!A:B,2,FALSE),VLOOKUP(C1198,'SINAPI_INSUMOS 062020'!A:B,2,FALSE))</f>
        <v>ARGAMASSA TRAÇO 1:3 (EM VOLUME DE CIMENTO E AREIA MÉDIA ÚMIDA), PREPARO MECÂNICO COM BETONEIRA 400 L. AF_08/2019</v>
      </c>
      <c r="E1198" s="126" t="str">
        <f>IF(A1198="COMPOSIÇÃO",VLOOKUP(C1198,'SINAPI_COMPOSIÇÕES 062020'!A:C,3,FALSE),VLOOKUP(C1198,'SINAPI_INSUMOS 062020'!A:C,3,FALSE))</f>
        <v>M3</v>
      </c>
      <c r="F1198" s="74">
        <v>0.11559999999999999</v>
      </c>
      <c r="G1198" s="128">
        <f>IF(A1198="COMPOSIÇÃO",VLOOKUP(C1198,'SINAPI_COMPOSIÇÕES 062020'!A:D,4,FALSE),VLOOKUP(C1198,'SINAPI_INSUMOS 062020'!A:D,4,FALSE))</f>
        <v>349.75</v>
      </c>
      <c r="H1198" s="75">
        <f t="shared" si="89"/>
        <v>40.43</v>
      </c>
    </row>
    <row r="1199" spans="1:8" ht="38.25" x14ac:dyDescent="0.25">
      <c r="A1199" s="125" t="s">
        <v>398</v>
      </c>
      <c r="B1199" s="115" t="s">
        <v>9</v>
      </c>
      <c r="C1199" s="115">
        <v>94097</v>
      </c>
      <c r="D1199" s="127" t="str">
        <f>IF(A1199="COMPOSIÇÃO",VLOOKUP(C1199,'SINAPI_COMPOSIÇÕES 062020'!A:B,2,FALSE),VLOOKUP(C1199,'SINAPI_INSUMOS 062020'!A:B,2,FALSE))</f>
        <v>PREPARO DE FUNDO DE VALA COM LARGURA MENOR QUE 1,5 M, EM LOCAL COM NÍVEL BAIXO DE INTERFERÊNCIA. AF_06/2016</v>
      </c>
      <c r="E1199" s="126" t="str">
        <f>IF(A1199="COMPOSIÇÃO",VLOOKUP(C1199,'SINAPI_COMPOSIÇÕES 062020'!A:C,3,FALSE),VLOOKUP(C1199,'SINAPI_INSUMOS 062020'!A:C,3,FALSE))</f>
        <v>M2</v>
      </c>
      <c r="F1199" s="74">
        <v>0.81</v>
      </c>
      <c r="G1199" s="128">
        <f>IF(A1199="COMPOSIÇÃO",VLOOKUP(C1199,'SINAPI_COMPOSIÇÕES 062020'!A:D,4,FALSE),VLOOKUP(C1199,'SINAPI_INSUMOS 062020'!A:D,4,FALSE))</f>
        <v>4.17</v>
      </c>
      <c r="H1199" s="75">
        <f t="shared" si="89"/>
        <v>3.37</v>
      </c>
    </row>
    <row r="1200" spans="1:8" ht="51" x14ac:dyDescent="0.25">
      <c r="A1200" s="125" t="s">
        <v>398</v>
      </c>
      <c r="B1200" s="115" t="s">
        <v>9</v>
      </c>
      <c r="C1200" s="115">
        <v>94970</v>
      </c>
      <c r="D1200" s="127" t="str">
        <f>IF(A1200="COMPOSIÇÃO",VLOOKUP(C1200,'SINAPI_COMPOSIÇÕES 062020'!A:B,2,FALSE),VLOOKUP(C1200,'SINAPI_INSUMOS 062020'!A:B,2,FALSE))</f>
        <v>CONCRETO FCK = 20MPA, TRAÇO 1:2,7:3 (CIMENTO/ AREIA MÉDIA/ BRITA 1)  - PREPARO MECÂNICO COM BETONEIRA 600 L. AF_07/2016</v>
      </c>
      <c r="E1200" s="126" t="str">
        <f>IF(A1200="COMPOSIÇÃO",VLOOKUP(C1200,'SINAPI_COMPOSIÇÕES 062020'!A:C,3,FALSE),VLOOKUP(C1200,'SINAPI_INSUMOS 062020'!A:C,3,FALSE))</f>
        <v>M3</v>
      </c>
      <c r="F1200" s="74">
        <v>7.4399999999999994E-2</v>
      </c>
      <c r="G1200" s="128">
        <f>IF(A1200="COMPOSIÇÃO",VLOOKUP(C1200,'SINAPI_COMPOSIÇÕES 062020'!A:D,4,FALSE),VLOOKUP(C1200,'SINAPI_INSUMOS 062020'!A:D,4,FALSE))</f>
        <v>303.10000000000002</v>
      </c>
      <c r="H1200" s="75">
        <f t="shared" si="89"/>
        <v>22.55</v>
      </c>
    </row>
    <row r="1201" spans="1:8" ht="38.25" x14ac:dyDescent="0.25">
      <c r="A1201" s="125" t="s">
        <v>398</v>
      </c>
      <c r="B1201" s="115" t="s">
        <v>9</v>
      </c>
      <c r="C1201" s="115">
        <v>97735</v>
      </c>
      <c r="D1201" s="127" t="str">
        <f>IF(A1201="COMPOSIÇÃO",VLOOKUP(C1201,'SINAPI_COMPOSIÇÕES 062020'!A:B,2,FALSE),VLOOKUP(C1201,'SINAPI_INSUMOS 062020'!A:B,2,FALSE))</f>
        <v>PEÇA RETANGULAR PRÉ-MOLDADA, VOLUME DE CONCRETO DE 30 A 100 LITROS, TAXA DE AÇO APROXIMADA DE 30KG/M³. AF_01/2018</v>
      </c>
      <c r="E1201" s="126" t="str">
        <f>IF(A1201="COMPOSIÇÃO",VLOOKUP(C1201,'SINAPI_COMPOSIÇÕES 062020'!A:C,3,FALSE),VLOOKUP(C1201,'SINAPI_INSUMOS 062020'!A:C,3,FALSE))</f>
        <v>M3</v>
      </c>
      <c r="F1201" s="74">
        <v>4.48E-2</v>
      </c>
      <c r="G1201" s="128">
        <f>IF(A1201="COMPOSIÇÃO",VLOOKUP(C1201,'SINAPI_COMPOSIÇÕES 062020'!A:D,4,FALSE),VLOOKUP(C1201,'SINAPI_INSUMOS 062020'!A:D,4,FALSE))</f>
        <v>1617.38</v>
      </c>
      <c r="H1201" s="75">
        <f t="shared" si="89"/>
        <v>72.45</v>
      </c>
    </row>
    <row r="1202" spans="1:8" ht="25.5" x14ac:dyDescent="0.25">
      <c r="A1202" s="125" t="s">
        <v>400</v>
      </c>
      <c r="B1202" s="115" t="s">
        <v>9</v>
      </c>
      <c r="C1202" s="115">
        <v>7258</v>
      </c>
      <c r="D1202" s="127" t="str">
        <f>IF(A1202="COMPOSIÇÃO",VLOOKUP(C1202,'SINAPI_COMPOSIÇÕES 062020'!A:B,2,FALSE),VLOOKUP(C1202,'SINAPI_INSUMOS 062020'!A:B,2,FALSE))</f>
        <v>TIJOLO CERAMICO MACICO *5 X 10 X 20* CM</v>
      </c>
      <c r="E1202" s="126" t="str">
        <f>IF(A1202="COMPOSIÇÃO",VLOOKUP(C1202,'SINAPI_COMPOSIÇÕES 062020'!A:C,3,FALSE),VLOOKUP(C1202,'SINAPI_INSUMOS 062020'!A:C,3,FALSE))</f>
        <v xml:space="preserve">UN    </v>
      </c>
      <c r="F1202" s="74">
        <v>166.0916</v>
      </c>
      <c r="G1202" s="128">
        <f>IF(A1202="COMPOSIÇÃO",VLOOKUP(C1202,'SINAPI_COMPOSIÇÕES 062020'!A:D,4,FALSE),VLOOKUP(C1202,'SINAPI_INSUMOS 062020'!A:D,4,FALSE))</f>
        <v>0.37</v>
      </c>
      <c r="H1202" s="75">
        <f t="shared" si="89"/>
        <v>61.45</v>
      </c>
    </row>
    <row r="1203" spans="1:8" ht="13.5" thickBot="1" x14ac:dyDescent="0.3">
      <c r="A1203" s="267" t="str">
        <f>CONCATENATE("TOTAL DO ÍTEM - ",A1189)</f>
        <v>TOTAL DO ÍTEM - MPMT-04272</v>
      </c>
      <c r="B1203" s="268"/>
      <c r="C1203" s="268"/>
      <c r="D1203" s="268"/>
      <c r="E1203" s="268"/>
      <c r="F1203" s="268"/>
      <c r="G1203" s="269"/>
      <c r="H1203" s="188">
        <f>TRUNC(SUM(H1193:H1202),2)</f>
        <v>397.94</v>
      </c>
    </row>
    <row r="1204" spans="1:8" ht="13.5" thickBot="1" x14ac:dyDescent="0.3">
      <c r="A1204" s="299" t="s">
        <v>12282</v>
      </c>
      <c r="B1204" s="300"/>
      <c r="C1204" s="300"/>
      <c r="D1204" s="300"/>
      <c r="E1204" s="300"/>
      <c r="F1204" s="300"/>
      <c r="G1204" s="300"/>
      <c r="H1204" s="301"/>
    </row>
    <row r="1205" spans="1:8" ht="13.5" thickBot="1" x14ac:dyDescent="0.3"/>
    <row r="1206" spans="1:8" ht="25.5" x14ac:dyDescent="0.25">
      <c r="A1206" s="120" t="s">
        <v>90</v>
      </c>
      <c r="B1206" s="286" t="s">
        <v>91</v>
      </c>
      <c r="C1206" s="287"/>
      <c r="D1206" s="287"/>
      <c r="E1206" s="287"/>
      <c r="F1206" s="287"/>
      <c r="G1206" s="288"/>
      <c r="H1206" s="121" t="s">
        <v>4</v>
      </c>
    </row>
    <row r="1207" spans="1:8" ht="13.5" thickBot="1" x14ac:dyDescent="0.3">
      <c r="A1207" s="113" t="s">
        <v>12295</v>
      </c>
      <c r="B1207" s="289" t="s">
        <v>12296</v>
      </c>
      <c r="C1207" s="290"/>
      <c r="D1207" s="290"/>
      <c r="E1207" s="290"/>
      <c r="F1207" s="290"/>
      <c r="G1207" s="291"/>
      <c r="H1207" s="114" t="s">
        <v>4</v>
      </c>
    </row>
    <row r="1208" spans="1:8" x14ac:dyDescent="0.25">
      <c r="A1208" s="273" t="s">
        <v>13834</v>
      </c>
      <c r="B1208" s="275" t="s">
        <v>92</v>
      </c>
      <c r="C1208" s="276"/>
      <c r="D1208" s="185" t="s">
        <v>12297</v>
      </c>
      <c r="E1208" s="239" t="s">
        <v>93</v>
      </c>
      <c r="F1208" s="186">
        <v>0</v>
      </c>
      <c r="G1208" s="277" t="s">
        <v>94</v>
      </c>
      <c r="H1208" s="278"/>
    </row>
    <row r="1209" spans="1:8" x14ac:dyDescent="0.25">
      <c r="A1209" s="274"/>
      <c r="B1209" s="281" t="s">
        <v>95</v>
      </c>
      <c r="C1209" s="282"/>
      <c r="D1209" s="187">
        <v>43390</v>
      </c>
      <c r="E1209" s="240" t="s">
        <v>96</v>
      </c>
      <c r="F1209" s="187">
        <v>43390</v>
      </c>
      <c r="G1209" s="279"/>
      <c r="H1209" s="280"/>
    </row>
    <row r="1210" spans="1:8" x14ac:dyDescent="0.25">
      <c r="A1210" s="122" t="s">
        <v>11885</v>
      </c>
      <c r="B1210" s="123" t="s">
        <v>97</v>
      </c>
      <c r="C1210" s="123" t="s">
        <v>98</v>
      </c>
      <c r="D1210" s="123" t="s">
        <v>3</v>
      </c>
      <c r="E1210" s="123" t="s">
        <v>4</v>
      </c>
      <c r="F1210" s="123" t="s">
        <v>99</v>
      </c>
      <c r="G1210" s="123" t="s">
        <v>100</v>
      </c>
      <c r="H1210" s="124" t="s">
        <v>101</v>
      </c>
    </row>
    <row r="1211" spans="1:8" ht="63.75" x14ac:dyDescent="0.25">
      <c r="A1211" s="125" t="s">
        <v>398</v>
      </c>
      <c r="B1211" s="115" t="s">
        <v>9</v>
      </c>
      <c r="C1211" s="115">
        <v>101159</v>
      </c>
      <c r="D1211" s="127" t="str">
        <f>IF(A1211="COMPOSIÇÃO",VLOOKUP(C1211,'SINAPI_COMPOSIÇÕES 062020'!A:B,2,FALSE),VLOOKUP(C1211,'SINAPI_INSUMOS 062020'!A:B,2,FALSE))</f>
        <v>ALVENARIA DE VEDAÇÃO DE BLOCOS CERÂMICOS MACIÇOS DE 5X10X20CM (ESPESSURA 10CM) E ARGAMASSA DE ASSENTAMENTO COM PREPARO EM BETONEIRA. AF_05/2020</v>
      </c>
      <c r="E1211" s="126" t="str">
        <f>IF(A1211="COMPOSIÇÃO",VLOOKUP(C1211,'SINAPI_COMPOSIÇÕES 062020'!A:C,3,FALSE),VLOOKUP(C1211,'SINAPI_INSUMOS 062020'!A:C,3,FALSE))</f>
        <v>M2</v>
      </c>
      <c r="F1211" s="74">
        <v>1.68</v>
      </c>
      <c r="G1211" s="128">
        <f>IF(A1211="COMPOSIÇÃO",VLOOKUP(C1211,'SINAPI_COMPOSIÇÕES 062020'!A:D,4,FALSE),VLOOKUP(C1211,'SINAPI_INSUMOS 062020'!A:D,4,FALSE))</f>
        <v>85.12</v>
      </c>
      <c r="H1211" s="75">
        <f t="shared" ref="H1211:H1220" si="90">TRUNC(G1211*F1211,2)</f>
        <v>143</v>
      </c>
    </row>
    <row r="1212" spans="1:8" ht="25.5" x14ac:dyDescent="0.25">
      <c r="A1212" s="125" t="s">
        <v>400</v>
      </c>
      <c r="B1212" s="115" t="s">
        <v>9</v>
      </c>
      <c r="C1212" s="115">
        <v>21062</v>
      </c>
      <c r="D1212" s="127" t="str">
        <f>IF(A1212="COMPOSIÇÃO",VLOOKUP(C1212,'SINAPI_COMPOSIÇÕES 062020'!A:B,2,FALSE),VLOOKUP(C1212,'SINAPI_INSUMOS 062020'!A:B,2,FALSE))</f>
        <v>RALO FOFO COM REQUADRO, QUADRADO 400 X 400 MM</v>
      </c>
      <c r="E1212" s="126" t="str">
        <f>IF(A1212="COMPOSIÇÃO",VLOOKUP(C1212,'SINAPI_COMPOSIÇÕES 062020'!A:C,3,FALSE),VLOOKUP(C1212,'SINAPI_INSUMOS 062020'!A:C,3,FALSE))</f>
        <v xml:space="preserve">UN    </v>
      </c>
      <c r="F1212" s="74">
        <v>1</v>
      </c>
      <c r="G1212" s="128">
        <f>IF(A1212="COMPOSIÇÃO",VLOOKUP(C1212,'SINAPI_COMPOSIÇÕES 062020'!A:D,4,FALSE),VLOOKUP(C1212,'SINAPI_INSUMOS 062020'!A:D,4,FALSE))</f>
        <v>144.16</v>
      </c>
      <c r="H1212" s="75">
        <f t="shared" si="90"/>
        <v>144.16</v>
      </c>
    </row>
    <row r="1213" spans="1:8" ht="51" x14ac:dyDescent="0.25">
      <c r="A1213" s="125" t="s">
        <v>398</v>
      </c>
      <c r="B1213" s="115" t="s">
        <v>9</v>
      </c>
      <c r="C1213" s="115">
        <v>94963</v>
      </c>
      <c r="D1213" s="127" t="str">
        <f>IF(A1213="COMPOSIÇÃO",VLOOKUP(C1213,'SINAPI_COMPOSIÇÕES 062020'!A:B,2,FALSE),VLOOKUP(C1213,'SINAPI_INSUMOS 062020'!A:B,2,FALSE))</f>
        <v>CONCRETO FCK = 15MPA, TRAÇO 1:3,4:3,5 (CIMENTO/ AREIA MÉDIA/ BRITA 1)  - PREPARO MECÂNICO COM BETONEIRA 400 L. AF_07/2016</v>
      </c>
      <c r="E1213" s="126" t="str">
        <f>IF(A1213="COMPOSIÇÃO",VLOOKUP(C1213,'SINAPI_COMPOSIÇÕES 062020'!A:C,3,FALSE),VLOOKUP(C1213,'SINAPI_INSUMOS 062020'!A:C,3,FALSE))</f>
        <v>M3</v>
      </c>
      <c r="F1213" s="74">
        <v>0.1152</v>
      </c>
      <c r="G1213" s="128">
        <f>IF(A1213="COMPOSIÇÃO",VLOOKUP(C1213,'SINAPI_COMPOSIÇÕES 062020'!A:D,4,FALSE),VLOOKUP(C1213,'SINAPI_INSUMOS 062020'!A:D,4,FALSE))</f>
        <v>284.12</v>
      </c>
      <c r="H1213" s="75">
        <f t="shared" si="90"/>
        <v>32.729999999999997</v>
      </c>
    </row>
    <row r="1214" spans="1:8" ht="38.25" x14ac:dyDescent="0.25">
      <c r="A1214" s="125" t="s">
        <v>398</v>
      </c>
      <c r="B1214" s="115" t="s">
        <v>9</v>
      </c>
      <c r="C1214" s="115">
        <v>92873</v>
      </c>
      <c r="D1214" s="127" t="str">
        <f>IF(A1214="COMPOSIÇÃO",VLOOKUP(C1214,'SINAPI_COMPOSIÇÕES 062020'!A:B,2,FALSE),VLOOKUP(C1214,'SINAPI_INSUMOS 062020'!A:B,2,FALSE))</f>
        <v>LANÇAMENTO COM USO DE BALDES, ADENSAMENTO E ACABAMENTO DE CONCRETO EM ESTRUTURAS. AF_12/2015</v>
      </c>
      <c r="E1214" s="126" t="str">
        <f>IF(A1214="COMPOSIÇÃO",VLOOKUP(C1214,'SINAPI_COMPOSIÇÕES 062020'!A:C,3,FALSE),VLOOKUP(C1214,'SINAPI_INSUMOS 062020'!A:C,3,FALSE))</f>
        <v>M3</v>
      </c>
      <c r="F1214" s="74">
        <v>0.1152</v>
      </c>
      <c r="G1214" s="128">
        <f>IF(A1214="COMPOSIÇÃO",VLOOKUP(C1214,'SINAPI_COMPOSIÇÕES 062020'!A:D,4,FALSE),VLOOKUP(C1214,'SINAPI_INSUMOS 062020'!A:D,4,FALSE))</f>
        <v>146.37</v>
      </c>
      <c r="H1214" s="75">
        <f t="shared" si="90"/>
        <v>16.86</v>
      </c>
    </row>
    <row r="1215" spans="1:8" ht="25.5" x14ac:dyDescent="0.25">
      <c r="A1215" s="125" t="s">
        <v>398</v>
      </c>
      <c r="B1215" s="115" t="s">
        <v>9</v>
      </c>
      <c r="C1215" s="115">
        <v>98557</v>
      </c>
      <c r="D1215" s="127" t="str">
        <f>IF(A1215="COMPOSIÇÃO",VLOOKUP(C1215,'SINAPI_COMPOSIÇÕES 062020'!A:B,2,FALSE),VLOOKUP(C1215,'SINAPI_INSUMOS 062020'!A:B,2,FALSE))</f>
        <v>IMPERMEABILIZAÇÃO DE SUPERFÍCIE COM EMULSÃO ASFÁLTICA, 2 DEMÃOS AF_06/2018</v>
      </c>
      <c r="E1215" s="126" t="str">
        <f>IF(A1215="COMPOSIÇÃO",VLOOKUP(C1215,'SINAPI_COMPOSIÇÕES 062020'!A:C,3,FALSE),VLOOKUP(C1215,'SINAPI_INSUMOS 062020'!A:C,3,FALSE))</f>
        <v>M2</v>
      </c>
      <c r="F1215" s="74">
        <v>1.44</v>
      </c>
      <c r="G1215" s="128">
        <f>IF(A1215="COMPOSIÇÃO",VLOOKUP(C1215,'SINAPI_COMPOSIÇÕES 062020'!A:D,4,FALSE),VLOOKUP(C1215,'SINAPI_INSUMOS 062020'!A:D,4,FALSE))</f>
        <v>23.61</v>
      </c>
      <c r="H1215" s="75">
        <f t="shared" si="90"/>
        <v>33.99</v>
      </c>
    </row>
    <row r="1216" spans="1:8" ht="89.25" x14ac:dyDescent="0.25">
      <c r="A1216" s="125" t="s">
        <v>398</v>
      </c>
      <c r="B1216" s="115" t="s">
        <v>9</v>
      </c>
      <c r="C1216" s="115">
        <v>89173</v>
      </c>
      <c r="D1216" s="127" t="str">
        <f>IF(A1216="COMPOSIÇÃO",VLOOKUP(C1216,'SINAPI_COMPOSIÇÕES 062020'!A:B,2,FALSE),VLOOKUP(C1216,'SINAPI_INSUMOS 062020'!A:B,2,FALSE))</f>
        <v>(COMPOSIÇÃO REPRESENTATIVA) DO SERVIÇO DE EMBOÇO/MASSA ÚNICA, APLICADO MANUALMENTE, TRAÇO 1:2:8, EM BETONEIRA DE 400L, PAREDES INTERNAS, COM EXECUÇÃO DE TALISCAS, EDIFICAÇÃO HABITACIONAL UNIFAMILIAR (CASAS) E EDIFICAÇÃO PÚBLICA PADRÃO. AF_12/2014</v>
      </c>
      <c r="E1216" s="126" t="str">
        <f>IF(A1216="COMPOSIÇÃO",VLOOKUP(C1216,'SINAPI_COMPOSIÇÕES 062020'!A:C,3,FALSE),VLOOKUP(C1216,'SINAPI_INSUMOS 062020'!A:C,3,FALSE))</f>
        <v>M2</v>
      </c>
      <c r="F1216" s="74">
        <v>1.44</v>
      </c>
      <c r="G1216" s="128">
        <f>IF(A1216="COMPOSIÇÃO",VLOOKUP(C1216,'SINAPI_COMPOSIÇÕES 062020'!A:D,4,FALSE),VLOOKUP(C1216,'SINAPI_INSUMOS 062020'!A:D,4,FALSE))</f>
        <v>23.77</v>
      </c>
      <c r="H1216" s="75">
        <f t="shared" si="90"/>
        <v>34.22</v>
      </c>
    </row>
    <row r="1217" spans="1:8" ht="38.25" x14ac:dyDescent="0.25">
      <c r="A1217" s="125" t="s">
        <v>398</v>
      </c>
      <c r="B1217" s="115" t="s">
        <v>9</v>
      </c>
      <c r="C1217" s="115">
        <v>94097</v>
      </c>
      <c r="D1217" s="127" t="str">
        <f>IF(A1217="COMPOSIÇÃO",VLOOKUP(C1217,'SINAPI_COMPOSIÇÕES 062020'!A:B,2,FALSE),VLOOKUP(C1217,'SINAPI_INSUMOS 062020'!A:B,2,FALSE))</f>
        <v>PREPARO DE FUNDO DE VALA COM LARGURA MENOR QUE 1,5 M, EM LOCAL COM NÍVEL BAIXO DE INTERFERÊNCIA. AF_06/2016</v>
      </c>
      <c r="E1217" s="126" t="str">
        <f>IF(A1217="COMPOSIÇÃO",VLOOKUP(C1217,'SINAPI_COMPOSIÇÕES 062020'!A:C,3,FALSE),VLOOKUP(C1217,'SINAPI_INSUMOS 062020'!A:C,3,FALSE))</f>
        <v>M2</v>
      </c>
      <c r="F1217" s="74">
        <v>0.64</v>
      </c>
      <c r="G1217" s="128">
        <f>IF(A1217="COMPOSIÇÃO",VLOOKUP(C1217,'SINAPI_COMPOSIÇÕES 062020'!A:D,4,FALSE),VLOOKUP(C1217,'SINAPI_INSUMOS 062020'!A:D,4,FALSE))</f>
        <v>4.17</v>
      </c>
      <c r="H1217" s="75">
        <f t="shared" si="90"/>
        <v>2.66</v>
      </c>
    </row>
    <row r="1218" spans="1:8" ht="38.25" x14ac:dyDescent="0.25">
      <c r="A1218" s="125" t="s">
        <v>398</v>
      </c>
      <c r="B1218" s="115" t="s">
        <v>9</v>
      </c>
      <c r="C1218" s="115">
        <v>96523</v>
      </c>
      <c r="D1218" s="127" t="str">
        <f>IF(A1218="COMPOSIÇÃO",VLOOKUP(C1218,'SINAPI_COMPOSIÇÕES 062020'!A:B,2,FALSE),VLOOKUP(C1218,'SINAPI_INSUMOS 062020'!A:B,2,FALSE))</f>
        <v>ESCAVAÇÃO MANUAL PARA BLOCO DE COROAMENTO OU SAPATA, COM PREVISÃO DE FÔRMA. AF_06/2017</v>
      </c>
      <c r="E1218" s="126" t="str">
        <f>IF(A1218="COMPOSIÇÃO",VLOOKUP(C1218,'SINAPI_COMPOSIÇÕES 062020'!A:C,3,FALSE),VLOOKUP(C1218,'SINAPI_INSUMOS 062020'!A:C,3,FALSE))</f>
        <v>M3</v>
      </c>
      <c r="F1218" s="74">
        <v>0.7</v>
      </c>
      <c r="G1218" s="128">
        <f>IF(A1218="COMPOSIÇÃO",VLOOKUP(C1218,'SINAPI_COMPOSIÇÕES 062020'!A:D,4,FALSE),VLOOKUP(C1218,'SINAPI_INSUMOS 062020'!A:D,4,FALSE))</f>
        <v>64.98</v>
      </c>
      <c r="H1218" s="75">
        <f t="shared" si="90"/>
        <v>45.48</v>
      </c>
    </row>
    <row r="1219" spans="1:8" ht="25.5" x14ac:dyDescent="0.25">
      <c r="A1219" s="125" t="s">
        <v>398</v>
      </c>
      <c r="B1219" s="115" t="s">
        <v>9</v>
      </c>
      <c r="C1219" s="115">
        <v>96995</v>
      </c>
      <c r="D1219" s="127" t="str">
        <f>IF(A1219="COMPOSIÇÃO",VLOOKUP(C1219,'SINAPI_COMPOSIÇÕES 062020'!A:B,2,FALSE),VLOOKUP(C1219,'SINAPI_INSUMOS 062020'!A:B,2,FALSE))</f>
        <v>REATERRO MANUAL APILOADO COM SOQUETE. AF_10/2017</v>
      </c>
      <c r="E1219" s="126" t="str">
        <f>IF(A1219="COMPOSIÇÃO",VLOOKUP(C1219,'SINAPI_COMPOSIÇÕES 062020'!A:C,3,FALSE),VLOOKUP(C1219,'SINAPI_INSUMOS 062020'!A:C,3,FALSE))</f>
        <v>M3</v>
      </c>
      <c r="F1219" s="74">
        <v>0.252</v>
      </c>
      <c r="G1219" s="128">
        <f>IF(A1219="COMPOSIÇÃO",VLOOKUP(C1219,'SINAPI_COMPOSIÇÕES 062020'!A:D,4,FALSE),VLOOKUP(C1219,'SINAPI_INSUMOS 062020'!A:D,4,FALSE))</f>
        <v>34.46</v>
      </c>
      <c r="H1219" s="75">
        <f t="shared" si="90"/>
        <v>8.68</v>
      </c>
    </row>
    <row r="1220" spans="1:8" ht="25.5" x14ac:dyDescent="0.25">
      <c r="A1220" s="125" t="s">
        <v>398</v>
      </c>
      <c r="B1220" s="115" t="s">
        <v>9</v>
      </c>
      <c r="C1220" s="115">
        <v>72897</v>
      </c>
      <c r="D1220" s="127" t="str">
        <f>IF(A1220="COMPOSIÇÃO",VLOOKUP(C1220,'SINAPI_COMPOSIÇÕES 062020'!A:B,2,FALSE),VLOOKUP(C1220,'SINAPI_INSUMOS 062020'!A:B,2,FALSE))</f>
        <v>CARGA MANUAL DE ENTULHO EM CAMINHAO BASCULANTE 6 M3</v>
      </c>
      <c r="E1220" s="126" t="str">
        <f>IF(A1220="COMPOSIÇÃO",VLOOKUP(C1220,'SINAPI_COMPOSIÇÕES 062020'!A:C,3,FALSE),VLOOKUP(C1220,'SINAPI_INSUMOS 062020'!A:C,3,FALSE))</f>
        <v>M3</v>
      </c>
      <c r="F1220" s="74">
        <v>0.44800000000000001</v>
      </c>
      <c r="G1220" s="128">
        <f>IF(A1220="COMPOSIÇÃO",VLOOKUP(C1220,'SINAPI_COMPOSIÇÕES 062020'!A:D,4,FALSE),VLOOKUP(C1220,'SINAPI_INSUMOS 062020'!A:D,4,FALSE))</f>
        <v>17.2</v>
      </c>
      <c r="H1220" s="75">
        <f t="shared" si="90"/>
        <v>7.7</v>
      </c>
    </row>
    <row r="1221" spans="1:8" ht="13.5" thickBot="1" x14ac:dyDescent="0.3">
      <c r="A1221" s="267" t="str">
        <f>CONCATENATE("TOTAL DO ÍTEM - ",A1207)</f>
        <v>TOTAL DO ÍTEM - MPMT-04181</v>
      </c>
      <c r="B1221" s="268"/>
      <c r="C1221" s="268"/>
      <c r="D1221" s="268"/>
      <c r="E1221" s="268"/>
      <c r="F1221" s="268"/>
      <c r="G1221" s="269"/>
      <c r="H1221" s="188">
        <f>TRUNC(SUM(H1211:H1220),2)</f>
        <v>469.48</v>
      </c>
    </row>
    <row r="1222" spans="1:8" ht="13.5" thickBot="1" x14ac:dyDescent="0.3">
      <c r="A1222" s="283" t="s">
        <v>12298</v>
      </c>
      <c r="B1222" s="284"/>
      <c r="C1222" s="284"/>
      <c r="D1222" s="284"/>
      <c r="E1222" s="284"/>
      <c r="F1222" s="284"/>
      <c r="G1222" s="284"/>
      <c r="H1222" s="285"/>
    </row>
    <row r="1223" spans="1:8" ht="13.5" thickBot="1" x14ac:dyDescent="0.3"/>
    <row r="1224" spans="1:8" ht="25.5" x14ac:dyDescent="0.25">
      <c r="A1224" s="120" t="s">
        <v>90</v>
      </c>
      <c r="B1224" s="286" t="s">
        <v>91</v>
      </c>
      <c r="C1224" s="287"/>
      <c r="D1224" s="287"/>
      <c r="E1224" s="287"/>
      <c r="F1224" s="287"/>
      <c r="G1224" s="288"/>
      <c r="H1224" s="121" t="s">
        <v>4</v>
      </c>
    </row>
    <row r="1225" spans="1:8" ht="13.5" thickBot="1" x14ac:dyDescent="0.3">
      <c r="A1225" s="113" t="s">
        <v>12299</v>
      </c>
      <c r="B1225" s="289" t="s">
        <v>12300</v>
      </c>
      <c r="C1225" s="290"/>
      <c r="D1225" s="290"/>
      <c r="E1225" s="290"/>
      <c r="F1225" s="290"/>
      <c r="G1225" s="291"/>
      <c r="H1225" s="114" t="s">
        <v>4</v>
      </c>
    </row>
    <row r="1226" spans="1:8" x14ac:dyDescent="0.25">
      <c r="A1226" s="273" t="s">
        <v>13834</v>
      </c>
      <c r="B1226" s="275" t="s">
        <v>92</v>
      </c>
      <c r="C1226" s="276"/>
      <c r="D1226" s="185" t="s">
        <v>398</v>
      </c>
      <c r="E1226" s="239" t="s">
        <v>93</v>
      </c>
      <c r="F1226" s="186">
        <v>0</v>
      </c>
      <c r="G1226" s="277" t="s">
        <v>94</v>
      </c>
      <c r="H1226" s="278"/>
    </row>
    <row r="1227" spans="1:8" x14ac:dyDescent="0.25">
      <c r="A1227" s="274"/>
      <c r="B1227" s="281" t="s">
        <v>95</v>
      </c>
      <c r="C1227" s="282"/>
      <c r="D1227" s="187">
        <v>43675</v>
      </c>
      <c r="E1227" s="240" t="s">
        <v>96</v>
      </c>
      <c r="F1227" s="187">
        <v>43675</v>
      </c>
      <c r="G1227" s="279"/>
      <c r="H1227" s="280"/>
    </row>
    <row r="1228" spans="1:8" x14ac:dyDescent="0.25">
      <c r="A1228" s="122" t="s">
        <v>11885</v>
      </c>
      <c r="B1228" s="123" t="s">
        <v>97</v>
      </c>
      <c r="C1228" s="123" t="s">
        <v>98</v>
      </c>
      <c r="D1228" s="123" t="s">
        <v>3</v>
      </c>
      <c r="E1228" s="123" t="s">
        <v>4</v>
      </c>
      <c r="F1228" s="123" t="s">
        <v>99</v>
      </c>
      <c r="G1228" s="123" t="s">
        <v>100</v>
      </c>
      <c r="H1228" s="124" t="s">
        <v>101</v>
      </c>
    </row>
    <row r="1229" spans="1:8" ht="51" x14ac:dyDescent="0.25">
      <c r="A1229" s="125" t="s">
        <v>398</v>
      </c>
      <c r="B1229" s="115" t="s">
        <v>9</v>
      </c>
      <c r="C1229" s="115">
        <v>5631</v>
      </c>
      <c r="D1229" s="127" t="str">
        <f>IF(A1229="COMPOSIÇÃO",VLOOKUP(C1229,'SINAPI_COMPOSIÇÕES 062020'!A:B,2,FALSE),VLOOKUP(C1229,'SINAPI_INSUMOS 062020'!A:B,2,FALSE))</f>
        <v>ESCAVADEIRA HIDRÁULICA SOBRE ESTEIRAS, CAÇAMBA 0,80 M3, PESO OPERACIONAL 17 T, POTENCIA BRUTA 111 HP - CHP DIURNO. AF_06/2014</v>
      </c>
      <c r="E1229" s="126" t="str">
        <f>IF(A1229="COMPOSIÇÃO",VLOOKUP(C1229,'SINAPI_COMPOSIÇÕES 062020'!A:C,3,FALSE),VLOOKUP(C1229,'SINAPI_INSUMOS 062020'!A:C,3,FALSE))</f>
        <v>CHP</v>
      </c>
      <c r="F1229" s="74">
        <f>0.3314*2.5</f>
        <v>0.8284999999999999</v>
      </c>
      <c r="G1229" s="128">
        <f>IF(A1229="COMPOSIÇÃO",VLOOKUP(C1229,'SINAPI_COMPOSIÇÕES 062020'!A:D,4,FALSE),VLOOKUP(C1229,'SINAPI_INSUMOS 062020'!A:D,4,FALSE))</f>
        <v>111.68</v>
      </c>
      <c r="H1229" s="75">
        <f t="shared" ref="H1229:H1240" si="91">TRUNC(G1229*F1229,2)</f>
        <v>92.52</v>
      </c>
    </row>
    <row r="1230" spans="1:8" ht="51" x14ac:dyDescent="0.25">
      <c r="A1230" s="125" t="s">
        <v>398</v>
      </c>
      <c r="B1230" s="115" t="s">
        <v>9</v>
      </c>
      <c r="C1230" s="115">
        <v>5632</v>
      </c>
      <c r="D1230" s="127" t="str">
        <f>IF(A1230="COMPOSIÇÃO",VLOOKUP(C1230,'SINAPI_COMPOSIÇÕES 062020'!A:B,2,FALSE),VLOOKUP(C1230,'SINAPI_INSUMOS 062020'!A:B,2,FALSE))</f>
        <v>ESCAVADEIRA HIDRÁULICA SOBRE ESTEIRAS, CAÇAMBA 0,80 M3, PESO OPERACIONAL 17 T, POTENCIA BRUTA 111 HP - CHI DIURNO. AF_06/2014</v>
      </c>
      <c r="E1230" s="126" t="str">
        <f>IF(A1230="COMPOSIÇÃO",VLOOKUP(C1230,'SINAPI_COMPOSIÇÕES 062020'!A:C,3,FALSE),VLOOKUP(C1230,'SINAPI_INSUMOS 062020'!A:C,3,FALSE))</f>
        <v>CHI</v>
      </c>
      <c r="F1230" s="74">
        <f>0.6991*2.5</f>
        <v>1.7477500000000001</v>
      </c>
      <c r="G1230" s="128">
        <f>IF(A1230="COMPOSIÇÃO",VLOOKUP(C1230,'SINAPI_COMPOSIÇÕES 062020'!A:D,4,FALSE),VLOOKUP(C1230,'SINAPI_INSUMOS 062020'!A:D,4,FALSE))</f>
        <v>45.07</v>
      </c>
      <c r="H1230" s="75">
        <f t="shared" si="91"/>
        <v>78.77</v>
      </c>
    </row>
    <row r="1231" spans="1:8" ht="25.5" x14ac:dyDescent="0.25">
      <c r="A1231" s="125" t="s">
        <v>398</v>
      </c>
      <c r="B1231" s="115" t="s">
        <v>9</v>
      </c>
      <c r="C1231" s="115">
        <v>88246</v>
      </c>
      <c r="D1231" s="127" t="str">
        <f>IF(A1231="COMPOSIÇÃO",VLOOKUP(C1231,'SINAPI_COMPOSIÇÕES 062020'!A:B,2,FALSE),VLOOKUP(C1231,'SINAPI_INSUMOS 062020'!A:B,2,FALSE))</f>
        <v>ASSENTADOR DE TUBOS COM ENCARGOS COMPLEMENTARES</v>
      </c>
      <c r="E1231" s="126" t="str">
        <f>IF(A1231="COMPOSIÇÃO",VLOOKUP(C1231,'SINAPI_COMPOSIÇÕES 062020'!A:C,3,FALSE),VLOOKUP(C1231,'SINAPI_INSUMOS 062020'!A:C,3,FALSE))</f>
        <v>H</v>
      </c>
      <c r="F1231" s="74">
        <f>1.5615*2.5</f>
        <v>3.9037500000000005</v>
      </c>
      <c r="G1231" s="128">
        <f>IF(A1231="COMPOSIÇÃO",VLOOKUP(C1231,'SINAPI_COMPOSIÇÕES 062020'!A:D,4,FALSE),VLOOKUP(C1231,'SINAPI_INSUMOS 062020'!A:D,4,FALSE))</f>
        <v>14.83</v>
      </c>
      <c r="H1231" s="75">
        <f t="shared" si="91"/>
        <v>57.89</v>
      </c>
    </row>
    <row r="1232" spans="1:8" ht="25.5" x14ac:dyDescent="0.25">
      <c r="A1232" s="125" t="s">
        <v>398</v>
      </c>
      <c r="B1232" s="115" t="s">
        <v>9</v>
      </c>
      <c r="C1232" s="115">
        <v>88316</v>
      </c>
      <c r="D1232" s="127" t="str">
        <f>IF(A1232="COMPOSIÇÃO",VLOOKUP(C1232,'SINAPI_COMPOSIÇÕES 062020'!A:B,2,FALSE),VLOOKUP(C1232,'SINAPI_INSUMOS 062020'!A:B,2,FALSE))</f>
        <v>SERVENTE COM ENCARGOS COMPLEMENTARES</v>
      </c>
      <c r="E1232" s="126" t="str">
        <f>IF(A1232="COMPOSIÇÃO",VLOOKUP(C1232,'SINAPI_COMPOSIÇÕES 062020'!A:C,3,FALSE),VLOOKUP(C1232,'SINAPI_INSUMOS 062020'!A:C,3,FALSE))</f>
        <v>H</v>
      </c>
      <c r="F1232" s="74">
        <f>3.1213*2.5</f>
        <v>7.8032500000000002</v>
      </c>
      <c r="G1232" s="128">
        <f>IF(A1232="COMPOSIÇÃO",VLOOKUP(C1232,'SINAPI_COMPOSIÇÕES 062020'!A:D,4,FALSE),VLOOKUP(C1232,'SINAPI_INSUMOS 062020'!A:D,4,FALSE))</f>
        <v>14.37</v>
      </c>
      <c r="H1232" s="75">
        <f t="shared" si="91"/>
        <v>112.13</v>
      </c>
    </row>
    <row r="1233" spans="1:8" ht="38.25" x14ac:dyDescent="0.25">
      <c r="A1233" s="125" t="s">
        <v>398</v>
      </c>
      <c r="B1233" s="115" t="s">
        <v>9</v>
      </c>
      <c r="C1233" s="115">
        <v>88629</v>
      </c>
      <c r="D1233" s="127" t="str">
        <f>IF(A1233="COMPOSIÇÃO",VLOOKUP(C1233,'SINAPI_COMPOSIÇÕES 062020'!A:B,2,FALSE),VLOOKUP(C1233,'SINAPI_INSUMOS 062020'!A:B,2,FALSE))</f>
        <v>ARGAMASSA TRAÇO 1:3 (EM VOLUME DE CIMENTO E AREIA MÉDIA ÚMIDA), PREPARO MANUAL. AF_08/2019</v>
      </c>
      <c r="E1233" s="126" t="str">
        <f>IF(A1233="COMPOSIÇÃO",VLOOKUP(C1233,'SINAPI_COMPOSIÇÕES 062020'!A:C,3,FALSE),VLOOKUP(C1233,'SINAPI_INSUMOS 062020'!A:C,3,FALSE))</f>
        <v>M3</v>
      </c>
      <c r="F1233" s="74">
        <f>0.0462*2.5</f>
        <v>0.11549999999999999</v>
      </c>
      <c r="G1233" s="128">
        <f>IF(A1233="COMPOSIÇÃO",VLOOKUP(C1233,'SINAPI_COMPOSIÇÕES 062020'!A:D,4,FALSE),VLOOKUP(C1233,'SINAPI_INSUMOS 062020'!A:D,4,FALSE))</f>
        <v>426.67</v>
      </c>
      <c r="H1233" s="75">
        <f t="shared" si="91"/>
        <v>49.28</v>
      </c>
    </row>
    <row r="1234" spans="1:8" ht="25.5" x14ac:dyDescent="0.25">
      <c r="A1234" s="125" t="s">
        <v>400</v>
      </c>
      <c r="B1234" s="115" t="s">
        <v>9</v>
      </c>
      <c r="C1234" s="115">
        <v>12565</v>
      </c>
      <c r="D1234" s="127" t="str">
        <f>IF(A1234="COMPOSIÇÃO",VLOOKUP(C1234,'SINAPI_COMPOSIÇÕES 062020'!A:B,2,FALSE),VLOOKUP(C1234,'SINAPI_INSUMOS 062020'!A:B,2,FALSE))</f>
        <v>ANEL DE CONCRETO ARMADO, D = 2,00 M, H = 0,50 M</v>
      </c>
      <c r="E1234" s="126" t="str">
        <f>IF(A1234="COMPOSIÇÃO",VLOOKUP(C1234,'SINAPI_COMPOSIÇÕES 062020'!A:C,3,FALSE),VLOOKUP(C1234,'SINAPI_INSUMOS 062020'!A:C,3,FALSE))</f>
        <v xml:space="preserve">UN    </v>
      </c>
      <c r="F1234" s="74">
        <v>4</v>
      </c>
      <c r="G1234" s="128">
        <f>IF(A1234="COMPOSIÇÃO",VLOOKUP(C1234,'SINAPI_COMPOSIÇÕES 062020'!A:D,4,FALSE),VLOOKUP(C1234,'SINAPI_INSUMOS 062020'!A:D,4,FALSE))</f>
        <v>371.38</v>
      </c>
      <c r="H1234" s="75">
        <f t="shared" si="91"/>
        <v>1485.52</v>
      </c>
    </row>
    <row r="1235" spans="1:8" ht="114.75" x14ac:dyDescent="0.25">
      <c r="A1235" s="125" t="s">
        <v>398</v>
      </c>
      <c r="B1235" s="115" t="s">
        <v>9</v>
      </c>
      <c r="C1235" s="115">
        <v>90108</v>
      </c>
      <c r="D1235" s="127" t="str">
        <f>IF(A1235="COMPOSIÇÃO",VLOOKUP(C1235,'SINAPI_COMPOSIÇÕES 062020'!A:B,2,FALSE),VLOOKUP(C1235,'SINAPI_INSUMOS 062020'!A:B,2,FALSE))</f>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
      <c r="E1235" s="126" t="str">
        <f>IF(A1235="COMPOSIÇÃO",VLOOKUP(C1235,'SINAPI_COMPOSIÇÕES 062020'!A:C,3,FALSE),VLOOKUP(C1235,'SINAPI_INSUMOS 062020'!A:C,3,FALSE))</f>
        <v>M3</v>
      </c>
      <c r="F1235" s="74">
        <f>PI()*(1^2)*3.7</f>
        <v>11.623892818282235</v>
      </c>
      <c r="G1235" s="128">
        <f>IF(A1235="COMPOSIÇÃO",VLOOKUP(C1235,'SINAPI_COMPOSIÇÕES 062020'!A:D,4,FALSE),VLOOKUP(C1235,'SINAPI_INSUMOS 062020'!A:D,4,FALSE))</f>
        <v>4.07</v>
      </c>
      <c r="H1235" s="75">
        <f t="shared" si="91"/>
        <v>47.3</v>
      </c>
    </row>
    <row r="1236" spans="1:8" ht="51" x14ac:dyDescent="0.25">
      <c r="A1236" s="125" t="s">
        <v>398</v>
      </c>
      <c r="B1236" s="115" t="s">
        <v>9</v>
      </c>
      <c r="C1236" s="115">
        <v>98051</v>
      </c>
      <c r="D1236" s="127" t="str">
        <f>IF(A1236="COMPOSIÇÃO",VLOOKUP(C1236,'SINAPI_COMPOSIÇÕES 062020'!A:B,2,FALSE),VLOOKUP(C1236,'SINAPI_INSUMOS 062020'!A:B,2,FALSE))</f>
        <v>CHAMINÉ CIRCULAR PARA POÇO DE VISITA PARA ESGOTO, EM ALVENARIA COM TIJOLOS CERÂMICOS MACIÇOS, DIÂMETRO INTERNO = 0,6 M. AF_05/2018</v>
      </c>
      <c r="E1236" s="126" t="str">
        <f>IF(A1236="COMPOSIÇÃO",VLOOKUP(C1236,'SINAPI_COMPOSIÇÕES 062020'!A:C,3,FALSE),VLOOKUP(C1236,'SINAPI_INSUMOS 062020'!A:C,3,FALSE))</f>
        <v>M</v>
      </c>
      <c r="F1236" s="74">
        <v>1.05</v>
      </c>
      <c r="G1236" s="128">
        <f>IF(A1236="COMPOSIÇÃO",VLOOKUP(C1236,'SINAPI_COMPOSIÇÕES 062020'!A:D,4,FALSE),VLOOKUP(C1236,'SINAPI_INSUMOS 062020'!A:D,4,FALSE))</f>
        <v>710.24</v>
      </c>
      <c r="H1236" s="75">
        <f t="shared" si="91"/>
        <v>745.75</v>
      </c>
    </row>
    <row r="1237" spans="1:8" ht="25.5" x14ac:dyDescent="0.25">
      <c r="A1237" s="125" t="s">
        <v>398</v>
      </c>
      <c r="B1237" s="115" t="s">
        <v>9</v>
      </c>
      <c r="C1237" s="115">
        <v>96620</v>
      </c>
      <c r="D1237" s="127" t="str">
        <f>IF(A1237="COMPOSIÇÃO",VLOOKUP(C1237,'SINAPI_COMPOSIÇÕES 062020'!A:B,2,FALSE),VLOOKUP(C1237,'SINAPI_INSUMOS 062020'!A:B,2,FALSE))</f>
        <v>LASTRO DE CONCRETO MAGRO, APLICADO EM PISOS OU RADIERS. AF_08/2017</v>
      </c>
      <c r="E1237" s="126" t="str">
        <f>IF(A1237="COMPOSIÇÃO",VLOOKUP(C1237,'SINAPI_COMPOSIÇÕES 062020'!A:C,3,FALSE),VLOOKUP(C1237,'SINAPI_INSUMOS 062020'!A:C,3,FALSE))</f>
        <v>M3</v>
      </c>
      <c r="F1237" s="74">
        <f>PI()*(1^2)*0.1</f>
        <v>0.31415926535897931</v>
      </c>
      <c r="G1237" s="128">
        <f>IF(A1237="COMPOSIÇÃO",VLOOKUP(C1237,'SINAPI_COMPOSIÇÕES 062020'!A:D,4,FALSE),VLOOKUP(C1237,'SINAPI_INSUMOS 062020'!A:D,4,FALSE))</f>
        <v>404.93</v>
      </c>
      <c r="H1237" s="75">
        <f t="shared" si="91"/>
        <v>127.21</v>
      </c>
    </row>
    <row r="1238" spans="1:8" ht="51" x14ac:dyDescent="0.25">
      <c r="A1238" s="125" t="s">
        <v>398</v>
      </c>
      <c r="B1238" s="115" t="s">
        <v>9</v>
      </c>
      <c r="C1238" s="115">
        <v>94099</v>
      </c>
      <c r="D1238" s="127" t="str">
        <f>IF(A1238="COMPOSIÇÃO",VLOOKUP(C1238,'SINAPI_COMPOSIÇÕES 062020'!A:B,2,FALSE),VLOOKUP(C1238,'SINAPI_INSUMOS 062020'!A:B,2,FALSE))</f>
        <v>PREPARO DE FUNDO DE VALA COM LARGURA MAIOR OU IGUAL A 1,5 M E MENOR QUE 2,5 M, EM LOCAL COM NÍVEL BAIXO DE INTERFERÊNCIA. AF_06/2016</v>
      </c>
      <c r="E1238" s="126" t="str">
        <f>IF(A1238="COMPOSIÇÃO",VLOOKUP(C1238,'SINAPI_COMPOSIÇÕES 062020'!A:C,3,FALSE),VLOOKUP(C1238,'SINAPI_INSUMOS 062020'!A:C,3,FALSE))</f>
        <v>M2</v>
      </c>
      <c r="F1238" s="74">
        <f>PI()*(1^2)</f>
        <v>3.1415926535897931</v>
      </c>
      <c r="G1238" s="128">
        <f>IF(A1238="COMPOSIÇÃO",VLOOKUP(C1238,'SINAPI_COMPOSIÇÕES 062020'!A:D,4,FALSE),VLOOKUP(C1238,'SINAPI_INSUMOS 062020'!A:D,4,FALSE))</f>
        <v>2.09</v>
      </c>
      <c r="H1238" s="75">
        <f t="shared" si="91"/>
        <v>6.56</v>
      </c>
    </row>
    <row r="1239" spans="1:8" ht="25.5" x14ac:dyDescent="0.25">
      <c r="A1239" s="125" t="s">
        <v>398</v>
      </c>
      <c r="B1239" s="115" t="s">
        <v>9</v>
      </c>
      <c r="C1239" s="115">
        <v>96995</v>
      </c>
      <c r="D1239" s="127" t="str">
        <f>IF(A1239="COMPOSIÇÃO",VLOOKUP(C1239,'SINAPI_COMPOSIÇÕES 062020'!A:B,2,FALSE),VLOOKUP(C1239,'SINAPI_INSUMOS 062020'!A:B,2,FALSE))</f>
        <v>REATERRO MANUAL APILOADO COM SOQUETE. AF_10/2017</v>
      </c>
      <c r="E1239" s="126" t="str">
        <f>IF(A1239="COMPOSIÇÃO",VLOOKUP(C1239,'SINAPI_COMPOSIÇÕES 062020'!A:C,3,FALSE),VLOOKUP(C1239,'SINAPI_INSUMOS 062020'!A:C,3,FALSE))</f>
        <v>M3</v>
      </c>
      <c r="F1239" s="74">
        <f>(F1235*0.1)+(PI()*(1^2)*0.95)</f>
        <v>4.1469023027385266</v>
      </c>
      <c r="G1239" s="128">
        <f>IF(A1239="COMPOSIÇÃO",VLOOKUP(C1239,'SINAPI_COMPOSIÇÕES 062020'!A:D,4,FALSE),VLOOKUP(C1239,'SINAPI_INSUMOS 062020'!A:D,4,FALSE))</f>
        <v>34.46</v>
      </c>
      <c r="H1239" s="75">
        <f t="shared" si="91"/>
        <v>142.9</v>
      </c>
    </row>
    <row r="1240" spans="1:8" ht="38.25" x14ac:dyDescent="0.25">
      <c r="A1240" s="125" t="s">
        <v>398</v>
      </c>
      <c r="B1240" s="115" t="s">
        <v>9</v>
      </c>
      <c r="C1240" s="115">
        <v>97740</v>
      </c>
      <c r="D1240" s="127" t="str">
        <f>IF(A1240="COMPOSIÇÃO",VLOOKUP(C1240,'SINAPI_COMPOSIÇÕES 062020'!A:B,2,FALSE),VLOOKUP(C1240,'SINAPI_INSUMOS 062020'!A:B,2,FALSE))</f>
        <v>PEÇA CIRCULAR PRÉ-MOLDADA, VOLUME DE CONCRETO ACIMA DE 100 LITROS, TAXA DE AÇO APROXIMADA DE 30KG/M³. AF_01/2018</v>
      </c>
      <c r="E1240" s="126" t="str">
        <f>IF(A1240="COMPOSIÇÃO",VLOOKUP(C1240,'SINAPI_COMPOSIÇÕES 062020'!A:C,3,FALSE),VLOOKUP(C1240,'SINAPI_INSUMOS 062020'!A:C,3,FALSE))</f>
        <v>M3</v>
      </c>
      <c r="F1240" s="74">
        <v>0.68</v>
      </c>
      <c r="G1240" s="128">
        <f>IF(A1240="COMPOSIÇÃO",VLOOKUP(C1240,'SINAPI_COMPOSIÇÕES 062020'!A:D,4,FALSE),VLOOKUP(C1240,'SINAPI_INSUMOS 062020'!A:D,4,FALSE))</f>
        <v>1342.23</v>
      </c>
      <c r="H1240" s="75">
        <f t="shared" si="91"/>
        <v>912.71</v>
      </c>
    </row>
    <row r="1241" spans="1:8" ht="13.5" thickBot="1" x14ac:dyDescent="0.3">
      <c r="A1241" s="267" t="str">
        <f>CONCATENATE("TOTAL DO ÍTEM - ",A1225)</f>
        <v>TOTAL DO ÍTEM - MPMT-04269</v>
      </c>
      <c r="B1241" s="268"/>
      <c r="C1241" s="268"/>
      <c r="D1241" s="268"/>
      <c r="E1241" s="268"/>
      <c r="F1241" s="268"/>
      <c r="G1241" s="269"/>
      <c r="H1241" s="188">
        <f>TRUNC(SUM(H1229:H1240),2)</f>
        <v>3858.54</v>
      </c>
    </row>
    <row r="1242" spans="1:8" ht="13.5" thickBot="1" x14ac:dyDescent="0.3">
      <c r="A1242" s="299" t="s">
        <v>12301</v>
      </c>
      <c r="B1242" s="300"/>
      <c r="C1242" s="300"/>
      <c r="D1242" s="300"/>
      <c r="E1242" s="300"/>
      <c r="F1242" s="300"/>
      <c r="G1242" s="300"/>
      <c r="H1242" s="301"/>
    </row>
    <row r="1243" spans="1:8" ht="13.5" thickBot="1" x14ac:dyDescent="0.3"/>
    <row r="1244" spans="1:8" ht="25.5" x14ac:dyDescent="0.25">
      <c r="A1244" s="120" t="s">
        <v>90</v>
      </c>
      <c r="B1244" s="286" t="s">
        <v>91</v>
      </c>
      <c r="C1244" s="287"/>
      <c r="D1244" s="287"/>
      <c r="E1244" s="287"/>
      <c r="F1244" s="287"/>
      <c r="G1244" s="288"/>
      <c r="H1244" s="121" t="s">
        <v>4</v>
      </c>
    </row>
    <row r="1245" spans="1:8" ht="13.5" thickBot="1" x14ac:dyDescent="0.3">
      <c r="A1245" s="113" t="s">
        <v>12302</v>
      </c>
      <c r="B1245" s="289" t="s">
        <v>12303</v>
      </c>
      <c r="C1245" s="290"/>
      <c r="D1245" s="290"/>
      <c r="E1245" s="290"/>
      <c r="F1245" s="290"/>
      <c r="G1245" s="291"/>
      <c r="H1245" s="114" t="s">
        <v>4</v>
      </c>
    </row>
    <row r="1246" spans="1:8" x14ac:dyDescent="0.25">
      <c r="A1246" s="273" t="s">
        <v>13834</v>
      </c>
      <c r="B1246" s="275" t="s">
        <v>92</v>
      </c>
      <c r="C1246" s="276"/>
      <c r="D1246" s="185" t="s">
        <v>398</v>
      </c>
      <c r="E1246" s="239" t="s">
        <v>93</v>
      </c>
      <c r="F1246" s="186">
        <v>0</v>
      </c>
      <c r="G1246" s="277" t="s">
        <v>94</v>
      </c>
      <c r="H1246" s="278"/>
    </row>
    <row r="1247" spans="1:8" x14ac:dyDescent="0.25">
      <c r="A1247" s="274"/>
      <c r="B1247" s="281" t="s">
        <v>95</v>
      </c>
      <c r="C1247" s="282"/>
      <c r="D1247" s="187">
        <v>43675</v>
      </c>
      <c r="E1247" s="240" t="s">
        <v>96</v>
      </c>
      <c r="F1247" s="187">
        <v>43675</v>
      </c>
      <c r="G1247" s="279"/>
      <c r="H1247" s="280"/>
    </row>
    <row r="1248" spans="1:8" x14ac:dyDescent="0.25">
      <c r="A1248" s="122" t="s">
        <v>11885</v>
      </c>
      <c r="B1248" s="123" t="s">
        <v>97</v>
      </c>
      <c r="C1248" s="123" t="s">
        <v>98</v>
      </c>
      <c r="D1248" s="123" t="s">
        <v>3</v>
      </c>
      <c r="E1248" s="123" t="s">
        <v>4</v>
      </c>
      <c r="F1248" s="123" t="s">
        <v>99</v>
      </c>
      <c r="G1248" s="123" t="s">
        <v>100</v>
      </c>
      <c r="H1248" s="124" t="s">
        <v>101</v>
      </c>
    </row>
    <row r="1249" spans="1:8" ht="51" x14ac:dyDescent="0.25">
      <c r="A1249" s="125" t="s">
        <v>398</v>
      </c>
      <c r="B1249" s="115" t="s">
        <v>9</v>
      </c>
      <c r="C1249" s="115">
        <v>5631</v>
      </c>
      <c r="D1249" s="127" t="str">
        <f>IF(A1249="COMPOSIÇÃO",VLOOKUP(C1249,'SINAPI_COMPOSIÇÕES 062020'!A:B,2,FALSE),VLOOKUP(C1249,'SINAPI_INSUMOS 062020'!A:B,2,FALSE))</f>
        <v>ESCAVADEIRA HIDRÁULICA SOBRE ESTEIRAS, CAÇAMBA 0,80 M3, PESO OPERACIONAL 17 T, POTENCIA BRUTA 111 HP - CHP DIURNO. AF_06/2014</v>
      </c>
      <c r="E1249" s="126" t="str">
        <f>IF(A1249="COMPOSIÇÃO",VLOOKUP(C1249,'SINAPI_COMPOSIÇÕES 062020'!A:C,3,FALSE),VLOOKUP(C1249,'SINAPI_INSUMOS 062020'!A:C,3,FALSE))</f>
        <v>CHP</v>
      </c>
      <c r="F1249" s="74">
        <f>0.3314*2.5</f>
        <v>0.8284999999999999</v>
      </c>
      <c r="G1249" s="128">
        <f>IF(A1249="COMPOSIÇÃO",VLOOKUP(C1249,'SINAPI_COMPOSIÇÕES 062020'!A:D,4,FALSE),VLOOKUP(C1249,'SINAPI_INSUMOS 062020'!A:D,4,FALSE))</f>
        <v>111.68</v>
      </c>
      <c r="H1249" s="75">
        <f t="shared" ref="H1249:H1261" si="92">TRUNC(G1249*F1249,2)</f>
        <v>92.52</v>
      </c>
    </row>
    <row r="1250" spans="1:8" ht="51" x14ac:dyDescent="0.25">
      <c r="A1250" s="125" t="s">
        <v>398</v>
      </c>
      <c r="B1250" s="115" t="s">
        <v>9</v>
      </c>
      <c r="C1250" s="115">
        <v>5632</v>
      </c>
      <c r="D1250" s="127" t="str">
        <f>IF(A1250="COMPOSIÇÃO",VLOOKUP(C1250,'SINAPI_COMPOSIÇÕES 062020'!A:B,2,FALSE),VLOOKUP(C1250,'SINAPI_INSUMOS 062020'!A:B,2,FALSE))</f>
        <v>ESCAVADEIRA HIDRÁULICA SOBRE ESTEIRAS, CAÇAMBA 0,80 M3, PESO OPERACIONAL 17 T, POTENCIA BRUTA 111 HP - CHI DIURNO. AF_06/2014</v>
      </c>
      <c r="E1250" s="126" t="str">
        <f>IF(A1250="COMPOSIÇÃO",VLOOKUP(C1250,'SINAPI_COMPOSIÇÕES 062020'!A:C,3,FALSE),VLOOKUP(C1250,'SINAPI_INSUMOS 062020'!A:C,3,FALSE))</f>
        <v>CHI</v>
      </c>
      <c r="F1250" s="74">
        <f>0.6991*2.5</f>
        <v>1.7477500000000001</v>
      </c>
      <c r="G1250" s="128">
        <f>IF(A1250="COMPOSIÇÃO",VLOOKUP(C1250,'SINAPI_COMPOSIÇÕES 062020'!A:D,4,FALSE),VLOOKUP(C1250,'SINAPI_INSUMOS 062020'!A:D,4,FALSE))</f>
        <v>45.07</v>
      </c>
      <c r="H1250" s="75">
        <f t="shared" si="92"/>
        <v>78.77</v>
      </c>
    </row>
    <row r="1251" spans="1:8" ht="25.5" x14ac:dyDescent="0.25">
      <c r="A1251" s="125" t="s">
        <v>398</v>
      </c>
      <c r="B1251" s="115" t="s">
        <v>9</v>
      </c>
      <c r="C1251" s="115">
        <v>88246</v>
      </c>
      <c r="D1251" s="127" t="str">
        <f>IF(A1251="COMPOSIÇÃO",VLOOKUP(C1251,'SINAPI_COMPOSIÇÕES 062020'!A:B,2,FALSE),VLOOKUP(C1251,'SINAPI_INSUMOS 062020'!A:B,2,FALSE))</f>
        <v>ASSENTADOR DE TUBOS COM ENCARGOS COMPLEMENTARES</v>
      </c>
      <c r="E1251" s="126" t="str">
        <f>IF(A1251="COMPOSIÇÃO",VLOOKUP(C1251,'SINAPI_COMPOSIÇÕES 062020'!A:C,3,FALSE),VLOOKUP(C1251,'SINAPI_INSUMOS 062020'!A:C,3,FALSE))</f>
        <v>H</v>
      </c>
      <c r="F1251" s="74">
        <f>1.5615*2.5</f>
        <v>3.9037500000000005</v>
      </c>
      <c r="G1251" s="128">
        <f>IF(A1251="COMPOSIÇÃO",VLOOKUP(C1251,'SINAPI_COMPOSIÇÕES 062020'!A:D,4,FALSE),VLOOKUP(C1251,'SINAPI_INSUMOS 062020'!A:D,4,FALSE))</f>
        <v>14.83</v>
      </c>
      <c r="H1251" s="75">
        <f t="shared" si="92"/>
        <v>57.89</v>
      </c>
    </row>
    <row r="1252" spans="1:8" ht="25.5" x14ac:dyDescent="0.25">
      <c r="A1252" s="125" t="s">
        <v>398</v>
      </c>
      <c r="B1252" s="115" t="s">
        <v>9</v>
      </c>
      <c r="C1252" s="115">
        <v>88316</v>
      </c>
      <c r="D1252" s="127" t="str">
        <f>IF(A1252="COMPOSIÇÃO",VLOOKUP(C1252,'SINAPI_COMPOSIÇÕES 062020'!A:B,2,FALSE),VLOOKUP(C1252,'SINAPI_INSUMOS 062020'!A:B,2,FALSE))</f>
        <v>SERVENTE COM ENCARGOS COMPLEMENTARES</v>
      </c>
      <c r="E1252" s="126" t="str">
        <f>IF(A1252="COMPOSIÇÃO",VLOOKUP(C1252,'SINAPI_COMPOSIÇÕES 062020'!A:C,3,FALSE),VLOOKUP(C1252,'SINAPI_INSUMOS 062020'!A:C,3,FALSE))</f>
        <v>H</v>
      </c>
      <c r="F1252" s="74">
        <f>3.1213*2.5</f>
        <v>7.8032500000000002</v>
      </c>
      <c r="G1252" s="128">
        <f>IF(A1252="COMPOSIÇÃO",VLOOKUP(C1252,'SINAPI_COMPOSIÇÕES 062020'!A:D,4,FALSE),VLOOKUP(C1252,'SINAPI_INSUMOS 062020'!A:D,4,FALSE))</f>
        <v>14.37</v>
      </c>
      <c r="H1252" s="75">
        <f t="shared" si="92"/>
        <v>112.13</v>
      </c>
    </row>
    <row r="1253" spans="1:8" ht="38.25" x14ac:dyDescent="0.25">
      <c r="A1253" s="125" t="s">
        <v>398</v>
      </c>
      <c r="B1253" s="115" t="s">
        <v>9</v>
      </c>
      <c r="C1253" s="115">
        <v>88629</v>
      </c>
      <c r="D1253" s="127" t="str">
        <f>IF(A1253="COMPOSIÇÃO",VLOOKUP(C1253,'SINAPI_COMPOSIÇÕES 062020'!A:B,2,FALSE),VLOOKUP(C1253,'SINAPI_INSUMOS 062020'!A:B,2,FALSE))</f>
        <v>ARGAMASSA TRAÇO 1:3 (EM VOLUME DE CIMENTO E AREIA MÉDIA ÚMIDA), PREPARO MANUAL. AF_08/2019</v>
      </c>
      <c r="E1253" s="126" t="str">
        <f>IF(A1253="COMPOSIÇÃO",VLOOKUP(C1253,'SINAPI_COMPOSIÇÕES 062020'!A:C,3,FALSE),VLOOKUP(C1253,'SINAPI_INSUMOS 062020'!A:C,3,FALSE))</f>
        <v>M3</v>
      </c>
      <c r="F1253" s="74">
        <f>0.0462*2.5</f>
        <v>0.11549999999999999</v>
      </c>
      <c r="G1253" s="128">
        <f>IF(A1253="COMPOSIÇÃO",VLOOKUP(C1253,'SINAPI_COMPOSIÇÕES 062020'!A:D,4,FALSE),VLOOKUP(C1253,'SINAPI_INSUMOS 062020'!A:D,4,FALSE))</f>
        <v>426.67</v>
      </c>
      <c r="H1253" s="75">
        <f t="shared" si="92"/>
        <v>49.28</v>
      </c>
    </row>
    <row r="1254" spans="1:8" ht="25.5" x14ac:dyDescent="0.25">
      <c r="A1254" s="125" t="s">
        <v>400</v>
      </c>
      <c r="B1254" s="115" t="s">
        <v>9</v>
      </c>
      <c r="C1254" s="115">
        <v>12565</v>
      </c>
      <c r="D1254" s="127" t="str">
        <f>IF(A1254="COMPOSIÇÃO",VLOOKUP(C1254,'SINAPI_COMPOSIÇÕES 062020'!A:B,2,FALSE),VLOOKUP(C1254,'SINAPI_INSUMOS 062020'!A:B,2,FALSE))</f>
        <v>ANEL DE CONCRETO ARMADO, D = 2,00 M, H = 0,50 M</v>
      </c>
      <c r="E1254" s="126" t="str">
        <f>IF(A1254="COMPOSIÇÃO",VLOOKUP(C1254,'SINAPI_COMPOSIÇÕES 062020'!A:C,3,FALSE),VLOOKUP(C1254,'SINAPI_INSUMOS 062020'!A:C,3,FALSE))</f>
        <v xml:space="preserve">UN    </v>
      </c>
      <c r="F1254" s="74">
        <v>4</v>
      </c>
      <c r="G1254" s="128">
        <f>IF(A1254="COMPOSIÇÃO",VLOOKUP(C1254,'SINAPI_COMPOSIÇÕES 062020'!A:D,4,FALSE),VLOOKUP(C1254,'SINAPI_INSUMOS 062020'!A:D,4,FALSE))</f>
        <v>371.38</v>
      </c>
      <c r="H1254" s="75">
        <f t="shared" si="92"/>
        <v>1485.52</v>
      </c>
    </row>
    <row r="1255" spans="1:8" ht="114.75" x14ac:dyDescent="0.25">
      <c r="A1255" s="125" t="s">
        <v>398</v>
      </c>
      <c r="B1255" s="115" t="s">
        <v>9</v>
      </c>
      <c r="C1255" s="115">
        <v>90108</v>
      </c>
      <c r="D1255" s="127" t="str">
        <f>IF(A1255="COMPOSIÇÃO",VLOOKUP(C1255,'SINAPI_COMPOSIÇÕES 062020'!A:B,2,FALSE),VLOOKUP(C1255,'SINAPI_INSUMOS 062020'!A:B,2,FALSE))</f>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
      <c r="E1255" s="126" t="str">
        <f>IF(A1255="COMPOSIÇÃO",VLOOKUP(C1255,'SINAPI_COMPOSIÇÕES 062020'!A:C,3,FALSE),VLOOKUP(C1255,'SINAPI_INSUMOS 062020'!A:C,3,FALSE))</f>
        <v>M3</v>
      </c>
      <c r="F1255" s="74">
        <f>PI()*(1^2)*3.7</f>
        <v>11.623892818282235</v>
      </c>
      <c r="G1255" s="128">
        <f>IF(A1255="COMPOSIÇÃO",VLOOKUP(C1255,'SINAPI_COMPOSIÇÕES 062020'!A:D,4,FALSE),VLOOKUP(C1255,'SINAPI_INSUMOS 062020'!A:D,4,FALSE))</f>
        <v>4.07</v>
      </c>
      <c r="H1255" s="75">
        <f t="shared" si="92"/>
        <v>47.3</v>
      </c>
    </row>
    <row r="1256" spans="1:8" ht="51" x14ac:dyDescent="0.25">
      <c r="A1256" s="125" t="s">
        <v>398</v>
      </c>
      <c r="B1256" s="115" t="s">
        <v>9</v>
      </c>
      <c r="C1256" s="115">
        <v>98051</v>
      </c>
      <c r="D1256" s="127" t="str">
        <f>IF(A1256="COMPOSIÇÃO",VLOOKUP(C1256,'SINAPI_COMPOSIÇÕES 062020'!A:B,2,FALSE),VLOOKUP(C1256,'SINAPI_INSUMOS 062020'!A:B,2,FALSE))</f>
        <v>CHAMINÉ CIRCULAR PARA POÇO DE VISITA PARA ESGOTO, EM ALVENARIA COM TIJOLOS CERÂMICOS MACIÇOS, DIÂMETRO INTERNO = 0,6 M. AF_05/2018</v>
      </c>
      <c r="E1256" s="126" t="str">
        <f>IF(A1256="COMPOSIÇÃO",VLOOKUP(C1256,'SINAPI_COMPOSIÇÕES 062020'!A:C,3,FALSE),VLOOKUP(C1256,'SINAPI_INSUMOS 062020'!A:C,3,FALSE))</f>
        <v>M</v>
      </c>
      <c r="F1256" s="74">
        <v>1.05</v>
      </c>
      <c r="G1256" s="128">
        <f>IF(A1256="COMPOSIÇÃO",VLOOKUP(C1256,'SINAPI_COMPOSIÇÕES 062020'!A:D,4,FALSE),VLOOKUP(C1256,'SINAPI_INSUMOS 062020'!A:D,4,FALSE))</f>
        <v>710.24</v>
      </c>
      <c r="H1256" s="75">
        <f t="shared" si="92"/>
        <v>745.75</v>
      </c>
    </row>
    <row r="1257" spans="1:8" ht="25.5" x14ac:dyDescent="0.25">
      <c r="A1257" s="125" t="s">
        <v>398</v>
      </c>
      <c r="B1257" s="115" t="s">
        <v>9</v>
      </c>
      <c r="C1257" s="115">
        <v>96620</v>
      </c>
      <c r="D1257" s="127" t="str">
        <f>IF(A1257="COMPOSIÇÃO",VLOOKUP(C1257,'SINAPI_COMPOSIÇÕES 062020'!A:B,2,FALSE),VLOOKUP(C1257,'SINAPI_INSUMOS 062020'!A:B,2,FALSE))</f>
        <v>LASTRO DE CONCRETO MAGRO, APLICADO EM PISOS OU RADIERS. AF_08/2017</v>
      </c>
      <c r="E1257" s="126" t="str">
        <f>IF(A1257="COMPOSIÇÃO",VLOOKUP(C1257,'SINAPI_COMPOSIÇÕES 062020'!A:C,3,FALSE),VLOOKUP(C1257,'SINAPI_INSUMOS 062020'!A:C,3,FALSE))</f>
        <v>M3</v>
      </c>
      <c r="F1257" s="74">
        <f>PI()*(1^2)*0.1</f>
        <v>0.31415926535897931</v>
      </c>
      <c r="G1257" s="128">
        <f>IF(A1257="COMPOSIÇÃO",VLOOKUP(C1257,'SINAPI_COMPOSIÇÕES 062020'!A:D,4,FALSE),VLOOKUP(C1257,'SINAPI_INSUMOS 062020'!A:D,4,FALSE))</f>
        <v>404.93</v>
      </c>
      <c r="H1257" s="75">
        <f t="shared" si="92"/>
        <v>127.21</v>
      </c>
    </row>
    <row r="1258" spans="1:8" ht="51" x14ac:dyDescent="0.25">
      <c r="A1258" s="125" t="s">
        <v>398</v>
      </c>
      <c r="B1258" s="115" t="s">
        <v>9</v>
      </c>
      <c r="C1258" s="115">
        <v>94099</v>
      </c>
      <c r="D1258" s="127" t="str">
        <f>IF(A1258="COMPOSIÇÃO",VLOOKUP(C1258,'SINAPI_COMPOSIÇÕES 062020'!A:B,2,FALSE),VLOOKUP(C1258,'SINAPI_INSUMOS 062020'!A:B,2,FALSE))</f>
        <v>PREPARO DE FUNDO DE VALA COM LARGURA MAIOR OU IGUAL A 1,5 M E MENOR QUE 2,5 M, EM LOCAL COM NÍVEL BAIXO DE INTERFERÊNCIA. AF_06/2016</v>
      </c>
      <c r="E1258" s="126" t="str">
        <f>IF(A1258="COMPOSIÇÃO",VLOOKUP(C1258,'SINAPI_COMPOSIÇÕES 062020'!A:C,3,FALSE),VLOOKUP(C1258,'SINAPI_INSUMOS 062020'!A:C,3,FALSE))</f>
        <v>M2</v>
      </c>
      <c r="F1258" s="74">
        <f>PI()*(1^2)</f>
        <v>3.1415926535897931</v>
      </c>
      <c r="G1258" s="128">
        <f>IF(A1258="COMPOSIÇÃO",VLOOKUP(C1258,'SINAPI_COMPOSIÇÕES 062020'!A:D,4,FALSE),VLOOKUP(C1258,'SINAPI_INSUMOS 062020'!A:D,4,FALSE))</f>
        <v>2.09</v>
      </c>
      <c r="H1258" s="75">
        <f t="shared" si="92"/>
        <v>6.56</v>
      </c>
    </row>
    <row r="1259" spans="1:8" ht="25.5" x14ac:dyDescent="0.25">
      <c r="A1259" s="125" t="s">
        <v>398</v>
      </c>
      <c r="B1259" s="115" t="s">
        <v>9</v>
      </c>
      <c r="C1259" s="115">
        <v>96995</v>
      </c>
      <c r="D1259" s="127" t="str">
        <f>IF(A1259="COMPOSIÇÃO",VLOOKUP(C1259,'SINAPI_COMPOSIÇÕES 062020'!A:B,2,FALSE),VLOOKUP(C1259,'SINAPI_INSUMOS 062020'!A:B,2,FALSE))</f>
        <v>REATERRO MANUAL APILOADO COM SOQUETE. AF_10/2017</v>
      </c>
      <c r="E1259" s="126" t="str">
        <f>IF(A1259="COMPOSIÇÃO",VLOOKUP(C1259,'SINAPI_COMPOSIÇÕES 062020'!A:C,3,FALSE),VLOOKUP(C1259,'SINAPI_INSUMOS 062020'!A:C,3,FALSE))</f>
        <v>M3</v>
      </c>
      <c r="F1259" s="74">
        <f>(F1255*0.1)+(PI()*(1^2)*0.98)</f>
        <v>4.2411500823462207</v>
      </c>
      <c r="G1259" s="128">
        <f>IF(A1259="COMPOSIÇÃO",VLOOKUP(C1259,'SINAPI_COMPOSIÇÕES 062020'!A:D,4,FALSE),VLOOKUP(C1259,'SINAPI_INSUMOS 062020'!A:D,4,FALSE))</f>
        <v>34.46</v>
      </c>
      <c r="H1259" s="75">
        <f t="shared" si="92"/>
        <v>146.15</v>
      </c>
    </row>
    <row r="1260" spans="1:8" ht="25.5" x14ac:dyDescent="0.25">
      <c r="A1260" s="125" t="s">
        <v>398</v>
      </c>
      <c r="B1260" s="115" t="s">
        <v>9</v>
      </c>
      <c r="C1260" s="115" t="s">
        <v>1869</v>
      </c>
      <c r="D1260" s="127" t="str">
        <f>IF(A1260="COMPOSIÇÃO",VLOOKUP(C1260,'SINAPI_COMPOSIÇÕES 062020'!A:B,2,FALSE),VLOOKUP(C1260,'SINAPI_INSUMOS 062020'!A:B,2,FALSE))</f>
        <v>EXECUCAO DE DRENO FRANCES COM BRITA NUM 2</v>
      </c>
      <c r="E1260" s="126" t="str">
        <f>IF(A1260="COMPOSIÇÃO",VLOOKUP(C1260,'SINAPI_COMPOSIÇÕES 062020'!A:C,3,FALSE),VLOOKUP(C1260,'SINAPI_INSUMOS 062020'!A:C,3,FALSE))</f>
        <v>M3</v>
      </c>
      <c r="F1260" s="74">
        <f>PI()*(1^2)*1.6</f>
        <v>5.026548245743669</v>
      </c>
      <c r="G1260" s="128">
        <f>IF(A1260="COMPOSIÇÃO",VLOOKUP(C1260,'SINAPI_COMPOSIÇÕES 062020'!A:D,4,FALSE),VLOOKUP(C1260,'SINAPI_INSUMOS 062020'!A:D,4,FALSE))</f>
        <v>120.74</v>
      </c>
      <c r="H1260" s="75">
        <f t="shared" si="92"/>
        <v>606.9</v>
      </c>
    </row>
    <row r="1261" spans="1:8" ht="38.25" x14ac:dyDescent="0.25">
      <c r="A1261" s="125" t="s">
        <v>398</v>
      </c>
      <c r="B1261" s="115" t="s">
        <v>9</v>
      </c>
      <c r="C1261" s="115">
        <v>97740</v>
      </c>
      <c r="D1261" s="127" t="str">
        <f>IF(A1261="COMPOSIÇÃO",VLOOKUP(C1261,'SINAPI_COMPOSIÇÕES 062020'!A:B,2,FALSE),VLOOKUP(C1261,'SINAPI_INSUMOS 062020'!A:B,2,FALSE))</f>
        <v>PEÇA CIRCULAR PRÉ-MOLDADA, VOLUME DE CONCRETO ACIMA DE 100 LITROS, TAXA DE AÇO APROXIMADA DE 30KG/M³. AF_01/2018</v>
      </c>
      <c r="E1261" s="126" t="str">
        <f>IF(A1261="COMPOSIÇÃO",VLOOKUP(C1261,'SINAPI_COMPOSIÇÕES 062020'!A:C,3,FALSE),VLOOKUP(C1261,'SINAPI_INSUMOS 062020'!A:C,3,FALSE))</f>
        <v>M3</v>
      </c>
      <c r="F1261" s="74">
        <v>0.68</v>
      </c>
      <c r="G1261" s="128">
        <f>IF(A1261="COMPOSIÇÃO",VLOOKUP(C1261,'SINAPI_COMPOSIÇÕES 062020'!A:D,4,FALSE),VLOOKUP(C1261,'SINAPI_INSUMOS 062020'!A:D,4,FALSE))</f>
        <v>1342.23</v>
      </c>
      <c r="H1261" s="75">
        <f t="shared" si="92"/>
        <v>912.71</v>
      </c>
    </row>
    <row r="1262" spans="1:8" ht="13.5" thickBot="1" x14ac:dyDescent="0.3">
      <c r="A1262" s="267" t="str">
        <f>CONCATENATE("TOTAL DO ÍTEM - ",A1245)</f>
        <v>TOTAL DO ÍTEM - MPMT-04304</v>
      </c>
      <c r="B1262" s="268"/>
      <c r="C1262" s="268"/>
      <c r="D1262" s="268"/>
      <c r="E1262" s="268"/>
      <c r="F1262" s="268"/>
      <c r="G1262" s="269"/>
      <c r="H1262" s="188">
        <f>TRUNC(SUM(H1249:H1261),2)</f>
        <v>4468.6899999999996</v>
      </c>
    </row>
    <row r="1263" spans="1:8" ht="13.5" thickBot="1" x14ac:dyDescent="0.3">
      <c r="A1263" s="299" t="s">
        <v>12301</v>
      </c>
      <c r="B1263" s="300"/>
      <c r="C1263" s="300"/>
      <c r="D1263" s="300"/>
      <c r="E1263" s="300"/>
      <c r="F1263" s="300"/>
      <c r="G1263" s="300"/>
      <c r="H1263" s="301"/>
    </row>
    <row r="1264" spans="1:8" ht="13.5" thickBot="1" x14ac:dyDescent="0.3"/>
    <row r="1265" spans="1:8" ht="25.5" x14ac:dyDescent="0.25">
      <c r="A1265" s="120" t="s">
        <v>90</v>
      </c>
      <c r="B1265" s="286" t="s">
        <v>91</v>
      </c>
      <c r="C1265" s="287"/>
      <c r="D1265" s="287"/>
      <c r="E1265" s="287"/>
      <c r="F1265" s="287"/>
      <c r="G1265" s="288"/>
      <c r="H1265" s="121" t="s">
        <v>4</v>
      </c>
    </row>
    <row r="1266" spans="1:8" ht="13.5" thickBot="1" x14ac:dyDescent="0.3">
      <c r="A1266" s="113" t="s">
        <v>12304</v>
      </c>
      <c r="B1266" s="289" t="s">
        <v>12305</v>
      </c>
      <c r="C1266" s="290"/>
      <c r="D1266" s="290"/>
      <c r="E1266" s="290"/>
      <c r="F1266" s="290"/>
      <c r="G1266" s="291"/>
      <c r="H1266" s="114" t="s">
        <v>4</v>
      </c>
    </row>
    <row r="1267" spans="1:8" x14ac:dyDescent="0.25">
      <c r="A1267" s="273" t="s">
        <v>13834</v>
      </c>
      <c r="B1267" s="275" t="s">
        <v>92</v>
      </c>
      <c r="C1267" s="276"/>
      <c r="D1267" s="185" t="s">
        <v>12306</v>
      </c>
      <c r="E1267" s="239" t="s">
        <v>93</v>
      </c>
      <c r="F1267" s="186">
        <v>0</v>
      </c>
      <c r="G1267" s="277" t="s">
        <v>94</v>
      </c>
      <c r="H1267" s="278"/>
    </row>
    <row r="1268" spans="1:8" x14ac:dyDescent="0.25">
      <c r="A1268" s="274"/>
      <c r="B1268" s="281" t="s">
        <v>95</v>
      </c>
      <c r="C1268" s="282"/>
      <c r="D1268" s="187">
        <v>44032</v>
      </c>
      <c r="E1268" s="240" t="s">
        <v>96</v>
      </c>
      <c r="F1268" s="187">
        <v>44032</v>
      </c>
      <c r="G1268" s="279"/>
      <c r="H1268" s="280"/>
    </row>
    <row r="1269" spans="1:8" x14ac:dyDescent="0.25">
      <c r="A1269" s="122" t="s">
        <v>11885</v>
      </c>
      <c r="B1269" s="123" t="s">
        <v>97</v>
      </c>
      <c r="C1269" s="123" t="s">
        <v>98</v>
      </c>
      <c r="D1269" s="123" t="s">
        <v>3</v>
      </c>
      <c r="E1269" s="123" t="s">
        <v>4</v>
      </c>
      <c r="F1269" s="123" t="s">
        <v>99</v>
      </c>
      <c r="G1269" s="123" t="s">
        <v>100</v>
      </c>
      <c r="H1269" s="124" t="s">
        <v>101</v>
      </c>
    </row>
    <row r="1270" spans="1:8" ht="89.25" x14ac:dyDescent="0.25">
      <c r="A1270" s="125" t="s">
        <v>398</v>
      </c>
      <c r="B1270" s="115" t="s">
        <v>9</v>
      </c>
      <c r="C1270" s="115">
        <v>5678</v>
      </c>
      <c r="D1270" s="127" t="str">
        <f>IF(A1270="COMPOSIÇÃO",VLOOKUP(C1270,'SINAPI_COMPOSIÇÕES 062020'!A:B,2,FALSE),VLOOKUP(C1270,'SINAPI_INSUMOS 062020'!A:B,2,FALSE))</f>
        <v>RETROESCAVADEIRA SOBRE RODAS COM CARREGADEIRA, TRAÇÃO 4X4, POTÊNCIA LÍQ. 88 HP, CAÇAMBA CARREG. CAP. MÍN. 1 M3, CAÇAMBA RETRO CAP. 0,26 M3, PESO OPERACIONAL MÍN. 6.674 KG, PROFUNDIDADE ESCAVAÇÃO MÁX. 4,37 M - CHP DIURNO. AF_06/2014</v>
      </c>
      <c r="E1270" s="126" t="str">
        <f>IF(A1270="COMPOSIÇÃO",VLOOKUP(C1270,'SINAPI_COMPOSIÇÕES 062020'!A:C,3,FALSE),VLOOKUP(C1270,'SINAPI_INSUMOS 062020'!A:C,3,FALSE))</f>
        <v>CHP</v>
      </c>
      <c r="F1270" s="74">
        <v>0.29260000000000003</v>
      </c>
      <c r="G1270" s="128">
        <f>IF(A1270="COMPOSIÇÃO",VLOOKUP(C1270,'SINAPI_COMPOSIÇÕES 062020'!A:D,4,FALSE),VLOOKUP(C1270,'SINAPI_INSUMOS 062020'!A:D,4,FALSE))</f>
        <v>79.45</v>
      </c>
      <c r="H1270" s="75">
        <f t="shared" ref="H1270:H1281" si="93">TRUNC(G1270*F1270,2)</f>
        <v>23.24</v>
      </c>
    </row>
    <row r="1271" spans="1:8" ht="89.25" x14ac:dyDescent="0.25">
      <c r="A1271" s="125" t="s">
        <v>398</v>
      </c>
      <c r="B1271" s="115" t="s">
        <v>9</v>
      </c>
      <c r="C1271" s="115">
        <v>5679</v>
      </c>
      <c r="D1271" s="127" t="str">
        <f>IF(A1271="COMPOSIÇÃO",VLOOKUP(C1271,'SINAPI_COMPOSIÇÕES 062020'!A:B,2,FALSE),VLOOKUP(C1271,'SINAPI_INSUMOS 062020'!A:B,2,FALSE))</f>
        <v>RETROESCAVADEIRA SOBRE RODAS COM CARREGADEIRA, TRAÇÃO 4X4, POTÊNCIA LÍQ. 88 HP, CAÇAMBA CARREG. CAP. MÍN. 1 M3, CAÇAMBA RETRO CAP. 0,26 M3, PESO OPERACIONAL MÍN. 6.674 KG, PROFUNDIDADE ESCAVAÇÃO MÁX. 4,37 M - CHI DIURNO. AF_06/2014</v>
      </c>
      <c r="E1271" s="126" t="str">
        <f>IF(A1271="COMPOSIÇÃO",VLOOKUP(C1271,'SINAPI_COMPOSIÇÕES 062020'!A:C,3,FALSE),VLOOKUP(C1271,'SINAPI_INSUMOS 062020'!A:C,3,FALSE))</f>
        <v>CHI</v>
      </c>
      <c r="F1271" s="74">
        <v>0.98409999999999997</v>
      </c>
      <c r="G1271" s="128">
        <f>IF(A1271="COMPOSIÇÃO",VLOOKUP(C1271,'SINAPI_COMPOSIÇÕES 062020'!A:D,4,FALSE),VLOOKUP(C1271,'SINAPI_INSUMOS 062020'!A:D,4,FALSE))</f>
        <v>32.6</v>
      </c>
      <c r="H1271" s="75">
        <f t="shared" si="93"/>
        <v>32.08</v>
      </c>
    </row>
    <row r="1272" spans="1:8" ht="25.5" x14ac:dyDescent="0.25">
      <c r="A1272" s="125" t="s">
        <v>398</v>
      </c>
      <c r="B1272" s="115" t="s">
        <v>9</v>
      </c>
      <c r="C1272" s="115">
        <v>88309</v>
      </c>
      <c r="D1272" s="127" t="str">
        <f>IF(A1272="COMPOSIÇÃO",VLOOKUP(C1272,'SINAPI_COMPOSIÇÕES 062020'!A:B,2,FALSE),VLOOKUP(C1272,'SINAPI_INSUMOS 062020'!A:B,2,FALSE))</f>
        <v>PEDREIRO COM ENCARGOS COMPLEMENTARES</v>
      </c>
      <c r="E1272" s="126" t="str">
        <f>IF(A1272="COMPOSIÇÃO",VLOOKUP(C1272,'SINAPI_COMPOSIÇÕES 062020'!A:C,3,FALSE),VLOOKUP(C1272,'SINAPI_INSUMOS 062020'!A:C,3,FALSE))</f>
        <v>H</v>
      </c>
      <c r="F1272" s="74">
        <v>64.587000000000003</v>
      </c>
      <c r="G1272" s="128">
        <f>IF(A1272="COMPOSIÇÃO",VLOOKUP(C1272,'SINAPI_COMPOSIÇÕES 062020'!A:D,4,FALSE),VLOOKUP(C1272,'SINAPI_INSUMOS 062020'!A:D,4,FALSE))</f>
        <v>17.760000000000002</v>
      </c>
      <c r="H1272" s="75">
        <f t="shared" si="93"/>
        <v>1147.06</v>
      </c>
    </row>
    <row r="1273" spans="1:8" ht="25.5" x14ac:dyDescent="0.25">
      <c r="A1273" s="125" t="s">
        <v>398</v>
      </c>
      <c r="B1273" s="115" t="s">
        <v>9</v>
      </c>
      <c r="C1273" s="115">
        <v>88316</v>
      </c>
      <c r="D1273" s="127" t="str">
        <f>IF(A1273="COMPOSIÇÃO",VLOOKUP(C1273,'SINAPI_COMPOSIÇÕES 062020'!A:B,2,FALSE),VLOOKUP(C1273,'SINAPI_INSUMOS 062020'!A:B,2,FALSE))</f>
        <v>SERVENTE COM ENCARGOS COMPLEMENTARES</v>
      </c>
      <c r="E1273" s="126" t="str">
        <f>IF(A1273="COMPOSIÇÃO",VLOOKUP(C1273,'SINAPI_COMPOSIÇÕES 062020'!A:C,3,FALSE),VLOOKUP(C1273,'SINAPI_INSUMOS 062020'!A:C,3,FALSE))</f>
        <v>H</v>
      </c>
      <c r="F1273" s="74">
        <v>64.587000000000003</v>
      </c>
      <c r="G1273" s="128">
        <f>IF(A1273="COMPOSIÇÃO",VLOOKUP(C1273,'SINAPI_COMPOSIÇÕES 062020'!A:D,4,FALSE),VLOOKUP(C1273,'SINAPI_INSUMOS 062020'!A:D,4,FALSE))</f>
        <v>14.37</v>
      </c>
      <c r="H1273" s="75">
        <f t="shared" si="93"/>
        <v>928.11</v>
      </c>
    </row>
    <row r="1274" spans="1:8" ht="51" x14ac:dyDescent="0.25">
      <c r="A1274" s="125" t="s">
        <v>398</v>
      </c>
      <c r="B1274" s="115" t="s">
        <v>9</v>
      </c>
      <c r="C1274" s="115">
        <v>88628</v>
      </c>
      <c r="D1274" s="127" t="str">
        <f>IF(A1274="COMPOSIÇÃO",VLOOKUP(C1274,'SINAPI_COMPOSIÇÕES 062020'!A:B,2,FALSE),VLOOKUP(C1274,'SINAPI_INSUMOS 062020'!A:B,2,FALSE))</f>
        <v>ARGAMASSA TRAÇO 1:3 (EM VOLUME DE CIMENTO E AREIA MÉDIA ÚMIDA), PREPARO MECÂNICO COM BETONEIRA 400 L. AF_08/2019</v>
      </c>
      <c r="E1274" s="126" t="str">
        <f>IF(A1274="COMPOSIÇÃO",VLOOKUP(C1274,'SINAPI_COMPOSIÇÕES 062020'!A:C,3,FALSE),VLOOKUP(C1274,'SINAPI_INSUMOS 062020'!A:C,3,FALSE))</f>
        <v>M3</v>
      </c>
      <c r="F1274" s="74">
        <v>1.7272000000000001</v>
      </c>
      <c r="G1274" s="128">
        <f>IF(A1274="COMPOSIÇÃO",VLOOKUP(C1274,'SINAPI_COMPOSIÇÕES 062020'!A:D,4,FALSE),VLOOKUP(C1274,'SINAPI_INSUMOS 062020'!A:D,4,FALSE))</f>
        <v>349.75</v>
      </c>
      <c r="H1274" s="75">
        <f t="shared" si="93"/>
        <v>604.08000000000004</v>
      </c>
    </row>
    <row r="1275" spans="1:8" ht="38.25" x14ac:dyDescent="0.25">
      <c r="A1275" s="125" t="s">
        <v>398</v>
      </c>
      <c r="B1275" s="115" t="s">
        <v>9</v>
      </c>
      <c r="C1275" s="115">
        <v>89995</v>
      </c>
      <c r="D1275" s="127" t="str">
        <f>IF(A1275="COMPOSIÇÃO",VLOOKUP(C1275,'SINAPI_COMPOSIÇÕES 062020'!A:B,2,FALSE),VLOOKUP(C1275,'SINAPI_INSUMOS 062020'!A:B,2,FALSE))</f>
        <v>GRAUTEAMENTO DE CINTA SUPERIOR OU DE VERGA EM ALVENARIA ESTRUTURAL. AF_01/2015</v>
      </c>
      <c r="E1275" s="126" t="str">
        <f>IF(A1275="COMPOSIÇÃO",VLOOKUP(C1275,'SINAPI_COMPOSIÇÕES 062020'!A:C,3,FALSE),VLOOKUP(C1275,'SINAPI_INSUMOS 062020'!A:C,3,FALSE))</f>
        <v>M3</v>
      </c>
      <c r="F1275" s="74">
        <v>0.17599999999999999</v>
      </c>
      <c r="G1275" s="128">
        <f>IF(A1275="COMPOSIÇÃO",VLOOKUP(C1275,'SINAPI_COMPOSIÇÕES 062020'!A:D,4,FALSE),VLOOKUP(C1275,'SINAPI_INSUMOS 062020'!A:D,4,FALSE))</f>
        <v>581.97</v>
      </c>
      <c r="H1275" s="75">
        <f t="shared" si="93"/>
        <v>102.42</v>
      </c>
    </row>
    <row r="1276" spans="1:8" ht="38.25" x14ac:dyDescent="0.25">
      <c r="A1276" s="125" t="s">
        <v>398</v>
      </c>
      <c r="B1276" s="115" t="s">
        <v>9</v>
      </c>
      <c r="C1276" s="115">
        <v>89998</v>
      </c>
      <c r="D1276" s="127" t="str">
        <f>IF(A1276="COMPOSIÇÃO",VLOOKUP(C1276,'SINAPI_COMPOSIÇÕES 062020'!A:B,2,FALSE),VLOOKUP(C1276,'SINAPI_INSUMOS 062020'!A:B,2,FALSE))</f>
        <v>ARMAÇÃO DE CINTA DE ALVENARIA ESTRUTURAL; DIÂMETRO DE 10,0 MM. AF_01/2015</v>
      </c>
      <c r="E1276" s="126" t="str">
        <f>IF(A1276="COMPOSIÇÃO",VLOOKUP(C1276,'SINAPI_COMPOSIÇÕES 062020'!A:C,3,FALSE),VLOOKUP(C1276,'SINAPI_INSUMOS 062020'!A:C,3,FALSE))</f>
        <v>KG</v>
      </c>
      <c r="F1276" s="74">
        <v>5.4295999999999998</v>
      </c>
      <c r="G1276" s="128">
        <f>IF(A1276="COMPOSIÇÃO",VLOOKUP(C1276,'SINAPI_COMPOSIÇÕES 062020'!A:D,4,FALSE),VLOOKUP(C1276,'SINAPI_INSUMOS 062020'!A:D,4,FALSE))</f>
        <v>6.59</v>
      </c>
      <c r="H1276" s="75">
        <f t="shared" si="93"/>
        <v>35.78</v>
      </c>
    </row>
    <row r="1277" spans="1:8" ht="63.75" x14ac:dyDescent="0.25">
      <c r="A1277" s="125" t="s">
        <v>398</v>
      </c>
      <c r="B1277" s="115" t="s">
        <v>9</v>
      </c>
      <c r="C1277" s="115">
        <v>94115</v>
      </c>
      <c r="D1277" s="127" t="str">
        <f>IF(A1277="COMPOSIÇÃO",VLOOKUP(C1277,'SINAPI_COMPOSIÇÕES 062020'!A:B,2,FALSE),VLOOKUP(C1277,'SINAPI_INSUMOS 062020'!A:B,2,FALSE))</f>
        <v>LASTRO COM PREPARO DE FUNDO, LARGURA MAIOR OU IGUAL A 1,5 M, COM CAMADA DE AREIA, LANÇAMENTO MECANIZADO, EM LOCAL COM NÍVEL BAIXO DE INTERFERÊNCIA. AF_06/2016</v>
      </c>
      <c r="E1277" s="126" t="str">
        <f>IF(A1277="COMPOSIÇÃO",VLOOKUP(C1277,'SINAPI_COMPOSIÇÕES 062020'!A:C,3,FALSE),VLOOKUP(C1277,'SINAPI_INSUMOS 062020'!A:C,3,FALSE))</f>
        <v>M3</v>
      </c>
      <c r="F1277" s="74">
        <v>0.42899999999999999</v>
      </c>
      <c r="G1277" s="128">
        <f>IF(A1277="COMPOSIÇÃO",VLOOKUP(C1277,'SINAPI_COMPOSIÇÕES 062020'!A:D,4,FALSE),VLOOKUP(C1277,'SINAPI_INSUMOS 062020'!A:D,4,FALSE))</f>
        <v>102.83</v>
      </c>
      <c r="H1277" s="75">
        <f t="shared" si="93"/>
        <v>44.11</v>
      </c>
    </row>
    <row r="1278" spans="1:8" ht="51" x14ac:dyDescent="0.25">
      <c r="A1278" s="125" t="s">
        <v>398</v>
      </c>
      <c r="B1278" s="115" t="s">
        <v>9</v>
      </c>
      <c r="C1278" s="115">
        <v>96536</v>
      </c>
      <c r="D1278" s="127" t="str">
        <f>IF(A1278="COMPOSIÇÃO",VLOOKUP(C1278,'SINAPI_COMPOSIÇÕES 062020'!A:B,2,FALSE),VLOOKUP(C1278,'SINAPI_INSUMOS 062020'!A:B,2,FALSE))</f>
        <v>FABRICAÇÃO, MONTAGEM E DESMONTAGEM DE FÔRMA PARA VIGA BALDRAME, EM MADEIRA SERRADA, E=25 MM, 4 UTILIZAÇÕES. AF_06/2017</v>
      </c>
      <c r="E1278" s="126" t="str">
        <f>IF(A1278="COMPOSIÇÃO",VLOOKUP(C1278,'SINAPI_COMPOSIÇÕES 062020'!A:C,3,FALSE),VLOOKUP(C1278,'SINAPI_INSUMOS 062020'!A:C,3,FALSE))</f>
        <v>M2</v>
      </c>
      <c r="F1278" s="74">
        <v>1.76</v>
      </c>
      <c r="G1278" s="128">
        <f>IF(A1278="COMPOSIÇÃO",VLOOKUP(C1278,'SINAPI_COMPOSIÇÕES 062020'!A:D,4,FALSE),VLOOKUP(C1278,'SINAPI_INSUMOS 062020'!A:D,4,FALSE))</f>
        <v>41.8</v>
      </c>
      <c r="H1278" s="75">
        <f t="shared" si="93"/>
        <v>73.56</v>
      </c>
    </row>
    <row r="1279" spans="1:8" ht="38.25" x14ac:dyDescent="0.25">
      <c r="A1279" s="125" t="s">
        <v>398</v>
      </c>
      <c r="B1279" s="115" t="s">
        <v>9</v>
      </c>
      <c r="C1279" s="115">
        <v>97735</v>
      </c>
      <c r="D1279" s="127" t="str">
        <f>IF(A1279="COMPOSIÇÃO",VLOOKUP(C1279,'SINAPI_COMPOSIÇÕES 062020'!A:B,2,FALSE),VLOOKUP(C1279,'SINAPI_INSUMOS 062020'!A:B,2,FALSE))</f>
        <v>PEÇA RETANGULAR PRÉ-MOLDADA, VOLUME DE CONCRETO DE 30 A 100 LITROS, TAXA DE AÇO APROXIMADA DE 30KG/M³. AF_01/2018</v>
      </c>
      <c r="E1279" s="126" t="str">
        <f>IF(A1279="COMPOSIÇÃO",VLOOKUP(C1279,'SINAPI_COMPOSIÇÕES 062020'!A:C,3,FALSE),VLOOKUP(C1279,'SINAPI_INSUMOS 062020'!A:C,3,FALSE))</f>
        <v>M3</v>
      </c>
      <c r="F1279" s="74">
        <v>1.43</v>
      </c>
      <c r="G1279" s="128">
        <f>IF(A1279="COMPOSIÇÃO",VLOOKUP(C1279,'SINAPI_COMPOSIÇÕES 062020'!A:D,4,FALSE),VLOOKUP(C1279,'SINAPI_INSUMOS 062020'!A:D,4,FALSE))</f>
        <v>1617.38</v>
      </c>
      <c r="H1279" s="75">
        <f t="shared" si="93"/>
        <v>2312.85</v>
      </c>
    </row>
    <row r="1280" spans="1:8" ht="38.25" x14ac:dyDescent="0.25">
      <c r="A1280" s="125" t="s">
        <v>400</v>
      </c>
      <c r="B1280" s="115" t="s">
        <v>9</v>
      </c>
      <c r="C1280" s="115">
        <v>4720</v>
      </c>
      <c r="D1280" s="127" t="str">
        <f>IF(A1280="COMPOSIÇÃO",VLOOKUP(C1280,'SINAPI_COMPOSIÇÕES 062020'!A:B,2,FALSE),VLOOKUP(C1280,'SINAPI_INSUMOS 062020'!A:B,2,FALSE))</f>
        <v>PEDRA BRITADA N. 0, OU PEDRISCO (4,8 A 9,5 MM) POSTO PEDREIRA/FORNECEDOR, SEM FRETE</v>
      </c>
      <c r="E1280" s="126" t="str">
        <f>IF(A1280="COMPOSIÇÃO",VLOOKUP(C1280,'SINAPI_COMPOSIÇÕES 062020'!A:C,3,FALSE),VLOOKUP(C1280,'SINAPI_INSUMOS 062020'!A:C,3,FALSE))</f>
        <v xml:space="preserve">M3    </v>
      </c>
      <c r="F1280" s="74">
        <v>0.99</v>
      </c>
      <c r="G1280" s="128">
        <f>IF(A1280="COMPOSIÇÃO",VLOOKUP(C1280,'SINAPI_COMPOSIÇÕES 062020'!A:D,4,FALSE),VLOOKUP(C1280,'SINAPI_INSUMOS 062020'!A:D,4,FALSE))</f>
        <v>102.15</v>
      </c>
      <c r="H1280" s="75">
        <f t="shared" si="93"/>
        <v>101.12</v>
      </c>
    </row>
    <row r="1281" spans="1:8" ht="25.5" x14ac:dyDescent="0.25">
      <c r="A1281" s="125" t="s">
        <v>400</v>
      </c>
      <c r="B1281" s="115" t="s">
        <v>9</v>
      </c>
      <c r="C1281" s="115">
        <v>7258</v>
      </c>
      <c r="D1281" s="127" t="str">
        <f>IF(A1281="COMPOSIÇÃO",VLOOKUP(C1281,'SINAPI_COMPOSIÇÕES 062020'!A:B,2,FALSE),VLOOKUP(C1281,'SINAPI_INSUMOS 062020'!A:B,2,FALSE))</f>
        <v>TIJOLO CERAMICO MACICO *5 X 10 X 20* CM</v>
      </c>
      <c r="E1281" s="126" t="str">
        <f>IF(A1281="COMPOSIÇÃO",VLOOKUP(C1281,'SINAPI_COMPOSIÇÕES 062020'!A:C,3,FALSE),VLOOKUP(C1281,'SINAPI_INSUMOS 062020'!A:C,3,FALSE))</f>
        <v xml:space="preserve">UN    </v>
      </c>
      <c r="F1281" s="74">
        <v>4466</v>
      </c>
      <c r="G1281" s="128">
        <f>IF(A1281="COMPOSIÇÃO",VLOOKUP(C1281,'SINAPI_COMPOSIÇÕES 062020'!A:D,4,FALSE),VLOOKUP(C1281,'SINAPI_INSUMOS 062020'!A:D,4,FALSE))</f>
        <v>0.37</v>
      </c>
      <c r="H1281" s="75">
        <f t="shared" si="93"/>
        <v>1652.42</v>
      </c>
    </row>
    <row r="1282" spans="1:8" ht="13.5" thickBot="1" x14ac:dyDescent="0.3">
      <c r="A1282" s="267" t="str">
        <f>CONCATENATE("TOTAL DO ÍTEM - ",A1266)</f>
        <v>TOTAL DO ÍTEM - MPMT-04305</v>
      </c>
      <c r="B1282" s="268"/>
      <c r="C1282" s="268"/>
      <c r="D1282" s="268"/>
      <c r="E1282" s="268"/>
      <c r="F1282" s="268"/>
      <c r="G1282" s="269"/>
      <c r="H1282" s="188">
        <f>TRUNC(SUM(H1270:H1281),2)</f>
        <v>7056.83</v>
      </c>
    </row>
    <row r="1283" spans="1:8" ht="13.5" thickBot="1" x14ac:dyDescent="0.3">
      <c r="A1283" s="299" t="s">
        <v>12307</v>
      </c>
      <c r="B1283" s="300"/>
      <c r="C1283" s="300"/>
      <c r="D1283" s="300"/>
      <c r="E1283" s="300"/>
      <c r="F1283" s="300"/>
      <c r="G1283" s="300"/>
      <c r="H1283" s="301"/>
    </row>
    <row r="1284" spans="1:8" ht="13.5" thickBot="1" x14ac:dyDescent="0.3"/>
    <row r="1285" spans="1:8" ht="25.5" x14ac:dyDescent="0.25">
      <c r="A1285" s="120" t="s">
        <v>90</v>
      </c>
      <c r="B1285" s="286" t="s">
        <v>91</v>
      </c>
      <c r="C1285" s="287"/>
      <c r="D1285" s="287"/>
      <c r="E1285" s="287"/>
      <c r="F1285" s="287"/>
      <c r="G1285" s="288"/>
      <c r="H1285" s="121" t="s">
        <v>4</v>
      </c>
    </row>
    <row r="1286" spans="1:8" ht="13.5" thickBot="1" x14ac:dyDescent="0.3">
      <c r="A1286" s="113" t="s">
        <v>12308</v>
      </c>
      <c r="B1286" s="289" t="s">
        <v>12309</v>
      </c>
      <c r="C1286" s="290"/>
      <c r="D1286" s="290"/>
      <c r="E1286" s="290"/>
      <c r="F1286" s="290"/>
      <c r="G1286" s="291"/>
      <c r="H1286" s="114" t="s">
        <v>16</v>
      </c>
    </row>
    <row r="1287" spans="1:8" x14ac:dyDescent="0.25">
      <c r="A1287" s="273" t="s">
        <v>13834</v>
      </c>
      <c r="B1287" s="275" t="s">
        <v>92</v>
      </c>
      <c r="C1287" s="276"/>
      <c r="D1287" s="185" t="s">
        <v>12310</v>
      </c>
      <c r="E1287" s="239" t="s">
        <v>93</v>
      </c>
      <c r="F1287" s="186">
        <v>0</v>
      </c>
      <c r="G1287" s="277" t="s">
        <v>94</v>
      </c>
      <c r="H1287" s="278"/>
    </row>
    <row r="1288" spans="1:8" x14ac:dyDescent="0.25">
      <c r="A1288" s="274"/>
      <c r="B1288" s="281" t="s">
        <v>95</v>
      </c>
      <c r="C1288" s="282"/>
      <c r="D1288" s="187">
        <v>43675</v>
      </c>
      <c r="E1288" s="240" t="s">
        <v>96</v>
      </c>
      <c r="F1288" s="187">
        <v>43675</v>
      </c>
      <c r="G1288" s="279"/>
      <c r="H1288" s="280"/>
    </row>
    <row r="1289" spans="1:8" x14ac:dyDescent="0.25">
      <c r="A1289" s="122" t="s">
        <v>11885</v>
      </c>
      <c r="B1289" s="123" t="s">
        <v>97</v>
      </c>
      <c r="C1289" s="123" t="s">
        <v>98</v>
      </c>
      <c r="D1289" s="123" t="s">
        <v>3</v>
      </c>
      <c r="E1289" s="123" t="s">
        <v>4</v>
      </c>
      <c r="F1289" s="123" t="s">
        <v>99</v>
      </c>
      <c r="G1289" s="123" t="s">
        <v>100</v>
      </c>
      <c r="H1289" s="124" t="s">
        <v>101</v>
      </c>
    </row>
    <row r="1290" spans="1:8" ht="38.25" x14ac:dyDescent="0.25">
      <c r="A1290" s="125" t="s">
        <v>398</v>
      </c>
      <c r="B1290" s="115" t="s">
        <v>9</v>
      </c>
      <c r="C1290" s="115">
        <v>88248</v>
      </c>
      <c r="D1290" s="127" t="str">
        <f>IF(A1290="COMPOSIÇÃO",VLOOKUP(C1290,'SINAPI_COMPOSIÇÕES 062020'!A:B,2,FALSE),VLOOKUP(C1290,'SINAPI_INSUMOS 062020'!A:B,2,FALSE))</f>
        <v>AUXILIAR DE ENCANADOR OU BOMBEIRO HIDRÁULICO COM ENCARGOS COMPLEMENTARES</v>
      </c>
      <c r="E1290" s="126" t="str">
        <f>IF(A1290="COMPOSIÇÃO",VLOOKUP(C1290,'SINAPI_COMPOSIÇÕES 062020'!A:C,3,FALSE),VLOOKUP(C1290,'SINAPI_INSUMOS 062020'!A:C,3,FALSE))</f>
        <v>H</v>
      </c>
      <c r="F1290" s="74">
        <v>0.18</v>
      </c>
      <c r="G1290" s="128">
        <f>IF(A1290="COMPOSIÇÃO",VLOOKUP(C1290,'SINAPI_COMPOSIÇÕES 062020'!A:D,4,FALSE),VLOOKUP(C1290,'SINAPI_INSUMOS 062020'!A:D,4,FALSE))</f>
        <v>13.87</v>
      </c>
      <c r="H1290" s="75">
        <f t="shared" ref="H1290:H1295" si="94">TRUNC(G1290*F1290,2)</f>
        <v>2.4900000000000002</v>
      </c>
    </row>
    <row r="1291" spans="1:8" ht="25.5" x14ac:dyDescent="0.25">
      <c r="A1291" s="125" t="s">
        <v>398</v>
      </c>
      <c r="B1291" s="115" t="s">
        <v>9</v>
      </c>
      <c r="C1291" s="115">
        <v>88267</v>
      </c>
      <c r="D1291" s="127" t="str">
        <f>IF(A1291="COMPOSIÇÃO",VLOOKUP(C1291,'SINAPI_COMPOSIÇÕES 062020'!A:B,2,FALSE),VLOOKUP(C1291,'SINAPI_INSUMOS 062020'!A:B,2,FALSE))</f>
        <v>ENCANADOR OU BOMBEIRO HIDRÁULICO COM ENCARGOS COMPLEMENTARES</v>
      </c>
      <c r="E1291" s="126" t="str">
        <f>IF(A1291="COMPOSIÇÃO",VLOOKUP(C1291,'SINAPI_COMPOSIÇÕES 062020'!A:C,3,FALSE),VLOOKUP(C1291,'SINAPI_INSUMOS 062020'!A:C,3,FALSE))</f>
        <v>H</v>
      </c>
      <c r="F1291" s="74">
        <v>0.18</v>
      </c>
      <c r="G1291" s="128">
        <f>IF(A1291="COMPOSIÇÃO",VLOOKUP(C1291,'SINAPI_COMPOSIÇÕES 062020'!A:D,4,FALSE),VLOOKUP(C1291,'SINAPI_INSUMOS 062020'!A:D,4,FALSE))</f>
        <v>17.79</v>
      </c>
      <c r="H1291" s="75">
        <f t="shared" si="94"/>
        <v>3.2</v>
      </c>
    </row>
    <row r="1292" spans="1:8" ht="25.5" x14ac:dyDescent="0.25">
      <c r="A1292" s="125" t="s">
        <v>400</v>
      </c>
      <c r="B1292" s="115" t="s">
        <v>9</v>
      </c>
      <c r="C1292" s="115">
        <v>122</v>
      </c>
      <c r="D1292" s="127" t="str">
        <f>IF(A1292="COMPOSIÇÃO",VLOOKUP(C1292,'SINAPI_COMPOSIÇÕES 062020'!A:B,2,FALSE),VLOOKUP(C1292,'SINAPI_INSUMOS 062020'!A:B,2,FALSE))</f>
        <v>ADESIVO PLASTICO PARA PVC, FRASCO COM 850 GR</v>
      </c>
      <c r="E1292" s="126" t="str">
        <f>IF(A1292="COMPOSIÇÃO",VLOOKUP(C1292,'SINAPI_COMPOSIÇÕES 062020'!A:C,3,FALSE),VLOOKUP(C1292,'SINAPI_INSUMOS 062020'!A:C,3,FALSE))</f>
        <v xml:space="preserve">UN    </v>
      </c>
      <c r="F1292" s="74">
        <v>6.1999999999999998E-3</v>
      </c>
      <c r="G1292" s="128">
        <f>IF(A1292="COMPOSIÇÃO",VLOOKUP(C1292,'SINAPI_COMPOSIÇÕES 062020'!A:D,4,FALSE),VLOOKUP(C1292,'SINAPI_INSUMOS 062020'!A:D,4,FALSE))</f>
        <v>82.47</v>
      </c>
      <c r="H1292" s="75">
        <f t="shared" si="94"/>
        <v>0.51</v>
      </c>
    </row>
    <row r="1293" spans="1:8" ht="25.5" x14ac:dyDescent="0.25">
      <c r="A1293" s="125" t="s">
        <v>400</v>
      </c>
      <c r="B1293" s="115" t="s">
        <v>9</v>
      </c>
      <c r="C1293" s="115">
        <v>41930</v>
      </c>
      <c r="D1293" s="127" t="str">
        <f>IF(A1293="COMPOSIÇÃO",VLOOKUP(C1293,'SINAPI_COMPOSIÇÕES 062020'!A:B,2,FALSE),VLOOKUP(C1293,'SINAPI_INSUMOS 062020'!A:B,2,FALSE))</f>
        <v>TUBO COLETOR DE ESGOTO PVC, JEI, DN 200 MM (NBR 7362)</v>
      </c>
      <c r="E1293" s="126" t="str">
        <f>IF(A1293="COMPOSIÇÃO",VLOOKUP(C1293,'SINAPI_COMPOSIÇÕES 062020'!A:C,3,FALSE),VLOOKUP(C1293,'SINAPI_INSUMOS 062020'!A:C,3,FALSE))</f>
        <v xml:space="preserve">M     </v>
      </c>
      <c r="F1293" s="74">
        <v>1.04</v>
      </c>
      <c r="G1293" s="128">
        <f>IF(A1293="COMPOSIÇÃO",VLOOKUP(C1293,'SINAPI_COMPOSIÇÕES 062020'!A:D,4,FALSE),VLOOKUP(C1293,'SINAPI_INSUMOS 062020'!A:D,4,FALSE))</f>
        <v>57.59</v>
      </c>
      <c r="H1293" s="75">
        <f t="shared" si="94"/>
        <v>59.89</v>
      </c>
    </row>
    <row r="1294" spans="1:8" ht="25.5" x14ac:dyDescent="0.25">
      <c r="A1294" s="125" t="s">
        <v>400</v>
      </c>
      <c r="B1294" s="115" t="s">
        <v>9</v>
      </c>
      <c r="C1294" s="115">
        <v>20083</v>
      </c>
      <c r="D1294" s="127" t="str">
        <f>IF(A1294="COMPOSIÇÃO",VLOOKUP(C1294,'SINAPI_COMPOSIÇÕES 062020'!A:B,2,FALSE),VLOOKUP(C1294,'SINAPI_INSUMOS 062020'!A:B,2,FALSE))</f>
        <v>SOLUCAO LIMPADORA PARA PVC, FRASCO COM 1000 CM3</v>
      </c>
      <c r="E1294" s="126" t="str">
        <f>IF(A1294="COMPOSIÇÃO",VLOOKUP(C1294,'SINAPI_COMPOSIÇÕES 062020'!A:C,3,FALSE),VLOOKUP(C1294,'SINAPI_INSUMOS 062020'!A:C,3,FALSE))</f>
        <v xml:space="preserve">UN    </v>
      </c>
      <c r="F1294" s="74">
        <v>1.0200000000000001E-2</v>
      </c>
      <c r="G1294" s="128">
        <f>IF(A1294="COMPOSIÇÃO",VLOOKUP(C1294,'SINAPI_COMPOSIÇÕES 062020'!A:D,4,FALSE),VLOOKUP(C1294,'SINAPI_INSUMOS 062020'!A:D,4,FALSE))</f>
        <v>71.62</v>
      </c>
      <c r="H1294" s="75">
        <f t="shared" si="94"/>
        <v>0.73</v>
      </c>
    </row>
    <row r="1295" spans="1:8" x14ac:dyDescent="0.25">
      <c r="A1295" s="125" t="s">
        <v>400</v>
      </c>
      <c r="B1295" s="115" t="s">
        <v>9</v>
      </c>
      <c r="C1295" s="115">
        <v>38383</v>
      </c>
      <c r="D1295" s="127" t="str">
        <f>IF(A1295="COMPOSIÇÃO",VLOOKUP(C1295,'SINAPI_COMPOSIÇÕES 062020'!A:B,2,FALSE),VLOOKUP(C1295,'SINAPI_INSUMOS 062020'!A:B,2,FALSE))</f>
        <v>LIXA D'AGUA EM FOLHA, GRAO 100</v>
      </c>
      <c r="E1295" s="126" t="str">
        <f>IF(A1295="COMPOSIÇÃO",VLOOKUP(C1295,'SINAPI_COMPOSIÇÕES 062020'!A:C,3,FALSE),VLOOKUP(C1295,'SINAPI_INSUMOS 062020'!A:C,3,FALSE))</f>
        <v xml:space="preserve">UN    </v>
      </c>
      <c r="F1295" s="74">
        <v>3.6999999999999998E-2</v>
      </c>
      <c r="G1295" s="128">
        <f>IF(A1295="COMPOSIÇÃO",VLOOKUP(C1295,'SINAPI_COMPOSIÇÕES 062020'!A:D,4,FALSE),VLOOKUP(C1295,'SINAPI_INSUMOS 062020'!A:D,4,FALSE))</f>
        <v>1.99</v>
      </c>
      <c r="H1295" s="75">
        <f t="shared" si="94"/>
        <v>7.0000000000000007E-2</v>
      </c>
    </row>
    <row r="1296" spans="1:8" ht="13.5" thickBot="1" x14ac:dyDescent="0.3">
      <c r="A1296" s="267" t="str">
        <f>CONCATENATE("TOTAL DO ÍTEM - ",A1286)</f>
        <v>TOTAL DO ÍTEM - MPMT-04261</v>
      </c>
      <c r="B1296" s="268"/>
      <c r="C1296" s="268"/>
      <c r="D1296" s="268"/>
      <c r="E1296" s="268"/>
      <c r="F1296" s="268"/>
      <c r="G1296" s="269"/>
      <c r="H1296" s="188">
        <f>TRUNC(SUM(H1290:H1295),2)</f>
        <v>66.89</v>
      </c>
    </row>
    <row r="1297" spans="1:8" ht="13.5" thickBot="1" x14ac:dyDescent="0.3">
      <c r="A1297" s="283" t="s">
        <v>12311</v>
      </c>
      <c r="B1297" s="284"/>
      <c r="C1297" s="284"/>
      <c r="D1297" s="284"/>
      <c r="E1297" s="284"/>
      <c r="F1297" s="284"/>
      <c r="G1297" s="284"/>
      <c r="H1297" s="285"/>
    </row>
    <row r="1298" spans="1:8" ht="13.5" thickBot="1" x14ac:dyDescent="0.3"/>
    <row r="1299" spans="1:8" ht="25.5" x14ac:dyDescent="0.25">
      <c r="A1299" s="120" t="s">
        <v>90</v>
      </c>
      <c r="B1299" s="286" t="s">
        <v>91</v>
      </c>
      <c r="C1299" s="287"/>
      <c r="D1299" s="287"/>
      <c r="E1299" s="287"/>
      <c r="F1299" s="287"/>
      <c r="G1299" s="288"/>
      <c r="H1299" s="121" t="s">
        <v>4</v>
      </c>
    </row>
    <row r="1300" spans="1:8" ht="13.5" thickBot="1" x14ac:dyDescent="0.3">
      <c r="A1300" s="113" t="s">
        <v>12312</v>
      </c>
      <c r="B1300" s="289" t="s">
        <v>12313</v>
      </c>
      <c r="C1300" s="290"/>
      <c r="D1300" s="290"/>
      <c r="E1300" s="290"/>
      <c r="F1300" s="290"/>
      <c r="G1300" s="291"/>
      <c r="H1300" s="114" t="s">
        <v>16</v>
      </c>
    </row>
    <row r="1301" spans="1:8" x14ac:dyDescent="0.25">
      <c r="A1301" s="273" t="s">
        <v>13834</v>
      </c>
      <c r="B1301" s="275" t="s">
        <v>92</v>
      </c>
      <c r="C1301" s="276"/>
      <c r="D1301" s="185" t="s">
        <v>12314</v>
      </c>
      <c r="E1301" s="239" t="s">
        <v>93</v>
      </c>
      <c r="F1301" s="186">
        <v>0</v>
      </c>
      <c r="G1301" s="277" t="s">
        <v>94</v>
      </c>
      <c r="H1301" s="278"/>
    </row>
    <row r="1302" spans="1:8" x14ac:dyDescent="0.25">
      <c r="A1302" s="274"/>
      <c r="B1302" s="281" t="s">
        <v>95</v>
      </c>
      <c r="C1302" s="282"/>
      <c r="D1302" s="187">
        <v>42933</v>
      </c>
      <c r="E1302" s="240" t="s">
        <v>96</v>
      </c>
      <c r="F1302" s="187">
        <v>42933</v>
      </c>
      <c r="G1302" s="279"/>
      <c r="H1302" s="280"/>
    </row>
    <row r="1303" spans="1:8" x14ac:dyDescent="0.25">
      <c r="A1303" s="122" t="s">
        <v>11885</v>
      </c>
      <c r="B1303" s="123" t="s">
        <v>97</v>
      </c>
      <c r="C1303" s="123" t="s">
        <v>98</v>
      </c>
      <c r="D1303" s="123" t="s">
        <v>3</v>
      </c>
      <c r="E1303" s="123" t="s">
        <v>4</v>
      </c>
      <c r="F1303" s="123" t="s">
        <v>99</v>
      </c>
      <c r="G1303" s="123" t="s">
        <v>100</v>
      </c>
      <c r="H1303" s="124" t="s">
        <v>101</v>
      </c>
    </row>
    <row r="1304" spans="1:8" ht="38.25" x14ac:dyDescent="0.25">
      <c r="A1304" s="125" t="s">
        <v>398</v>
      </c>
      <c r="B1304" s="115" t="s">
        <v>9</v>
      </c>
      <c r="C1304" s="115">
        <v>88248</v>
      </c>
      <c r="D1304" s="127" t="str">
        <f>IF(A1304="COMPOSIÇÃO",VLOOKUP(C1304,'SINAPI_COMPOSIÇÕES 062020'!A:B,2,FALSE),VLOOKUP(C1304,'SINAPI_INSUMOS 062020'!A:B,2,FALSE))</f>
        <v>AUXILIAR DE ENCANADOR OU BOMBEIRO HIDRÁULICO COM ENCARGOS COMPLEMENTARES</v>
      </c>
      <c r="E1304" s="126" t="str">
        <f>IF(A1304="COMPOSIÇÃO",VLOOKUP(C1304,'SINAPI_COMPOSIÇÕES 062020'!A:C,3,FALSE),VLOOKUP(C1304,'SINAPI_INSUMOS 062020'!A:C,3,FALSE))</f>
        <v>H</v>
      </c>
      <c r="F1304" s="74">
        <v>0.19</v>
      </c>
      <c r="G1304" s="128">
        <f>IF(A1304="COMPOSIÇÃO",VLOOKUP(C1304,'SINAPI_COMPOSIÇÕES 062020'!A:D,4,FALSE),VLOOKUP(C1304,'SINAPI_INSUMOS 062020'!A:D,4,FALSE))</f>
        <v>13.87</v>
      </c>
      <c r="H1304" s="75">
        <f t="shared" ref="H1304:H1307" si="95">TRUNC(G1304*F1304,2)</f>
        <v>2.63</v>
      </c>
    </row>
    <row r="1305" spans="1:8" ht="25.5" x14ac:dyDescent="0.25">
      <c r="A1305" s="125" t="s">
        <v>398</v>
      </c>
      <c r="B1305" s="115" t="s">
        <v>9</v>
      </c>
      <c r="C1305" s="115">
        <v>88267</v>
      </c>
      <c r="D1305" s="127" t="str">
        <f>IF(A1305="COMPOSIÇÃO",VLOOKUP(C1305,'SINAPI_COMPOSIÇÕES 062020'!A:B,2,FALSE),VLOOKUP(C1305,'SINAPI_INSUMOS 062020'!A:B,2,FALSE))</f>
        <v>ENCANADOR OU BOMBEIRO HIDRÁULICO COM ENCARGOS COMPLEMENTARES</v>
      </c>
      <c r="E1305" s="126" t="str">
        <f>IF(A1305="COMPOSIÇÃO",VLOOKUP(C1305,'SINAPI_COMPOSIÇÕES 062020'!A:C,3,FALSE),VLOOKUP(C1305,'SINAPI_INSUMOS 062020'!A:C,3,FALSE))</f>
        <v>H</v>
      </c>
      <c r="F1305" s="74">
        <v>0.19</v>
      </c>
      <c r="G1305" s="128">
        <f>IF(A1305="COMPOSIÇÃO",VLOOKUP(C1305,'SINAPI_COMPOSIÇÕES 062020'!A:D,4,FALSE),VLOOKUP(C1305,'SINAPI_INSUMOS 062020'!A:D,4,FALSE))</f>
        <v>17.79</v>
      </c>
      <c r="H1305" s="75">
        <f t="shared" si="95"/>
        <v>3.38</v>
      </c>
    </row>
    <row r="1306" spans="1:8" ht="25.5" x14ac:dyDescent="0.25">
      <c r="A1306" s="125" t="s">
        <v>400</v>
      </c>
      <c r="B1306" s="115" t="s">
        <v>9</v>
      </c>
      <c r="C1306" s="115">
        <v>9869</v>
      </c>
      <c r="D1306" s="127" t="str">
        <f>IF(A1306="COMPOSIÇÃO",VLOOKUP(C1306,'SINAPI_COMPOSIÇÕES 062020'!A:B,2,FALSE),VLOOKUP(C1306,'SINAPI_INSUMOS 062020'!A:B,2,FALSE))</f>
        <v>TUBO PVC, SOLDAVEL, DN 32 MM, AGUA FRIA (NBR-5648)</v>
      </c>
      <c r="E1306" s="126" t="str">
        <f>IF(A1306="COMPOSIÇÃO",VLOOKUP(C1306,'SINAPI_COMPOSIÇÕES 062020'!A:C,3,FALSE),VLOOKUP(C1306,'SINAPI_INSUMOS 062020'!A:C,3,FALSE))</f>
        <v xml:space="preserve">M     </v>
      </c>
      <c r="F1306" s="74">
        <v>1.05</v>
      </c>
      <c r="G1306" s="128">
        <f>IF(A1306="COMPOSIÇÃO",VLOOKUP(C1306,'SINAPI_COMPOSIÇÕES 062020'!A:D,4,FALSE),VLOOKUP(C1306,'SINAPI_INSUMOS 062020'!A:D,4,FALSE))</f>
        <v>6.33</v>
      </c>
      <c r="H1306" s="75">
        <f t="shared" si="95"/>
        <v>6.64</v>
      </c>
    </row>
    <row r="1307" spans="1:8" x14ac:dyDescent="0.25">
      <c r="A1307" s="125" t="s">
        <v>400</v>
      </c>
      <c r="B1307" s="115" t="s">
        <v>9</v>
      </c>
      <c r="C1307" s="115">
        <v>38383</v>
      </c>
      <c r="D1307" s="127" t="str">
        <f>IF(A1307="COMPOSIÇÃO",VLOOKUP(C1307,'SINAPI_COMPOSIÇÕES 062020'!A:B,2,FALSE),VLOOKUP(C1307,'SINAPI_INSUMOS 062020'!A:B,2,FALSE))</f>
        <v>LIXA D'AGUA EM FOLHA, GRAO 100</v>
      </c>
      <c r="E1307" s="126" t="str">
        <f>IF(A1307="COMPOSIÇÃO",VLOOKUP(C1307,'SINAPI_COMPOSIÇÕES 062020'!A:C,3,FALSE),VLOOKUP(C1307,'SINAPI_INSUMOS 062020'!A:C,3,FALSE))</f>
        <v xml:space="preserve">UN    </v>
      </c>
      <c r="F1307" s="74">
        <v>6.3E-2</v>
      </c>
      <c r="G1307" s="128">
        <f>IF(A1307="COMPOSIÇÃO",VLOOKUP(C1307,'SINAPI_COMPOSIÇÕES 062020'!A:D,4,FALSE),VLOOKUP(C1307,'SINAPI_INSUMOS 062020'!A:D,4,FALSE))</f>
        <v>1.99</v>
      </c>
      <c r="H1307" s="75">
        <f t="shared" si="95"/>
        <v>0.12</v>
      </c>
    </row>
    <row r="1308" spans="1:8" ht="13.5" thickBot="1" x14ac:dyDescent="0.3">
      <c r="A1308" s="267" t="str">
        <f>CONCATENATE("TOTAL DO ÍTEM - ",A1300)</f>
        <v>TOTAL DO ÍTEM - MPMT-04089</v>
      </c>
      <c r="B1308" s="268"/>
      <c r="C1308" s="268"/>
      <c r="D1308" s="268"/>
      <c r="E1308" s="268"/>
      <c r="F1308" s="268"/>
      <c r="G1308" s="269"/>
      <c r="H1308" s="188">
        <f>TRUNC(SUM(H1304:H1307),2)</f>
        <v>12.77</v>
      </c>
    </row>
    <row r="1309" spans="1:8" ht="13.5" thickBot="1" x14ac:dyDescent="0.3">
      <c r="A1309" s="299" t="s">
        <v>12315</v>
      </c>
      <c r="B1309" s="300"/>
      <c r="C1309" s="300"/>
      <c r="D1309" s="300"/>
      <c r="E1309" s="300"/>
      <c r="F1309" s="300"/>
      <c r="G1309" s="300"/>
      <c r="H1309" s="301"/>
    </row>
    <row r="1310" spans="1:8" ht="13.5" thickBot="1" x14ac:dyDescent="0.3"/>
    <row r="1311" spans="1:8" ht="25.5" x14ac:dyDescent="0.25">
      <c r="A1311" s="120" t="s">
        <v>90</v>
      </c>
      <c r="B1311" s="286" t="s">
        <v>91</v>
      </c>
      <c r="C1311" s="287"/>
      <c r="D1311" s="287"/>
      <c r="E1311" s="287"/>
      <c r="F1311" s="287"/>
      <c r="G1311" s="288"/>
      <c r="H1311" s="121" t="s">
        <v>4</v>
      </c>
    </row>
    <row r="1312" spans="1:8" ht="13.5" thickBot="1" x14ac:dyDescent="0.3">
      <c r="A1312" s="113" t="s">
        <v>12316</v>
      </c>
      <c r="B1312" s="289" t="s">
        <v>12317</v>
      </c>
      <c r="C1312" s="290"/>
      <c r="D1312" s="290"/>
      <c r="E1312" s="290"/>
      <c r="F1312" s="290"/>
      <c r="G1312" s="291"/>
      <c r="H1312" s="114" t="s">
        <v>4</v>
      </c>
    </row>
    <row r="1313" spans="1:8" x14ac:dyDescent="0.25">
      <c r="A1313" s="273" t="s">
        <v>13834</v>
      </c>
      <c r="B1313" s="275" t="s">
        <v>92</v>
      </c>
      <c r="C1313" s="276"/>
      <c r="D1313" s="185" t="s">
        <v>12318</v>
      </c>
      <c r="E1313" s="239" t="s">
        <v>93</v>
      </c>
      <c r="F1313" s="186">
        <v>0</v>
      </c>
      <c r="G1313" s="277" t="s">
        <v>94</v>
      </c>
      <c r="H1313" s="278"/>
    </row>
    <row r="1314" spans="1:8" x14ac:dyDescent="0.25">
      <c r="A1314" s="274"/>
      <c r="B1314" s="281" t="s">
        <v>95</v>
      </c>
      <c r="C1314" s="282"/>
      <c r="D1314" s="187">
        <v>42933</v>
      </c>
      <c r="E1314" s="240" t="s">
        <v>96</v>
      </c>
      <c r="F1314" s="187">
        <v>42933</v>
      </c>
      <c r="G1314" s="279"/>
      <c r="H1314" s="280"/>
    </row>
    <row r="1315" spans="1:8" x14ac:dyDescent="0.25">
      <c r="A1315" s="122" t="s">
        <v>11885</v>
      </c>
      <c r="B1315" s="123" t="s">
        <v>97</v>
      </c>
      <c r="C1315" s="123" t="s">
        <v>98</v>
      </c>
      <c r="D1315" s="123" t="s">
        <v>3</v>
      </c>
      <c r="E1315" s="123" t="s">
        <v>4</v>
      </c>
      <c r="F1315" s="123" t="s">
        <v>99</v>
      </c>
      <c r="G1315" s="123" t="s">
        <v>100</v>
      </c>
      <c r="H1315" s="124" t="s">
        <v>101</v>
      </c>
    </row>
    <row r="1316" spans="1:8" ht="38.25" x14ac:dyDescent="0.25">
      <c r="A1316" s="125" t="s">
        <v>398</v>
      </c>
      <c r="B1316" s="115" t="s">
        <v>9</v>
      </c>
      <c r="C1316" s="115">
        <v>88248</v>
      </c>
      <c r="D1316" s="127" t="str">
        <f>IF(A1316="COMPOSIÇÃO",VLOOKUP(C1316,'SINAPI_COMPOSIÇÕES 062020'!A:B,2,FALSE),VLOOKUP(C1316,'SINAPI_INSUMOS 062020'!A:B,2,FALSE))</f>
        <v>AUXILIAR DE ENCANADOR OU BOMBEIRO HIDRÁULICO COM ENCARGOS COMPLEMENTARES</v>
      </c>
      <c r="E1316" s="126" t="str">
        <f>IF(A1316="COMPOSIÇÃO",VLOOKUP(C1316,'SINAPI_COMPOSIÇÕES 062020'!A:C,3,FALSE),VLOOKUP(C1316,'SINAPI_INSUMOS 062020'!A:C,3,FALSE))</f>
        <v>H</v>
      </c>
      <c r="F1316" s="74">
        <v>7.0000000000000007E-2</v>
      </c>
      <c r="G1316" s="128">
        <f>IF(A1316="COMPOSIÇÃO",VLOOKUP(C1316,'SINAPI_COMPOSIÇÕES 062020'!A:D,4,FALSE),VLOOKUP(C1316,'SINAPI_INSUMOS 062020'!A:D,4,FALSE))</f>
        <v>13.87</v>
      </c>
      <c r="H1316" s="75">
        <f t="shared" ref="H1316:H1321" si="96">TRUNC(G1316*F1316,2)</f>
        <v>0.97</v>
      </c>
    </row>
    <row r="1317" spans="1:8" ht="25.5" x14ac:dyDescent="0.25">
      <c r="A1317" s="125" t="s">
        <v>398</v>
      </c>
      <c r="B1317" s="115" t="s">
        <v>9</v>
      </c>
      <c r="C1317" s="115">
        <v>88267</v>
      </c>
      <c r="D1317" s="127" t="str">
        <f>IF(A1317="COMPOSIÇÃO",VLOOKUP(C1317,'SINAPI_COMPOSIÇÕES 062020'!A:B,2,FALSE),VLOOKUP(C1317,'SINAPI_INSUMOS 062020'!A:B,2,FALSE))</f>
        <v>ENCANADOR OU BOMBEIRO HIDRÁULICO COM ENCARGOS COMPLEMENTARES</v>
      </c>
      <c r="E1317" s="126" t="str">
        <f>IF(A1317="COMPOSIÇÃO",VLOOKUP(C1317,'SINAPI_COMPOSIÇÕES 062020'!A:C,3,FALSE),VLOOKUP(C1317,'SINAPI_INSUMOS 062020'!A:C,3,FALSE))</f>
        <v>H</v>
      </c>
      <c r="F1317" s="74">
        <v>7.0000000000000007E-2</v>
      </c>
      <c r="G1317" s="128">
        <f>IF(A1317="COMPOSIÇÃO",VLOOKUP(C1317,'SINAPI_COMPOSIÇÕES 062020'!A:D,4,FALSE),VLOOKUP(C1317,'SINAPI_INSUMOS 062020'!A:D,4,FALSE))</f>
        <v>17.79</v>
      </c>
      <c r="H1317" s="75">
        <f t="shared" si="96"/>
        <v>1.24</v>
      </c>
    </row>
    <row r="1318" spans="1:8" ht="25.5" x14ac:dyDescent="0.25">
      <c r="A1318" s="125" t="s">
        <v>400</v>
      </c>
      <c r="B1318" s="115" t="s">
        <v>9</v>
      </c>
      <c r="C1318" s="115">
        <v>122</v>
      </c>
      <c r="D1318" s="127" t="str">
        <f>IF(A1318="COMPOSIÇÃO",VLOOKUP(C1318,'SINAPI_COMPOSIÇÕES 062020'!A:B,2,FALSE),VLOOKUP(C1318,'SINAPI_INSUMOS 062020'!A:B,2,FALSE))</f>
        <v>ADESIVO PLASTICO PARA PVC, FRASCO COM 850 GR</v>
      </c>
      <c r="E1318" s="126" t="str">
        <f>IF(A1318="COMPOSIÇÃO",VLOOKUP(C1318,'SINAPI_COMPOSIÇÕES 062020'!A:C,3,FALSE),VLOOKUP(C1318,'SINAPI_INSUMOS 062020'!A:C,3,FALSE))</f>
        <v xml:space="preserve">UN    </v>
      </c>
      <c r="F1318" s="74">
        <v>7.1000000000000004E-3</v>
      </c>
      <c r="G1318" s="128">
        <f>IF(A1318="COMPOSIÇÃO",VLOOKUP(C1318,'SINAPI_COMPOSIÇÕES 062020'!A:D,4,FALSE),VLOOKUP(C1318,'SINAPI_INSUMOS 062020'!A:D,4,FALSE))</f>
        <v>82.47</v>
      </c>
      <c r="H1318" s="75">
        <f t="shared" si="96"/>
        <v>0.57999999999999996</v>
      </c>
    </row>
    <row r="1319" spans="1:8" ht="25.5" x14ac:dyDescent="0.25">
      <c r="A1319" s="125" t="s">
        <v>400</v>
      </c>
      <c r="B1319" s="115" t="s">
        <v>9</v>
      </c>
      <c r="C1319" s="115">
        <v>3536</v>
      </c>
      <c r="D1319" s="127" t="str">
        <f>IF(A1319="COMPOSIÇÃO",VLOOKUP(C1319,'SINAPI_COMPOSIÇÕES 062020'!A:B,2,FALSE),VLOOKUP(C1319,'SINAPI_INSUMOS 062020'!A:B,2,FALSE))</f>
        <v>JOELHO PVC, SOLDAVEL, 90 GRAUS, 32 MM, PARA AGUA FRIA PREDIAL</v>
      </c>
      <c r="E1319" s="126" t="str">
        <f>IF(A1319="COMPOSIÇÃO",VLOOKUP(C1319,'SINAPI_COMPOSIÇÕES 062020'!A:C,3,FALSE),VLOOKUP(C1319,'SINAPI_INSUMOS 062020'!A:C,3,FALSE))</f>
        <v xml:space="preserve">UN    </v>
      </c>
      <c r="F1319" s="74">
        <v>1</v>
      </c>
      <c r="G1319" s="128">
        <f>IF(A1319="COMPOSIÇÃO",VLOOKUP(C1319,'SINAPI_COMPOSIÇÕES 062020'!A:D,4,FALSE),VLOOKUP(C1319,'SINAPI_INSUMOS 062020'!A:D,4,FALSE))</f>
        <v>1.66</v>
      </c>
      <c r="H1319" s="75">
        <f t="shared" si="96"/>
        <v>1.66</v>
      </c>
    </row>
    <row r="1320" spans="1:8" ht="25.5" x14ac:dyDescent="0.25">
      <c r="A1320" s="125" t="s">
        <v>400</v>
      </c>
      <c r="B1320" s="115" t="s">
        <v>9</v>
      </c>
      <c r="C1320" s="115">
        <v>20083</v>
      </c>
      <c r="D1320" s="127" t="str">
        <f>IF(A1320="COMPOSIÇÃO",VLOOKUP(C1320,'SINAPI_COMPOSIÇÕES 062020'!A:B,2,FALSE),VLOOKUP(C1320,'SINAPI_INSUMOS 062020'!A:B,2,FALSE))</f>
        <v>SOLUCAO LIMPADORA PARA PVC, FRASCO COM 1000 CM3</v>
      </c>
      <c r="E1320" s="126" t="str">
        <f>IF(A1320="COMPOSIÇÃO",VLOOKUP(C1320,'SINAPI_COMPOSIÇÕES 062020'!A:C,3,FALSE),VLOOKUP(C1320,'SINAPI_INSUMOS 062020'!A:C,3,FALSE))</f>
        <v xml:space="preserve">UN    </v>
      </c>
      <c r="F1320" s="74">
        <v>8.0000000000000002E-3</v>
      </c>
      <c r="G1320" s="128">
        <f>IF(A1320="COMPOSIÇÃO",VLOOKUP(C1320,'SINAPI_COMPOSIÇÕES 062020'!A:D,4,FALSE),VLOOKUP(C1320,'SINAPI_INSUMOS 062020'!A:D,4,FALSE))</f>
        <v>71.62</v>
      </c>
      <c r="H1320" s="75">
        <f t="shared" si="96"/>
        <v>0.56999999999999995</v>
      </c>
    </row>
    <row r="1321" spans="1:8" x14ac:dyDescent="0.25">
      <c r="A1321" s="125" t="s">
        <v>400</v>
      </c>
      <c r="B1321" s="115" t="s">
        <v>9</v>
      </c>
      <c r="C1321" s="115">
        <v>38383</v>
      </c>
      <c r="D1321" s="127" t="str">
        <f>IF(A1321="COMPOSIÇÃO",VLOOKUP(C1321,'SINAPI_COMPOSIÇÕES 062020'!A:B,2,FALSE),VLOOKUP(C1321,'SINAPI_INSUMOS 062020'!A:B,2,FALSE))</f>
        <v>LIXA D'AGUA EM FOLHA, GRAO 100</v>
      </c>
      <c r="E1321" s="126" t="str">
        <f>IF(A1321="COMPOSIÇÃO",VLOOKUP(C1321,'SINAPI_COMPOSIÇÕES 062020'!A:C,3,FALSE),VLOOKUP(C1321,'SINAPI_INSUMOS 062020'!A:C,3,FALSE))</f>
        <v xml:space="preserve">UN    </v>
      </c>
      <c r="F1321" s="74">
        <v>2.1000000000000001E-2</v>
      </c>
      <c r="G1321" s="128">
        <f>IF(A1321="COMPOSIÇÃO",VLOOKUP(C1321,'SINAPI_COMPOSIÇÕES 062020'!A:D,4,FALSE),VLOOKUP(C1321,'SINAPI_INSUMOS 062020'!A:D,4,FALSE))</f>
        <v>1.99</v>
      </c>
      <c r="H1321" s="75">
        <f t="shared" si="96"/>
        <v>0.04</v>
      </c>
    </row>
    <row r="1322" spans="1:8" ht="13.5" thickBot="1" x14ac:dyDescent="0.3">
      <c r="A1322" s="267" t="str">
        <f>CONCATENATE("TOTAL DO ÍTEM - ",A1312)</f>
        <v>TOTAL DO ÍTEM - MPMT-04084</v>
      </c>
      <c r="B1322" s="268"/>
      <c r="C1322" s="268"/>
      <c r="D1322" s="268"/>
      <c r="E1322" s="268"/>
      <c r="F1322" s="268"/>
      <c r="G1322" s="269"/>
      <c r="H1322" s="188">
        <f>TRUNC(SUM(H1316:H1321),2)</f>
        <v>5.0599999999999996</v>
      </c>
    </row>
    <row r="1323" spans="1:8" ht="13.5" thickBot="1" x14ac:dyDescent="0.3">
      <c r="A1323" s="299" t="s">
        <v>12319</v>
      </c>
      <c r="B1323" s="300"/>
      <c r="C1323" s="300"/>
      <c r="D1323" s="300"/>
      <c r="E1323" s="300"/>
      <c r="F1323" s="300"/>
      <c r="G1323" s="300"/>
      <c r="H1323" s="301"/>
    </row>
    <row r="1324" spans="1:8" ht="13.5" thickBot="1" x14ac:dyDescent="0.3"/>
    <row r="1325" spans="1:8" ht="25.5" x14ac:dyDescent="0.25">
      <c r="A1325" s="120" t="s">
        <v>90</v>
      </c>
      <c r="B1325" s="286" t="s">
        <v>91</v>
      </c>
      <c r="C1325" s="287"/>
      <c r="D1325" s="287"/>
      <c r="E1325" s="287"/>
      <c r="F1325" s="287"/>
      <c r="G1325" s="288"/>
      <c r="H1325" s="121" t="s">
        <v>4</v>
      </c>
    </row>
    <row r="1326" spans="1:8" ht="13.5" thickBot="1" x14ac:dyDescent="0.3">
      <c r="A1326" s="113" t="s">
        <v>12320</v>
      </c>
      <c r="B1326" s="289" t="s">
        <v>12321</v>
      </c>
      <c r="C1326" s="290"/>
      <c r="D1326" s="290"/>
      <c r="E1326" s="290"/>
      <c r="F1326" s="290"/>
      <c r="G1326" s="291"/>
      <c r="H1326" s="114" t="s">
        <v>8</v>
      </c>
    </row>
    <row r="1327" spans="1:8" x14ac:dyDescent="0.25">
      <c r="A1327" s="273" t="s">
        <v>13834</v>
      </c>
      <c r="B1327" s="275" t="s">
        <v>92</v>
      </c>
      <c r="C1327" s="276"/>
      <c r="D1327" s="185" t="s">
        <v>12322</v>
      </c>
      <c r="E1327" s="239" t="s">
        <v>93</v>
      </c>
      <c r="F1327" s="186">
        <v>0</v>
      </c>
      <c r="G1327" s="277" t="s">
        <v>94</v>
      </c>
      <c r="H1327" s="278"/>
    </row>
    <row r="1328" spans="1:8" x14ac:dyDescent="0.25">
      <c r="A1328" s="274"/>
      <c r="B1328" s="281" t="s">
        <v>95</v>
      </c>
      <c r="C1328" s="282"/>
      <c r="D1328" s="187">
        <v>43304</v>
      </c>
      <c r="E1328" s="240" t="s">
        <v>96</v>
      </c>
      <c r="F1328" s="187">
        <v>43304</v>
      </c>
      <c r="G1328" s="279"/>
      <c r="H1328" s="280"/>
    </row>
    <row r="1329" spans="1:8" x14ac:dyDescent="0.25">
      <c r="A1329" s="122" t="s">
        <v>11885</v>
      </c>
      <c r="B1329" s="123" t="s">
        <v>97</v>
      </c>
      <c r="C1329" s="123" t="s">
        <v>98</v>
      </c>
      <c r="D1329" s="123" t="s">
        <v>3</v>
      </c>
      <c r="E1329" s="123" t="s">
        <v>4</v>
      </c>
      <c r="F1329" s="123" t="s">
        <v>99</v>
      </c>
      <c r="G1329" s="123" t="s">
        <v>100</v>
      </c>
      <c r="H1329" s="124" t="s">
        <v>101</v>
      </c>
    </row>
    <row r="1330" spans="1:8" x14ac:dyDescent="0.25">
      <c r="A1330" s="125" t="s">
        <v>398</v>
      </c>
      <c r="B1330" s="115" t="s">
        <v>9</v>
      </c>
      <c r="C1330" s="115">
        <v>88310</v>
      </c>
      <c r="D1330" s="127" t="str">
        <f>IF(A1330="COMPOSIÇÃO",VLOOKUP(C1330,'SINAPI_COMPOSIÇÕES 062020'!A:B,2,FALSE),VLOOKUP(C1330,'SINAPI_INSUMOS 062020'!A:B,2,FALSE))</f>
        <v>PINTOR COM ENCARGOS COMPLEMENTARES</v>
      </c>
      <c r="E1330" s="126" t="str">
        <f>IF(A1330="COMPOSIÇÃO",VLOOKUP(C1330,'SINAPI_COMPOSIÇÕES 062020'!A:C,3,FALSE),VLOOKUP(C1330,'SINAPI_INSUMOS 062020'!A:C,3,FALSE))</f>
        <v>H</v>
      </c>
      <c r="F1330" s="74">
        <v>0.5</v>
      </c>
      <c r="G1330" s="128">
        <f>IF(A1330="COMPOSIÇÃO",VLOOKUP(C1330,'SINAPI_COMPOSIÇÕES 062020'!A:D,4,FALSE),VLOOKUP(C1330,'SINAPI_INSUMOS 062020'!A:D,4,FALSE))</f>
        <v>18.88</v>
      </c>
      <c r="H1330" s="75">
        <f t="shared" ref="H1330:H1334" si="97">TRUNC(G1330*F1330,2)</f>
        <v>9.44</v>
      </c>
    </row>
    <row r="1331" spans="1:8" ht="25.5" x14ac:dyDescent="0.25">
      <c r="A1331" s="125" t="s">
        <v>398</v>
      </c>
      <c r="B1331" s="115" t="s">
        <v>9</v>
      </c>
      <c r="C1331" s="115">
        <v>88316</v>
      </c>
      <c r="D1331" s="127" t="str">
        <f>IF(A1331="COMPOSIÇÃO",VLOOKUP(C1331,'SINAPI_COMPOSIÇÕES 062020'!A:B,2,FALSE),VLOOKUP(C1331,'SINAPI_INSUMOS 062020'!A:B,2,FALSE))</f>
        <v>SERVENTE COM ENCARGOS COMPLEMENTARES</v>
      </c>
      <c r="E1331" s="126" t="str">
        <f>IF(A1331="COMPOSIÇÃO",VLOOKUP(C1331,'SINAPI_COMPOSIÇÕES 062020'!A:C,3,FALSE),VLOOKUP(C1331,'SINAPI_INSUMOS 062020'!A:C,3,FALSE))</f>
        <v>H</v>
      </c>
      <c r="F1331" s="74">
        <v>0.5</v>
      </c>
      <c r="G1331" s="128">
        <f>IF(A1331="COMPOSIÇÃO",VLOOKUP(C1331,'SINAPI_COMPOSIÇÕES 062020'!A:D,4,FALSE),VLOOKUP(C1331,'SINAPI_INSUMOS 062020'!A:D,4,FALSE))</f>
        <v>14.37</v>
      </c>
      <c r="H1331" s="75">
        <f t="shared" si="97"/>
        <v>7.18</v>
      </c>
    </row>
    <row r="1332" spans="1:8" x14ac:dyDescent="0.25">
      <c r="A1332" s="125" t="s">
        <v>400</v>
      </c>
      <c r="B1332" s="115" t="s">
        <v>9</v>
      </c>
      <c r="C1332" s="115">
        <v>3768</v>
      </c>
      <c r="D1332" s="127" t="str">
        <f>IF(A1332="COMPOSIÇÃO",VLOOKUP(C1332,'SINAPI_COMPOSIÇÕES 062020'!A:B,2,FALSE),VLOOKUP(C1332,'SINAPI_INSUMOS 062020'!A:B,2,FALSE))</f>
        <v>LIXA EM FOLHA PARA FERRO, NUMERO 150</v>
      </c>
      <c r="E1332" s="126" t="str">
        <f>IF(A1332="COMPOSIÇÃO",VLOOKUP(C1332,'SINAPI_COMPOSIÇÕES 062020'!A:C,3,FALSE),VLOOKUP(C1332,'SINAPI_INSUMOS 062020'!A:C,3,FALSE))</f>
        <v xml:space="preserve">UN    </v>
      </c>
      <c r="F1332" s="74">
        <v>0.6</v>
      </c>
      <c r="G1332" s="128">
        <f>IF(A1332="COMPOSIÇÃO",VLOOKUP(C1332,'SINAPI_COMPOSIÇÕES 062020'!A:D,4,FALSE),VLOOKUP(C1332,'SINAPI_INSUMOS 062020'!A:D,4,FALSE))</f>
        <v>2.67</v>
      </c>
      <c r="H1332" s="75">
        <f t="shared" si="97"/>
        <v>1.6</v>
      </c>
    </row>
    <row r="1333" spans="1:8" x14ac:dyDescent="0.25">
      <c r="A1333" s="125" t="s">
        <v>400</v>
      </c>
      <c r="B1333" s="115" t="s">
        <v>9</v>
      </c>
      <c r="C1333" s="115">
        <v>5318</v>
      </c>
      <c r="D1333" s="127" t="str">
        <f>IF(A1333="COMPOSIÇÃO",VLOOKUP(C1333,'SINAPI_COMPOSIÇÕES 062020'!A:B,2,FALSE),VLOOKUP(C1333,'SINAPI_INSUMOS 062020'!A:B,2,FALSE))</f>
        <v>SOLVENTE DILUENTE A BASE DE AGUARRAS</v>
      </c>
      <c r="E1333" s="126" t="str">
        <f>IF(A1333="COMPOSIÇÃO",VLOOKUP(C1333,'SINAPI_COMPOSIÇÕES 062020'!A:C,3,FALSE),VLOOKUP(C1333,'SINAPI_INSUMOS 062020'!A:C,3,FALSE))</f>
        <v xml:space="preserve">L     </v>
      </c>
      <c r="F1333" s="74">
        <v>7.0000000000000007E-2</v>
      </c>
      <c r="G1333" s="128">
        <f>IF(A1333="COMPOSIÇÃO",VLOOKUP(C1333,'SINAPI_COMPOSIÇÕES 062020'!A:D,4,FALSE),VLOOKUP(C1333,'SINAPI_INSUMOS 062020'!A:D,4,FALSE))</f>
        <v>12.41</v>
      </c>
      <c r="H1333" s="75">
        <f t="shared" si="97"/>
        <v>0.86</v>
      </c>
    </row>
    <row r="1334" spans="1:8" x14ac:dyDescent="0.25">
      <c r="A1334" s="125" t="s">
        <v>400</v>
      </c>
      <c r="B1334" s="115" t="s">
        <v>9</v>
      </c>
      <c r="C1334" s="115">
        <v>7288</v>
      </c>
      <c r="D1334" s="127" t="str">
        <f>IF(A1334="COMPOSIÇÃO",VLOOKUP(C1334,'SINAPI_COMPOSIÇÕES 062020'!A:B,2,FALSE),VLOOKUP(C1334,'SINAPI_INSUMOS 062020'!A:B,2,FALSE))</f>
        <v>TINTA ESMALTE SINTETICO PREMIUM FOSCO</v>
      </c>
      <c r="E1334" s="126" t="str">
        <f>IF(A1334="COMPOSIÇÃO",VLOOKUP(C1334,'SINAPI_COMPOSIÇÕES 062020'!A:C,3,FALSE),VLOOKUP(C1334,'SINAPI_INSUMOS 062020'!A:C,3,FALSE))</f>
        <v xml:space="preserve">L     </v>
      </c>
      <c r="F1334" s="74">
        <v>0.16</v>
      </c>
      <c r="G1334" s="128">
        <f>IF(A1334="COMPOSIÇÃO",VLOOKUP(C1334,'SINAPI_COMPOSIÇÕES 062020'!A:D,4,FALSE),VLOOKUP(C1334,'SINAPI_INSUMOS 062020'!A:D,4,FALSE))</f>
        <v>26.22</v>
      </c>
      <c r="H1334" s="75">
        <f t="shared" si="97"/>
        <v>4.1900000000000004</v>
      </c>
    </row>
    <row r="1335" spans="1:8" ht="13.5" thickBot="1" x14ac:dyDescent="0.3">
      <c r="A1335" s="267" t="str">
        <f>CONCATENATE("TOTAL DO ÍTEM - ",A1326)</f>
        <v>TOTAL DO ÍTEM - MPMT-02286</v>
      </c>
      <c r="B1335" s="268"/>
      <c r="C1335" s="268"/>
      <c r="D1335" s="268"/>
      <c r="E1335" s="268"/>
      <c r="F1335" s="268"/>
      <c r="G1335" s="269"/>
      <c r="H1335" s="188">
        <f>TRUNC(SUM(H1330:H1334),2)</f>
        <v>23.27</v>
      </c>
    </row>
    <row r="1336" spans="1:8" ht="13.5" thickBot="1" x14ac:dyDescent="0.3">
      <c r="A1336" s="270" t="s">
        <v>12323</v>
      </c>
      <c r="B1336" s="271"/>
      <c r="C1336" s="271"/>
      <c r="D1336" s="271"/>
      <c r="E1336" s="271"/>
      <c r="F1336" s="271"/>
      <c r="G1336" s="271"/>
      <c r="H1336" s="272"/>
    </row>
    <row r="1337" spans="1:8" ht="13.5" thickBot="1" x14ac:dyDescent="0.3"/>
    <row r="1338" spans="1:8" ht="25.5" x14ac:dyDescent="0.25">
      <c r="A1338" s="120" t="s">
        <v>90</v>
      </c>
      <c r="B1338" s="286" t="s">
        <v>91</v>
      </c>
      <c r="C1338" s="287"/>
      <c r="D1338" s="287"/>
      <c r="E1338" s="287"/>
      <c r="F1338" s="287"/>
      <c r="G1338" s="288"/>
      <c r="H1338" s="121" t="s">
        <v>4</v>
      </c>
    </row>
    <row r="1339" spans="1:8" ht="13.5" thickBot="1" x14ac:dyDescent="0.3">
      <c r="A1339" s="113" t="s">
        <v>12325</v>
      </c>
      <c r="B1339" s="289" t="s">
        <v>12326</v>
      </c>
      <c r="C1339" s="290"/>
      <c r="D1339" s="290"/>
      <c r="E1339" s="290"/>
      <c r="F1339" s="290"/>
      <c r="G1339" s="291"/>
      <c r="H1339" s="114" t="s">
        <v>4</v>
      </c>
    </row>
    <row r="1340" spans="1:8" x14ac:dyDescent="0.25">
      <c r="A1340" s="273" t="s">
        <v>13834</v>
      </c>
      <c r="B1340" s="309" t="s">
        <v>92</v>
      </c>
      <c r="C1340" s="310"/>
      <c r="D1340" s="224" t="s">
        <v>12327</v>
      </c>
      <c r="E1340" s="243" t="s">
        <v>93</v>
      </c>
      <c r="F1340" s="229">
        <v>0</v>
      </c>
      <c r="G1340" s="311" t="s">
        <v>94</v>
      </c>
      <c r="H1340" s="312"/>
    </row>
    <row r="1341" spans="1:8" x14ac:dyDescent="0.25">
      <c r="A1341" s="274"/>
      <c r="B1341" s="281" t="s">
        <v>95</v>
      </c>
      <c r="C1341" s="282"/>
      <c r="D1341" s="230">
        <v>43671</v>
      </c>
      <c r="E1341" s="240" t="s">
        <v>96</v>
      </c>
      <c r="F1341" s="230">
        <v>43671</v>
      </c>
      <c r="G1341" s="279"/>
      <c r="H1341" s="280"/>
    </row>
    <row r="1342" spans="1:8" x14ac:dyDescent="0.25">
      <c r="A1342" s="122" t="s">
        <v>11885</v>
      </c>
      <c r="B1342" s="226" t="s">
        <v>97</v>
      </c>
      <c r="C1342" s="226" t="s">
        <v>98</v>
      </c>
      <c r="D1342" s="226" t="s">
        <v>3</v>
      </c>
      <c r="E1342" s="226" t="s">
        <v>4</v>
      </c>
      <c r="F1342" s="226" t="s">
        <v>99</v>
      </c>
      <c r="G1342" s="226" t="s">
        <v>100</v>
      </c>
      <c r="H1342" s="227" t="s">
        <v>101</v>
      </c>
    </row>
    <row r="1343" spans="1:8" ht="25.5" x14ac:dyDescent="0.25">
      <c r="A1343" s="125" t="s">
        <v>398</v>
      </c>
      <c r="B1343" s="115" t="s">
        <v>9</v>
      </c>
      <c r="C1343" s="115">
        <v>88267</v>
      </c>
      <c r="D1343" s="127" t="str">
        <f>IF(A1343="COMPOSIÇÃO",VLOOKUP(C1343,'SINAPI_COMPOSIÇÕES 062020'!A:B,2,FALSE),VLOOKUP(C1343,'SINAPI_INSUMOS 062020'!A:B,2,FALSE))</f>
        <v>ENCANADOR OU BOMBEIRO HIDRÁULICO COM ENCARGOS COMPLEMENTARES</v>
      </c>
      <c r="E1343" s="126" t="str">
        <f>IF(A1343="COMPOSIÇÃO",VLOOKUP(C1343,'SINAPI_COMPOSIÇÕES 062020'!A:C,3,FALSE),VLOOKUP(C1343,'SINAPI_INSUMOS 062020'!A:C,3,FALSE))</f>
        <v>H</v>
      </c>
      <c r="F1343" s="74">
        <v>0.3</v>
      </c>
      <c r="G1343" s="128">
        <f>IF(A1343="COMPOSIÇÃO",VLOOKUP(C1343,'SINAPI_COMPOSIÇÕES 062020'!A:D,4,FALSE),VLOOKUP(C1343,'SINAPI_INSUMOS 062020'!A:D,4,FALSE))</f>
        <v>17.79</v>
      </c>
      <c r="H1343" s="75">
        <f t="shared" ref="H1343:H1345" si="98">TRUNC(G1343*F1343,2)</f>
        <v>5.33</v>
      </c>
    </row>
    <row r="1344" spans="1:8" ht="25.5" x14ac:dyDescent="0.25">
      <c r="A1344" s="125" t="s">
        <v>398</v>
      </c>
      <c r="B1344" s="115" t="s">
        <v>9</v>
      </c>
      <c r="C1344" s="115">
        <v>88316</v>
      </c>
      <c r="D1344" s="127" t="str">
        <f>IF(A1344="COMPOSIÇÃO",VLOOKUP(C1344,'SINAPI_COMPOSIÇÕES 062020'!A:B,2,FALSE),VLOOKUP(C1344,'SINAPI_INSUMOS 062020'!A:B,2,FALSE))</f>
        <v>SERVENTE COM ENCARGOS COMPLEMENTARES</v>
      </c>
      <c r="E1344" s="126" t="str">
        <f>IF(A1344="COMPOSIÇÃO",VLOOKUP(C1344,'SINAPI_COMPOSIÇÕES 062020'!A:C,3,FALSE),VLOOKUP(C1344,'SINAPI_INSUMOS 062020'!A:C,3,FALSE))</f>
        <v>H</v>
      </c>
      <c r="F1344" s="74">
        <v>0.3</v>
      </c>
      <c r="G1344" s="128">
        <f>IF(A1344="COMPOSIÇÃO",VLOOKUP(C1344,'SINAPI_COMPOSIÇÕES 062020'!A:D,4,FALSE),VLOOKUP(C1344,'SINAPI_INSUMOS 062020'!A:D,4,FALSE))</f>
        <v>14.37</v>
      </c>
      <c r="H1344" s="75">
        <f t="shared" si="98"/>
        <v>4.3099999999999996</v>
      </c>
    </row>
    <row r="1345" spans="1:8" ht="51" x14ac:dyDescent="0.25">
      <c r="A1345" s="125" t="s">
        <v>400</v>
      </c>
      <c r="B1345" s="115" t="s">
        <v>9</v>
      </c>
      <c r="C1345" s="115">
        <v>4350</v>
      </c>
      <c r="D1345" s="127" t="str">
        <f>IF(A1345="COMPOSIÇÃO",VLOOKUP(C1345,'SINAPI_COMPOSIÇÕES 062020'!A:B,2,FALSE),VLOOKUP(C1345,'SINAPI_INSUMOS 062020'!A:B,2,FALSE))</f>
        <v>BUCHA DE NYLON, DIAMETRO DO FURO 8 MM, COMPRIMENTO 40 MM, COM PARAFUSO DE ROSCA SOBERBA, CABECA CHATA, FENDA SIMPLES, 4,8 X 50 MM</v>
      </c>
      <c r="E1345" s="126" t="str">
        <f>IF(A1345="COMPOSIÇÃO",VLOOKUP(C1345,'SINAPI_COMPOSIÇÕES 062020'!A:C,3,FALSE),VLOOKUP(C1345,'SINAPI_INSUMOS 062020'!A:C,3,FALSE))</f>
        <v xml:space="preserve">UN    </v>
      </c>
      <c r="F1345" s="74">
        <v>1</v>
      </c>
      <c r="G1345" s="128">
        <f>IF(A1345="COMPOSIÇÃO",VLOOKUP(C1345,'SINAPI_COMPOSIÇÕES 062020'!A:D,4,FALSE),VLOOKUP(C1345,'SINAPI_INSUMOS 062020'!A:D,4,FALSE))</f>
        <v>0.44</v>
      </c>
      <c r="H1345" s="75">
        <f t="shared" si="98"/>
        <v>0.44</v>
      </c>
    </row>
    <row r="1346" spans="1:8" ht="25.5" x14ac:dyDescent="0.25">
      <c r="A1346" s="125" t="s">
        <v>11958</v>
      </c>
      <c r="B1346" s="115" t="s">
        <v>11959</v>
      </c>
      <c r="C1346" s="115" t="s">
        <v>11960</v>
      </c>
      <c r="D1346" s="194" t="str">
        <f>B1350</f>
        <v>EXTINTOR DE INCENDIO PORTATIL COM CARGA DE PQS DE 4 KG, CLASSE ABC</v>
      </c>
      <c r="E1346" s="115" t="str">
        <f>H1350</f>
        <v>UND</v>
      </c>
      <c r="F1346" s="74">
        <v>1</v>
      </c>
      <c r="G1346" s="195">
        <f>H1355</f>
        <v>140</v>
      </c>
      <c r="H1346" s="75">
        <f t="shared" ref="H1346" si="99">TRUNC(G1346*F1346,2)</f>
        <v>140</v>
      </c>
    </row>
    <row r="1347" spans="1:8" ht="13.5" thickBot="1" x14ac:dyDescent="0.3">
      <c r="A1347" s="267" t="str">
        <f>CONCATENATE("TOTAL DO ÍTEM - ",A1339)</f>
        <v>TOTAL DO ÍTEM - MPMT-06050</v>
      </c>
      <c r="B1347" s="268"/>
      <c r="C1347" s="268"/>
      <c r="D1347" s="268"/>
      <c r="E1347" s="268"/>
      <c r="F1347" s="268"/>
      <c r="G1347" s="269"/>
      <c r="H1347" s="188">
        <f>TRUNC(SUM(H1343:H1346),2)</f>
        <v>150.08000000000001</v>
      </c>
    </row>
    <row r="1348" spans="1:8" ht="13.5" thickBot="1" x14ac:dyDescent="0.3">
      <c r="A1348" s="283" t="s">
        <v>12328</v>
      </c>
      <c r="B1348" s="284"/>
      <c r="C1348" s="284"/>
      <c r="D1348" s="284"/>
      <c r="E1348" s="284"/>
      <c r="F1348" s="284"/>
      <c r="G1348" s="284"/>
      <c r="H1348" s="285"/>
    </row>
    <row r="1349" spans="1:8" x14ac:dyDescent="0.25">
      <c r="A1349" s="196"/>
      <c r="B1349" s="292" t="s">
        <v>11962</v>
      </c>
      <c r="C1349" s="292"/>
      <c r="D1349" s="292"/>
      <c r="E1349" s="292"/>
      <c r="F1349" s="292"/>
      <c r="G1349" s="292"/>
      <c r="H1349" s="197" t="s">
        <v>11963</v>
      </c>
    </row>
    <row r="1350" spans="1:8" ht="13.5" thickBot="1" x14ac:dyDescent="0.3">
      <c r="A1350" s="215" t="s">
        <v>11960</v>
      </c>
      <c r="B1350" s="308" t="s">
        <v>12329</v>
      </c>
      <c r="C1350" s="308"/>
      <c r="D1350" s="308"/>
      <c r="E1350" s="308"/>
      <c r="F1350" s="308"/>
      <c r="G1350" s="308"/>
      <c r="H1350" s="216" t="s">
        <v>4</v>
      </c>
    </row>
    <row r="1351" spans="1:8" ht="25.5" x14ac:dyDescent="0.25">
      <c r="A1351" s="198" t="s">
        <v>11965</v>
      </c>
      <c r="B1351" s="242" t="s">
        <v>11966</v>
      </c>
      <c r="C1351" s="242" t="s">
        <v>11967</v>
      </c>
      <c r="D1351" s="242" t="s">
        <v>11968</v>
      </c>
      <c r="E1351" s="305" t="s">
        <v>11969</v>
      </c>
      <c r="F1351" s="305"/>
      <c r="G1351" s="242" t="s">
        <v>4</v>
      </c>
      <c r="H1351" s="199" t="s">
        <v>11970</v>
      </c>
    </row>
    <row r="1352" spans="1:8" x14ac:dyDescent="0.25">
      <c r="A1352" s="200">
        <v>43671</v>
      </c>
      <c r="B1352" s="201" t="s">
        <v>12330</v>
      </c>
      <c r="C1352" s="201" t="s">
        <v>12331</v>
      </c>
      <c r="D1352" s="201" t="s">
        <v>12332</v>
      </c>
      <c r="E1352" s="306" t="s">
        <v>12333</v>
      </c>
      <c r="F1352" s="306"/>
      <c r="G1352" s="203" t="s">
        <v>4</v>
      </c>
      <c r="H1352" s="204">
        <v>140</v>
      </c>
    </row>
    <row r="1353" spans="1:8" x14ac:dyDescent="0.25">
      <c r="A1353" s="205">
        <v>43672</v>
      </c>
      <c r="B1353" s="206" t="s">
        <v>12334</v>
      </c>
      <c r="C1353" s="206" t="s">
        <v>12335</v>
      </c>
      <c r="D1353" s="206" t="s">
        <v>12336</v>
      </c>
      <c r="E1353" s="295" t="s">
        <v>12337</v>
      </c>
      <c r="F1353" s="295"/>
      <c r="G1353" s="115" t="s">
        <v>4</v>
      </c>
      <c r="H1353" s="208">
        <v>145</v>
      </c>
    </row>
    <row r="1354" spans="1:8" x14ac:dyDescent="0.25">
      <c r="A1354" s="231">
        <v>43671</v>
      </c>
      <c r="B1354" s="209"/>
      <c r="C1354" s="209"/>
      <c r="D1354" s="209"/>
      <c r="E1354" s="307"/>
      <c r="F1354" s="307"/>
      <c r="G1354" s="211" t="s">
        <v>4</v>
      </c>
      <c r="H1354" s="212">
        <v>0</v>
      </c>
    </row>
    <row r="1355" spans="1:8" ht="13.5" thickBot="1" x14ac:dyDescent="0.3">
      <c r="A1355" s="296" t="s">
        <v>11981</v>
      </c>
      <c r="B1355" s="297"/>
      <c r="C1355" s="297"/>
      <c r="D1355" s="297"/>
      <c r="E1355" s="297"/>
      <c r="F1355" s="297"/>
      <c r="G1355" s="298"/>
      <c r="H1355" s="188">
        <f>TRUNC(MEDIAN(H1352:H1354),2)</f>
        <v>140</v>
      </c>
    </row>
    <row r="1356" spans="1:8" ht="13.5" thickBot="1" x14ac:dyDescent="0.3"/>
    <row r="1357" spans="1:8" ht="25.5" x14ac:dyDescent="0.25">
      <c r="A1357" s="120" t="s">
        <v>90</v>
      </c>
      <c r="B1357" s="286" t="s">
        <v>91</v>
      </c>
      <c r="C1357" s="287"/>
      <c r="D1357" s="287"/>
      <c r="E1357" s="287"/>
      <c r="F1357" s="287"/>
      <c r="G1357" s="288"/>
      <c r="H1357" s="121" t="s">
        <v>4</v>
      </c>
    </row>
    <row r="1358" spans="1:8" ht="13.5" thickBot="1" x14ac:dyDescent="0.3">
      <c r="A1358" s="113" t="s">
        <v>12338</v>
      </c>
      <c r="B1358" s="289" t="s">
        <v>12339</v>
      </c>
      <c r="C1358" s="290"/>
      <c r="D1358" s="290"/>
      <c r="E1358" s="290"/>
      <c r="F1358" s="290"/>
      <c r="G1358" s="291"/>
      <c r="H1358" s="114" t="s">
        <v>4</v>
      </c>
    </row>
    <row r="1359" spans="1:8" x14ac:dyDescent="0.25">
      <c r="A1359" s="273" t="s">
        <v>13834</v>
      </c>
      <c r="B1359" s="309" t="s">
        <v>92</v>
      </c>
      <c r="C1359" s="310"/>
      <c r="D1359" s="224" t="s">
        <v>12340</v>
      </c>
      <c r="E1359" s="243" t="s">
        <v>93</v>
      </c>
      <c r="F1359" s="229">
        <v>0</v>
      </c>
      <c r="G1359" s="311" t="s">
        <v>12143</v>
      </c>
      <c r="H1359" s="312"/>
    </row>
    <row r="1360" spans="1:8" x14ac:dyDescent="0.25">
      <c r="A1360" s="274"/>
      <c r="B1360" s="281" t="s">
        <v>95</v>
      </c>
      <c r="C1360" s="282"/>
      <c r="D1360" s="230">
        <v>43038</v>
      </c>
      <c r="E1360" s="240" t="s">
        <v>96</v>
      </c>
      <c r="F1360" s="230">
        <v>43038</v>
      </c>
      <c r="G1360" s="279"/>
      <c r="H1360" s="280"/>
    </row>
    <row r="1361" spans="1:8" x14ac:dyDescent="0.25">
      <c r="A1361" s="122" t="s">
        <v>11885</v>
      </c>
      <c r="B1361" s="226" t="s">
        <v>97</v>
      </c>
      <c r="C1361" s="226" t="s">
        <v>98</v>
      </c>
      <c r="D1361" s="226" t="s">
        <v>3</v>
      </c>
      <c r="E1361" s="226" t="s">
        <v>4</v>
      </c>
      <c r="F1361" s="226" t="s">
        <v>99</v>
      </c>
      <c r="G1361" s="226" t="s">
        <v>100</v>
      </c>
      <c r="H1361" s="227" t="s">
        <v>101</v>
      </c>
    </row>
    <row r="1362" spans="1:8" ht="25.5" x14ac:dyDescent="0.25">
      <c r="A1362" s="125" t="s">
        <v>398</v>
      </c>
      <c r="B1362" s="115" t="s">
        <v>9</v>
      </c>
      <c r="C1362" s="115">
        <v>88264</v>
      </c>
      <c r="D1362" s="127" t="str">
        <f>IF(A1362="COMPOSIÇÃO",VLOOKUP(C1362,'SINAPI_COMPOSIÇÕES 062020'!A:B,2,FALSE),VLOOKUP(C1362,'SINAPI_INSUMOS 062020'!A:B,2,FALSE))</f>
        <v>ELETRICISTA COM ENCARGOS COMPLEMENTARES</v>
      </c>
      <c r="E1362" s="126" t="str">
        <f>IF(A1362="COMPOSIÇÃO",VLOOKUP(C1362,'SINAPI_COMPOSIÇÕES 062020'!A:C,3,FALSE),VLOOKUP(C1362,'SINAPI_INSUMOS 062020'!A:C,3,FALSE))</f>
        <v>H</v>
      </c>
      <c r="F1362" s="74">
        <v>0.55000000000000004</v>
      </c>
      <c r="G1362" s="128">
        <f>IF(A1362="COMPOSIÇÃO",VLOOKUP(C1362,'SINAPI_COMPOSIÇÕES 062020'!A:D,4,FALSE),VLOOKUP(C1362,'SINAPI_INSUMOS 062020'!A:D,4,FALSE))</f>
        <v>18.38</v>
      </c>
      <c r="H1362" s="75">
        <f t="shared" ref="H1362:H1363" si="100">TRUNC(G1362*F1362,2)</f>
        <v>10.1</v>
      </c>
    </row>
    <row r="1363" spans="1:8" ht="25.5" x14ac:dyDescent="0.25">
      <c r="A1363" s="125" t="s">
        <v>398</v>
      </c>
      <c r="B1363" s="115" t="s">
        <v>9</v>
      </c>
      <c r="C1363" s="115">
        <v>88247</v>
      </c>
      <c r="D1363" s="127" t="str">
        <f>IF(A1363="COMPOSIÇÃO",VLOOKUP(C1363,'SINAPI_COMPOSIÇÕES 062020'!A:B,2,FALSE),VLOOKUP(C1363,'SINAPI_INSUMOS 062020'!A:B,2,FALSE))</f>
        <v>AUXILIAR DE ELETRICISTA COM ENCARGOS COMPLEMENTARES</v>
      </c>
      <c r="E1363" s="126" t="str">
        <f>IF(A1363="COMPOSIÇÃO",VLOOKUP(C1363,'SINAPI_COMPOSIÇÕES 062020'!A:C,3,FALSE),VLOOKUP(C1363,'SINAPI_INSUMOS 062020'!A:C,3,FALSE))</f>
        <v>H</v>
      </c>
      <c r="F1363" s="74">
        <v>0.5</v>
      </c>
      <c r="G1363" s="128">
        <f>IF(A1363="COMPOSIÇÃO",VLOOKUP(C1363,'SINAPI_COMPOSIÇÕES 062020'!A:D,4,FALSE),VLOOKUP(C1363,'SINAPI_INSUMOS 062020'!A:D,4,FALSE))</f>
        <v>14.33</v>
      </c>
      <c r="H1363" s="75">
        <f t="shared" si="100"/>
        <v>7.16</v>
      </c>
    </row>
    <row r="1364" spans="1:8" ht="25.5" x14ac:dyDescent="0.25">
      <c r="A1364" s="125" t="s">
        <v>11958</v>
      </c>
      <c r="B1364" s="115" t="s">
        <v>11959</v>
      </c>
      <c r="C1364" s="115" t="s">
        <v>11960</v>
      </c>
      <c r="D1364" s="194" t="str">
        <f>B1368</f>
        <v>BOTOEIRA PARA BOMBA DE INCÊNDIO 2 CHAVES</v>
      </c>
      <c r="E1364" s="115" t="str">
        <f>H1368</f>
        <v>UND</v>
      </c>
      <c r="F1364" s="74">
        <v>1</v>
      </c>
      <c r="G1364" s="195">
        <f>H1373</f>
        <v>77.599999999999994</v>
      </c>
      <c r="H1364" s="75">
        <f t="shared" ref="H1364" si="101">TRUNC(G1364*F1364,2)</f>
        <v>77.599999999999994</v>
      </c>
    </row>
    <row r="1365" spans="1:8" ht="13.5" thickBot="1" x14ac:dyDescent="0.3">
      <c r="A1365" s="267" t="str">
        <f>CONCATENATE("TOTAL DO ÍTEM - ",A1358)</f>
        <v>TOTAL DO ÍTEM - MPMT-06024</v>
      </c>
      <c r="B1365" s="268"/>
      <c r="C1365" s="268"/>
      <c r="D1365" s="268"/>
      <c r="E1365" s="268"/>
      <c r="F1365" s="268"/>
      <c r="G1365" s="269"/>
      <c r="H1365" s="188">
        <f>TRUNC(SUM(H1362:H1364),2)</f>
        <v>94.86</v>
      </c>
    </row>
    <row r="1366" spans="1:8" ht="13.5" thickBot="1" x14ac:dyDescent="0.3">
      <c r="A1366" s="283" t="s">
        <v>12341</v>
      </c>
      <c r="B1366" s="284"/>
      <c r="C1366" s="284"/>
      <c r="D1366" s="284"/>
      <c r="E1366" s="284"/>
      <c r="F1366" s="284"/>
      <c r="G1366" s="284"/>
      <c r="H1366" s="285"/>
    </row>
    <row r="1367" spans="1:8" x14ac:dyDescent="0.25">
      <c r="A1367" s="196"/>
      <c r="B1367" s="292" t="s">
        <v>11962</v>
      </c>
      <c r="C1367" s="292"/>
      <c r="D1367" s="292"/>
      <c r="E1367" s="292"/>
      <c r="F1367" s="292"/>
      <c r="G1367" s="292"/>
      <c r="H1367" s="197" t="s">
        <v>11963</v>
      </c>
    </row>
    <row r="1368" spans="1:8" ht="13.5" thickBot="1" x14ac:dyDescent="0.3">
      <c r="A1368" s="215" t="s">
        <v>11960</v>
      </c>
      <c r="B1368" s="308" t="s">
        <v>12342</v>
      </c>
      <c r="C1368" s="308"/>
      <c r="D1368" s="308"/>
      <c r="E1368" s="308"/>
      <c r="F1368" s="308"/>
      <c r="G1368" s="308"/>
      <c r="H1368" s="216" t="s">
        <v>4</v>
      </c>
    </row>
    <row r="1369" spans="1:8" ht="25.5" x14ac:dyDescent="0.25">
      <c r="A1369" s="198" t="s">
        <v>11965</v>
      </c>
      <c r="B1369" s="242" t="s">
        <v>11966</v>
      </c>
      <c r="C1369" s="242" t="s">
        <v>11967</v>
      </c>
      <c r="D1369" s="242" t="s">
        <v>11968</v>
      </c>
      <c r="E1369" s="305" t="s">
        <v>11969</v>
      </c>
      <c r="F1369" s="305"/>
      <c r="G1369" s="242" t="s">
        <v>4</v>
      </c>
      <c r="H1369" s="199" t="s">
        <v>11970</v>
      </c>
    </row>
    <row r="1370" spans="1:8" x14ac:dyDescent="0.25">
      <c r="A1370" s="200">
        <v>44032</v>
      </c>
      <c r="B1370" s="201" t="s">
        <v>11971</v>
      </c>
      <c r="C1370" s="201" t="s">
        <v>12343</v>
      </c>
      <c r="D1370" s="201" t="s">
        <v>12344</v>
      </c>
      <c r="E1370" s="306" t="s">
        <v>12345</v>
      </c>
      <c r="F1370" s="306"/>
      <c r="G1370" s="203" t="s">
        <v>4</v>
      </c>
      <c r="H1370" s="204">
        <f>203.6/2</f>
        <v>101.8</v>
      </c>
    </row>
    <row r="1371" spans="1:8" x14ac:dyDescent="0.25">
      <c r="A1371" s="205">
        <v>44032</v>
      </c>
      <c r="B1371" s="206" t="s">
        <v>11971</v>
      </c>
      <c r="C1371" s="206" t="s">
        <v>12346</v>
      </c>
      <c r="D1371" s="206" t="s">
        <v>12347</v>
      </c>
      <c r="E1371" s="295" t="s">
        <v>12348</v>
      </c>
      <c r="F1371" s="295"/>
      <c r="G1371" s="115" t="s">
        <v>4</v>
      </c>
      <c r="H1371" s="208">
        <v>60</v>
      </c>
    </row>
    <row r="1372" spans="1:8" x14ac:dyDescent="0.25">
      <c r="A1372" s="231">
        <v>44032</v>
      </c>
      <c r="B1372" s="209" t="s">
        <v>11971</v>
      </c>
      <c r="C1372" s="209" t="s">
        <v>12349</v>
      </c>
      <c r="D1372" s="209" t="s">
        <v>12350</v>
      </c>
      <c r="E1372" s="307" t="s">
        <v>12351</v>
      </c>
      <c r="F1372" s="307"/>
      <c r="G1372" s="211" t="s">
        <v>4</v>
      </c>
      <c r="H1372" s="212">
        <f>155.2/2</f>
        <v>77.599999999999994</v>
      </c>
    </row>
    <row r="1373" spans="1:8" ht="13.5" thickBot="1" x14ac:dyDescent="0.3">
      <c r="A1373" s="296" t="s">
        <v>11981</v>
      </c>
      <c r="B1373" s="297"/>
      <c r="C1373" s="297"/>
      <c r="D1373" s="297"/>
      <c r="E1373" s="297"/>
      <c r="F1373" s="297"/>
      <c r="G1373" s="298"/>
      <c r="H1373" s="188">
        <f>TRUNC(MEDIAN(H1370:H1372),2)</f>
        <v>77.599999999999994</v>
      </c>
    </row>
    <row r="1374" spans="1:8" ht="13.5" thickBot="1" x14ac:dyDescent="0.3"/>
    <row r="1375" spans="1:8" ht="25.5" x14ac:dyDescent="0.25">
      <c r="A1375" s="120" t="s">
        <v>90</v>
      </c>
      <c r="B1375" s="286" t="s">
        <v>91</v>
      </c>
      <c r="C1375" s="287"/>
      <c r="D1375" s="287"/>
      <c r="E1375" s="287"/>
      <c r="F1375" s="287"/>
      <c r="G1375" s="288"/>
      <c r="H1375" s="121" t="s">
        <v>4</v>
      </c>
    </row>
    <row r="1376" spans="1:8" ht="13.5" thickBot="1" x14ac:dyDescent="0.3">
      <c r="A1376" s="113" t="s">
        <v>12352</v>
      </c>
      <c r="B1376" s="289" t="s">
        <v>12353</v>
      </c>
      <c r="C1376" s="290"/>
      <c r="D1376" s="290"/>
      <c r="E1376" s="290"/>
      <c r="F1376" s="290"/>
      <c r="G1376" s="291"/>
      <c r="H1376" s="114" t="s">
        <v>4</v>
      </c>
    </row>
    <row r="1377" spans="1:8" x14ac:dyDescent="0.25">
      <c r="A1377" s="273" t="s">
        <v>13834</v>
      </c>
      <c r="B1377" s="275" t="s">
        <v>92</v>
      </c>
      <c r="C1377" s="276"/>
      <c r="D1377" s="185" t="s">
        <v>12354</v>
      </c>
      <c r="E1377" s="239" t="s">
        <v>93</v>
      </c>
      <c r="F1377" s="186">
        <v>0</v>
      </c>
      <c r="G1377" s="277" t="s">
        <v>94</v>
      </c>
      <c r="H1377" s="278"/>
    </row>
    <row r="1378" spans="1:8" x14ac:dyDescent="0.25">
      <c r="A1378" s="274"/>
      <c r="B1378" s="281" t="s">
        <v>95</v>
      </c>
      <c r="C1378" s="282"/>
      <c r="D1378" s="187">
        <v>42948</v>
      </c>
      <c r="E1378" s="240" t="s">
        <v>96</v>
      </c>
      <c r="F1378" s="187">
        <v>42948</v>
      </c>
      <c r="G1378" s="279"/>
      <c r="H1378" s="280"/>
    </row>
    <row r="1379" spans="1:8" x14ac:dyDescent="0.25">
      <c r="A1379" s="122" t="s">
        <v>11885</v>
      </c>
      <c r="B1379" s="123" t="s">
        <v>97</v>
      </c>
      <c r="C1379" s="123" t="s">
        <v>98</v>
      </c>
      <c r="D1379" s="123" t="s">
        <v>3</v>
      </c>
      <c r="E1379" s="123" t="s">
        <v>4</v>
      </c>
      <c r="F1379" s="123" t="s">
        <v>99</v>
      </c>
      <c r="G1379" s="123" t="s">
        <v>100</v>
      </c>
      <c r="H1379" s="124" t="s">
        <v>101</v>
      </c>
    </row>
    <row r="1380" spans="1:8" ht="25.5" x14ac:dyDescent="0.25">
      <c r="A1380" s="125" t="s">
        <v>398</v>
      </c>
      <c r="B1380" s="115" t="s">
        <v>9</v>
      </c>
      <c r="C1380" s="115">
        <v>88264</v>
      </c>
      <c r="D1380" s="127" t="str">
        <f>IF(A1380="COMPOSIÇÃO",VLOOKUP(C1380,'SINAPI_COMPOSIÇÕES 062020'!A:B,2,FALSE),VLOOKUP(C1380,'SINAPI_INSUMOS 062020'!A:B,2,FALSE))</f>
        <v>ELETRICISTA COM ENCARGOS COMPLEMENTARES</v>
      </c>
      <c r="E1380" s="126" t="str">
        <f>IF(A1380="COMPOSIÇÃO",VLOOKUP(C1380,'SINAPI_COMPOSIÇÕES 062020'!A:C,3,FALSE),VLOOKUP(C1380,'SINAPI_INSUMOS 062020'!A:C,3,FALSE))</f>
        <v>H</v>
      </c>
      <c r="F1380" s="74">
        <v>0.20899999999999999</v>
      </c>
      <c r="G1380" s="128">
        <f>IF(A1380="COMPOSIÇÃO",VLOOKUP(C1380,'SINAPI_COMPOSIÇÕES 062020'!A:D,4,FALSE),VLOOKUP(C1380,'SINAPI_INSUMOS 062020'!A:D,4,FALSE))</f>
        <v>18.38</v>
      </c>
      <c r="H1380" s="75">
        <f t="shared" ref="H1380:H1382" si="102">TRUNC(G1380*F1380,2)</f>
        <v>3.84</v>
      </c>
    </row>
    <row r="1381" spans="1:8" ht="25.5" x14ac:dyDescent="0.25">
      <c r="A1381" s="125" t="s">
        <v>398</v>
      </c>
      <c r="B1381" s="115" t="s">
        <v>9</v>
      </c>
      <c r="C1381" s="115">
        <v>88247</v>
      </c>
      <c r="D1381" s="127" t="str">
        <f>IF(A1381="COMPOSIÇÃO",VLOOKUP(C1381,'SINAPI_COMPOSIÇÕES 062020'!A:B,2,FALSE),VLOOKUP(C1381,'SINAPI_INSUMOS 062020'!A:B,2,FALSE))</f>
        <v>AUXILIAR DE ELETRICISTA COM ENCARGOS COMPLEMENTARES</v>
      </c>
      <c r="E1381" s="126" t="str">
        <f>IF(A1381="COMPOSIÇÃO",VLOOKUP(C1381,'SINAPI_COMPOSIÇÕES 062020'!A:C,3,FALSE),VLOOKUP(C1381,'SINAPI_INSUMOS 062020'!A:C,3,FALSE))</f>
        <v>H</v>
      </c>
      <c r="F1381" s="74">
        <v>0.20899999999999999</v>
      </c>
      <c r="G1381" s="128">
        <f>IF(A1381="COMPOSIÇÃO",VLOOKUP(C1381,'SINAPI_COMPOSIÇÕES 062020'!A:D,4,FALSE),VLOOKUP(C1381,'SINAPI_INSUMOS 062020'!A:D,4,FALSE))</f>
        <v>14.33</v>
      </c>
      <c r="H1381" s="75">
        <f t="shared" si="102"/>
        <v>2.99</v>
      </c>
    </row>
    <row r="1382" spans="1:8" ht="38.25" x14ac:dyDescent="0.25">
      <c r="A1382" s="125" t="s">
        <v>400</v>
      </c>
      <c r="B1382" s="115" t="s">
        <v>9</v>
      </c>
      <c r="C1382" s="115">
        <v>2617</v>
      </c>
      <c r="D1382" s="127" t="str">
        <f>IF(A1382="COMPOSIÇÃO",VLOOKUP(C1382,'SINAPI_COMPOSIÇÕES 062020'!A:B,2,FALSE),VLOOKUP(C1382,'SINAPI_INSUMOS 062020'!A:B,2,FALSE))</f>
        <v>CURVA 90 GRAUS, PARA ELETRODUTO, EM ACO GALVANIZADO ELETROLITICO, DIAMETRO DE 25 MM (1")</v>
      </c>
      <c r="E1382" s="126" t="str">
        <f>IF(A1382="COMPOSIÇÃO",VLOOKUP(C1382,'SINAPI_COMPOSIÇÕES 062020'!A:C,3,FALSE),VLOOKUP(C1382,'SINAPI_INSUMOS 062020'!A:C,3,FALSE))</f>
        <v xml:space="preserve">UN    </v>
      </c>
      <c r="F1382" s="74">
        <v>1</v>
      </c>
      <c r="G1382" s="128">
        <f>IF(A1382="COMPOSIÇÃO",VLOOKUP(C1382,'SINAPI_COMPOSIÇÕES 062020'!A:D,4,FALSE),VLOOKUP(C1382,'SINAPI_INSUMOS 062020'!A:D,4,FALSE))</f>
        <v>6.14</v>
      </c>
      <c r="H1382" s="75">
        <f t="shared" si="102"/>
        <v>6.14</v>
      </c>
    </row>
    <row r="1383" spans="1:8" ht="13.5" thickBot="1" x14ac:dyDescent="0.3">
      <c r="A1383" s="267" t="str">
        <f>CONCATENATE("TOTAL DO ÍTEM - ",A1376)</f>
        <v>TOTAL DO ÍTEM - MPMT-03061</v>
      </c>
      <c r="B1383" s="268"/>
      <c r="C1383" s="268"/>
      <c r="D1383" s="268"/>
      <c r="E1383" s="268"/>
      <c r="F1383" s="268"/>
      <c r="G1383" s="269"/>
      <c r="H1383" s="188">
        <f>TRUNC(SUM(H1380:H1382),2)</f>
        <v>12.97</v>
      </c>
    </row>
    <row r="1384" spans="1:8" ht="13.5" thickBot="1" x14ac:dyDescent="0.3">
      <c r="A1384" s="299" t="s">
        <v>12355</v>
      </c>
      <c r="B1384" s="300"/>
      <c r="C1384" s="300"/>
      <c r="D1384" s="300"/>
      <c r="E1384" s="300"/>
      <c r="F1384" s="300"/>
      <c r="G1384" s="300"/>
      <c r="H1384" s="301"/>
    </row>
    <row r="1385" spans="1:8" ht="13.5" thickBot="1" x14ac:dyDescent="0.3"/>
    <row r="1386" spans="1:8" ht="25.5" x14ac:dyDescent="0.25">
      <c r="A1386" s="120" t="s">
        <v>90</v>
      </c>
      <c r="B1386" s="286" t="s">
        <v>91</v>
      </c>
      <c r="C1386" s="287"/>
      <c r="D1386" s="287"/>
      <c r="E1386" s="287"/>
      <c r="F1386" s="287"/>
      <c r="G1386" s="288"/>
      <c r="H1386" s="121" t="s">
        <v>4</v>
      </c>
    </row>
    <row r="1387" spans="1:8" ht="13.5" thickBot="1" x14ac:dyDescent="0.3">
      <c r="A1387" s="113" t="s">
        <v>12356</v>
      </c>
      <c r="B1387" s="289" t="s">
        <v>12357</v>
      </c>
      <c r="C1387" s="290"/>
      <c r="D1387" s="290"/>
      <c r="E1387" s="290"/>
      <c r="F1387" s="290"/>
      <c r="G1387" s="291"/>
      <c r="H1387" s="114" t="s">
        <v>4</v>
      </c>
    </row>
    <row r="1388" spans="1:8" x14ac:dyDescent="0.25">
      <c r="A1388" s="273" t="s">
        <v>13834</v>
      </c>
      <c r="B1388" s="309" t="s">
        <v>92</v>
      </c>
      <c r="C1388" s="310"/>
      <c r="D1388" s="224" t="s">
        <v>12358</v>
      </c>
      <c r="E1388" s="243" t="s">
        <v>93</v>
      </c>
      <c r="F1388" s="225">
        <v>0</v>
      </c>
      <c r="G1388" s="311" t="s">
        <v>94</v>
      </c>
      <c r="H1388" s="312"/>
    </row>
    <row r="1389" spans="1:8" x14ac:dyDescent="0.25">
      <c r="A1389" s="274"/>
      <c r="B1389" s="281" t="s">
        <v>95</v>
      </c>
      <c r="C1389" s="282"/>
      <c r="D1389" s="187">
        <v>42844</v>
      </c>
      <c r="E1389" s="240" t="s">
        <v>96</v>
      </c>
      <c r="F1389" s="230">
        <v>42844</v>
      </c>
      <c r="G1389" s="279"/>
      <c r="H1389" s="280"/>
    </row>
    <row r="1390" spans="1:8" x14ac:dyDescent="0.25">
      <c r="A1390" s="122" t="s">
        <v>11885</v>
      </c>
      <c r="B1390" s="226" t="s">
        <v>97</v>
      </c>
      <c r="C1390" s="226" t="s">
        <v>98</v>
      </c>
      <c r="D1390" s="226" t="s">
        <v>3</v>
      </c>
      <c r="E1390" s="226" t="s">
        <v>4</v>
      </c>
      <c r="F1390" s="226" t="s">
        <v>99</v>
      </c>
      <c r="G1390" s="226" t="s">
        <v>100</v>
      </c>
      <c r="H1390" s="227" t="s">
        <v>101</v>
      </c>
    </row>
    <row r="1391" spans="1:8" ht="25.5" x14ac:dyDescent="0.25">
      <c r="A1391" s="125" t="s">
        <v>398</v>
      </c>
      <c r="B1391" s="115" t="s">
        <v>9</v>
      </c>
      <c r="C1391" s="115">
        <v>88309</v>
      </c>
      <c r="D1391" s="127" t="str">
        <f>IF(A1391="COMPOSIÇÃO",VLOOKUP(C1391,'SINAPI_COMPOSIÇÕES 062020'!A:B,2,FALSE),VLOOKUP(C1391,'SINAPI_INSUMOS 062020'!A:B,2,FALSE))</f>
        <v>PEDREIRO COM ENCARGOS COMPLEMENTARES</v>
      </c>
      <c r="E1391" s="126" t="str">
        <f>IF(A1391="COMPOSIÇÃO",VLOOKUP(C1391,'SINAPI_COMPOSIÇÕES 062020'!A:C,3,FALSE),VLOOKUP(C1391,'SINAPI_INSUMOS 062020'!A:C,3,FALSE))</f>
        <v>H</v>
      </c>
      <c r="F1391" s="74">
        <v>0.3</v>
      </c>
      <c r="G1391" s="128">
        <f>IF(A1391="COMPOSIÇÃO",VLOOKUP(C1391,'SINAPI_COMPOSIÇÕES 062020'!A:D,4,FALSE),VLOOKUP(C1391,'SINAPI_INSUMOS 062020'!A:D,4,FALSE))</f>
        <v>17.760000000000002</v>
      </c>
      <c r="H1391" s="75">
        <f t="shared" ref="H1391:H1394" si="103">TRUNC(G1391*F1391,2)</f>
        <v>5.32</v>
      </c>
    </row>
    <row r="1392" spans="1:8" ht="25.5" x14ac:dyDescent="0.25">
      <c r="A1392" s="125" t="s">
        <v>398</v>
      </c>
      <c r="B1392" s="115" t="s">
        <v>9</v>
      </c>
      <c r="C1392" s="115">
        <v>88242</v>
      </c>
      <c r="D1392" s="127" t="str">
        <f>IF(A1392="COMPOSIÇÃO",VLOOKUP(C1392,'SINAPI_COMPOSIÇÕES 062020'!A:B,2,FALSE),VLOOKUP(C1392,'SINAPI_INSUMOS 062020'!A:B,2,FALSE))</f>
        <v>AJUDANTE DE PEDREIRO COM ENCARGOS COMPLEMENTARES</v>
      </c>
      <c r="E1392" s="126" t="str">
        <f>IF(A1392="COMPOSIÇÃO",VLOOKUP(C1392,'SINAPI_COMPOSIÇÕES 062020'!A:C,3,FALSE),VLOOKUP(C1392,'SINAPI_INSUMOS 062020'!A:C,3,FALSE))</f>
        <v>H</v>
      </c>
      <c r="F1392" s="74">
        <v>0.3</v>
      </c>
      <c r="G1392" s="128">
        <f>IF(A1392="COMPOSIÇÃO",VLOOKUP(C1392,'SINAPI_COMPOSIÇÕES 062020'!A:D,4,FALSE),VLOOKUP(C1392,'SINAPI_INSUMOS 062020'!A:D,4,FALSE))</f>
        <v>14.37</v>
      </c>
      <c r="H1392" s="75">
        <f t="shared" si="103"/>
        <v>4.3099999999999996</v>
      </c>
    </row>
    <row r="1393" spans="1:8" ht="51" x14ac:dyDescent="0.25">
      <c r="A1393" s="125" t="s">
        <v>400</v>
      </c>
      <c r="B1393" s="115" t="s">
        <v>9</v>
      </c>
      <c r="C1393" s="115">
        <v>11950</v>
      </c>
      <c r="D1393" s="127" t="str">
        <f>IF(A1393="COMPOSIÇÃO",VLOOKUP(C1393,'SINAPI_COMPOSIÇÕES 062020'!A:B,2,FALSE),VLOOKUP(C1393,'SINAPI_INSUMOS 062020'!A:B,2,FALSE))</f>
        <v>BUCHA DE NYLON SEM ABA S6, COM PARAFUSO DE 4,20 X 40 MM EM ACO ZINCADO COM ROSCA SOBERBA, CABECA CHATA E FENDA PHILLIPS</v>
      </c>
      <c r="E1393" s="126" t="str">
        <f>IF(A1393="COMPOSIÇÃO",VLOOKUP(C1393,'SINAPI_COMPOSIÇÕES 062020'!A:C,3,FALSE),VLOOKUP(C1393,'SINAPI_INSUMOS 062020'!A:C,3,FALSE))</f>
        <v xml:space="preserve">UN    </v>
      </c>
      <c r="F1393" s="74">
        <v>2</v>
      </c>
      <c r="G1393" s="128">
        <f>IF(A1393="COMPOSIÇÃO",VLOOKUP(C1393,'SINAPI_COMPOSIÇÕES 062020'!A:D,4,FALSE),VLOOKUP(C1393,'SINAPI_INSUMOS 062020'!A:D,4,FALSE))</f>
        <v>0.14000000000000001</v>
      </c>
      <c r="H1393" s="75">
        <f t="shared" si="103"/>
        <v>0.28000000000000003</v>
      </c>
    </row>
    <row r="1394" spans="1:8" ht="63.75" x14ac:dyDescent="0.25">
      <c r="A1394" s="125" t="s">
        <v>400</v>
      </c>
      <c r="B1394" s="115" t="s">
        <v>9</v>
      </c>
      <c r="C1394" s="115">
        <v>37539</v>
      </c>
      <c r="D1394" s="127" t="str">
        <f>IF(A1394="COMPOSIÇÃO",VLOOKUP(C1394,'SINAPI_COMPOSIÇÕES 062020'!A:B,2,FALSE),VLOOKUP(C1394,'SINAPI_INSUMOS 062020'!A:B,2,FALSE))</f>
        <v>PLACA DE SINALIZACAO DE SEGURANCA CONTRA INCENDIO, FOTOLUMINESCENTE, RETANGULAR, *13 X 26* CM, EM PVC *2* MM ANTI-CHAMAS (SIMBOLOS, CORES E PICTOGRAMAS CONFORME NBR 13434)</v>
      </c>
      <c r="E1394" s="126" t="str">
        <f>IF(A1394="COMPOSIÇÃO",VLOOKUP(C1394,'SINAPI_COMPOSIÇÕES 062020'!A:C,3,FALSE),VLOOKUP(C1394,'SINAPI_INSUMOS 062020'!A:C,3,FALSE))</f>
        <v xml:space="preserve">UN    </v>
      </c>
      <c r="F1394" s="74">
        <v>1</v>
      </c>
      <c r="G1394" s="128">
        <f>IF(A1394="COMPOSIÇÃO",VLOOKUP(C1394,'SINAPI_COMPOSIÇÕES 062020'!A:D,4,FALSE),VLOOKUP(C1394,'SINAPI_INSUMOS 062020'!A:D,4,FALSE))</f>
        <v>10</v>
      </c>
      <c r="H1394" s="75">
        <f t="shared" si="103"/>
        <v>10</v>
      </c>
    </row>
    <row r="1395" spans="1:8" ht="13.5" thickBot="1" x14ac:dyDescent="0.3">
      <c r="A1395" s="267" t="str">
        <f>CONCATENATE("TOTAL DO ÍTEM - ",A1387)</f>
        <v>TOTAL DO ÍTEM - MPMT-06004</v>
      </c>
      <c r="B1395" s="268"/>
      <c r="C1395" s="268"/>
      <c r="D1395" s="268"/>
      <c r="E1395" s="268"/>
      <c r="F1395" s="268"/>
      <c r="G1395" s="269"/>
      <c r="H1395" s="188">
        <f>TRUNC(SUM(H1391:H1394),2)</f>
        <v>19.91</v>
      </c>
    </row>
    <row r="1396" spans="1:8" ht="13.5" thickBot="1" x14ac:dyDescent="0.3">
      <c r="A1396" s="283" t="s">
        <v>12359</v>
      </c>
      <c r="B1396" s="284"/>
      <c r="C1396" s="284"/>
      <c r="D1396" s="284"/>
      <c r="E1396" s="284"/>
      <c r="F1396" s="284"/>
      <c r="G1396" s="284"/>
      <c r="H1396" s="285"/>
    </row>
    <row r="1397" spans="1:8" ht="13.5" thickBot="1" x14ac:dyDescent="0.3"/>
    <row r="1398" spans="1:8" ht="25.5" x14ac:dyDescent="0.25">
      <c r="A1398" s="120" t="s">
        <v>90</v>
      </c>
      <c r="B1398" s="286" t="s">
        <v>91</v>
      </c>
      <c r="C1398" s="287"/>
      <c r="D1398" s="287"/>
      <c r="E1398" s="287"/>
      <c r="F1398" s="287"/>
      <c r="G1398" s="288"/>
      <c r="H1398" s="121" t="s">
        <v>4</v>
      </c>
    </row>
    <row r="1399" spans="1:8" ht="13.5" thickBot="1" x14ac:dyDescent="0.3">
      <c r="A1399" s="113" t="s">
        <v>12360</v>
      </c>
      <c r="B1399" s="289" t="s">
        <v>12361</v>
      </c>
      <c r="C1399" s="290"/>
      <c r="D1399" s="290"/>
      <c r="E1399" s="290"/>
      <c r="F1399" s="290"/>
      <c r="G1399" s="291"/>
      <c r="H1399" s="114" t="s">
        <v>4</v>
      </c>
    </row>
    <row r="1400" spans="1:8" x14ac:dyDescent="0.25">
      <c r="A1400" s="273" t="s">
        <v>13834</v>
      </c>
      <c r="B1400" s="309" t="s">
        <v>92</v>
      </c>
      <c r="C1400" s="310"/>
      <c r="D1400" s="224" t="s">
        <v>12362</v>
      </c>
      <c r="E1400" s="243" t="s">
        <v>93</v>
      </c>
      <c r="F1400" s="229" t="s">
        <v>12000</v>
      </c>
      <c r="G1400" s="311" t="s">
        <v>94</v>
      </c>
      <c r="H1400" s="312"/>
    </row>
    <row r="1401" spans="1:8" x14ac:dyDescent="0.25">
      <c r="A1401" s="274"/>
      <c r="B1401" s="281" t="s">
        <v>95</v>
      </c>
      <c r="C1401" s="282"/>
      <c r="D1401" s="187">
        <v>42858</v>
      </c>
      <c r="E1401" s="240" t="s">
        <v>96</v>
      </c>
      <c r="F1401" s="230">
        <v>43003</v>
      </c>
      <c r="G1401" s="279"/>
      <c r="H1401" s="280"/>
    </row>
    <row r="1402" spans="1:8" x14ac:dyDescent="0.25">
      <c r="A1402" s="122" t="s">
        <v>11885</v>
      </c>
      <c r="B1402" s="226" t="s">
        <v>97</v>
      </c>
      <c r="C1402" s="226" t="s">
        <v>98</v>
      </c>
      <c r="D1402" s="226" t="s">
        <v>3</v>
      </c>
      <c r="E1402" s="226" t="s">
        <v>4</v>
      </c>
      <c r="F1402" s="226" t="s">
        <v>99</v>
      </c>
      <c r="G1402" s="226" t="s">
        <v>100</v>
      </c>
      <c r="H1402" s="227" t="s">
        <v>101</v>
      </c>
    </row>
    <row r="1403" spans="1:8" ht="25.5" x14ac:dyDescent="0.25">
      <c r="A1403" s="125" t="s">
        <v>398</v>
      </c>
      <c r="B1403" s="115" t="s">
        <v>9</v>
      </c>
      <c r="C1403" s="115">
        <v>88309</v>
      </c>
      <c r="D1403" s="127" t="str">
        <f>IF(A1403="COMPOSIÇÃO",VLOOKUP(C1403,'SINAPI_COMPOSIÇÕES 062020'!A:B,2,FALSE),VLOOKUP(C1403,'SINAPI_INSUMOS 062020'!A:B,2,FALSE))</f>
        <v>PEDREIRO COM ENCARGOS COMPLEMENTARES</v>
      </c>
      <c r="E1403" s="126" t="str">
        <f>IF(A1403="COMPOSIÇÃO",VLOOKUP(C1403,'SINAPI_COMPOSIÇÕES 062020'!A:C,3,FALSE),VLOOKUP(C1403,'SINAPI_INSUMOS 062020'!A:C,3,FALSE))</f>
        <v>H</v>
      </c>
      <c r="F1403" s="74">
        <v>0.1</v>
      </c>
      <c r="G1403" s="128">
        <f>IF(A1403="COMPOSIÇÃO",VLOOKUP(C1403,'SINAPI_COMPOSIÇÕES 062020'!A:D,4,FALSE),VLOOKUP(C1403,'SINAPI_INSUMOS 062020'!A:D,4,FALSE))</f>
        <v>17.760000000000002</v>
      </c>
      <c r="H1403" s="75">
        <f t="shared" ref="H1403:H1404" si="104">TRUNC(G1403*F1403,2)</f>
        <v>1.77</v>
      </c>
    </row>
    <row r="1404" spans="1:8" ht="63.75" x14ac:dyDescent="0.25">
      <c r="A1404" s="125" t="s">
        <v>400</v>
      </c>
      <c r="B1404" s="115" t="s">
        <v>9</v>
      </c>
      <c r="C1404" s="115">
        <v>37539</v>
      </c>
      <c r="D1404" s="127" t="str">
        <f>IF(A1404="COMPOSIÇÃO",VLOOKUP(C1404,'SINAPI_COMPOSIÇÕES 062020'!A:B,2,FALSE),VLOOKUP(C1404,'SINAPI_INSUMOS 062020'!A:B,2,FALSE))</f>
        <v>PLACA DE SINALIZACAO DE SEGURANCA CONTRA INCENDIO, FOTOLUMINESCENTE, RETANGULAR, *13 X 26* CM, EM PVC *2* MM ANTI-CHAMAS (SIMBOLOS, CORES E PICTOGRAMAS CONFORME NBR 13434)</v>
      </c>
      <c r="E1404" s="126" t="str">
        <f>IF(A1404="COMPOSIÇÃO",VLOOKUP(C1404,'SINAPI_COMPOSIÇÕES 062020'!A:C,3,FALSE),VLOOKUP(C1404,'SINAPI_INSUMOS 062020'!A:C,3,FALSE))</f>
        <v xml:space="preserve">UN    </v>
      </c>
      <c r="F1404" s="74">
        <v>1</v>
      </c>
      <c r="G1404" s="128">
        <f>IF(A1404="COMPOSIÇÃO",VLOOKUP(C1404,'SINAPI_COMPOSIÇÕES 062020'!A:D,4,FALSE),VLOOKUP(C1404,'SINAPI_INSUMOS 062020'!A:D,4,FALSE))</f>
        <v>10</v>
      </c>
      <c r="H1404" s="75">
        <f t="shared" si="104"/>
        <v>10</v>
      </c>
    </row>
    <row r="1405" spans="1:8" ht="13.5" thickBot="1" x14ac:dyDescent="0.3">
      <c r="A1405" s="267" t="str">
        <f>CONCATENATE("TOTAL DO ÍTEM - ",A1399)</f>
        <v>TOTAL DO ÍTEM - MPMT-06006</v>
      </c>
      <c r="B1405" s="268"/>
      <c r="C1405" s="268"/>
      <c r="D1405" s="268"/>
      <c r="E1405" s="268"/>
      <c r="F1405" s="268"/>
      <c r="G1405" s="269"/>
      <c r="H1405" s="188">
        <f>TRUNC(SUM(H1403:H1404),2)</f>
        <v>11.77</v>
      </c>
    </row>
    <row r="1406" spans="1:8" ht="13.5" thickBot="1" x14ac:dyDescent="0.3">
      <c r="A1406" s="283" t="s">
        <v>12363</v>
      </c>
      <c r="B1406" s="284"/>
      <c r="C1406" s="284"/>
      <c r="D1406" s="284"/>
      <c r="E1406" s="284"/>
      <c r="F1406" s="284"/>
      <c r="G1406" s="284"/>
      <c r="H1406" s="285"/>
    </row>
    <row r="1407" spans="1:8" ht="13.5" thickBot="1" x14ac:dyDescent="0.3"/>
    <row r="1408" spans="1:8" ht="25.5" x14ac:dyDescent="0.25">
      <c r="A1408" s="120" t="s">
        <v>90</v>
      </c>
      <c r="B1408" s="286" t="s">
        <v>91</v>
      </c>
      <c r="C1408" s="287"/>
      <c r="D1408" s="287"/>
      <c r="E1408" s="287"/>
      <c r="F1408" s="287"/>
      <c r="G1408" s="288"/>
      <c r="H1408" s="121" t="s">
        <v>4</v>
      </c>
    </row>
    <row r="1409" spans="1:8" ht="13.5" thickBot="1" x14ac:dyDescent="0.3">
      <c r="A1409" s="113" t="s">
        <v>12364</v>
      </c>
      <c r="B1409" s="289" t="s">
        <v>12365</v>
      </c>
      <c r="C1409" s="290"/>
      <c r="D1409" s="290"/>
      <c r="E1409" s="290"/>
      <c r="F1409" s="290"/>
      <c r="G1409" s="291"/>
      <c r="H1409" s="114" t="s">
        <v>4</v>
      </c>
    </row>
    <row r="1410" spans="1:8" x14ac:dyDescent="0.25">
      <c r="A1410" s="273" t="s">
        <v>13834</v>
      </c>
      <c r="B1410" s="309" t="s">
        <v>92</v>
      </c>
      <c r="C1410" s="310"/>
      <c r="D1410" s="224" t="s">
        <v>12362</v>
      </c>
      <c r="E1410" s="243" t="s">
        <v>93</v>
      </c>
      <c r="F1410" s="229" t="s">
        <v>12009</v>
      </c>
      <c r="G1410" s="311" t="s">
        <v>94</v>
      </c>
      <c r="H1410" s="312"/>
    </row>
    <row r="1411" spans="1:8" x14ac:dyDescent="0.25">
      <c r="A1411" s="274"/>
      <c r="B1411" s="281" t="s">
        <v>95</v>
      </c>
      <c r="C1411" s="282"/>
      <c r="D1411" s="230">
        <v>42935</v>
      </c>
      <c r="E1411" s="240" t="s">
        <v>96</v>
      </c>
      <c r="F1411" s="230">
        <v>42935</v>
      </c>
      <c r="G1411" s="279"/>
      <c r="H1411" s="280"/>
    </row>
    <row r="1412" spans="1:8" x14ac:dyDescent="0.25">
      <c r="A1412" s="122" t="s">
        <v>11885</v>
      </c>
      <c r="B1412" s="226" t="s">
        <v>97</v>
      </c>
      <c r="C1412" s="226" t="s">
        <v>98</v>
      </c>
      <c r="D1412" s="226" t="s">
        <v>3</v>
      </c>
      <c r="E1412" s="226" t="s">
        <v>4</v>
      </c>
      <c r="F1412" s="226" t="s">
        <v>99</v>
      </c>
      <c r="G1412" s="226" t="s">
        <v>100</v>
      </c>
      <c r="H1412" s="227" t="s">
        <v>101</v>
      </c>
    </row>
    <row r="1413" spans="1:8" ht="25.5" x14ac:dyDescent="0.25">
      <c r="A1413" s="125" t="s">
        <v>398</v>
      </c>
      <c r="B1413" s="115" t="s">
        <v>9</v>
      </c>
      <c r="C1413" s="115">
        <v>88309</v>
      </c>
      <c r="D1413" s="127" t="str">
        <f>IF(A1413="COMPOSIÇÃO",VLOOKUP(C1413,'SINAPI_COMPOSIÇÕES 062020'!A:B,2,FALSE),VLOOKUP(C1413,'SINAPI_INSUMOS 062020'!A:B,2,FALSE))</f>
        <v>PEDREIRO COM ENCARGOS COMPLEMENTARES</v>
      </c>
      <c r="E1413" s="126" t="str">
        <f>IF(A1413="COMPOSIÇÃO",VLOOKUP(C1413,'SINAPI_COMPOSIÇÕES 062020'!A:C,3,FALSE),VLOOKUP(C1413,'SINAPI_INSUMOS 062020'!A:C,3,FALSE))</f>
        <v>H</v>
      </c>
      <c r="F1413" s="74">
        <v>0.1</v>
      </c>
      <c r="G1413" s="128">
        <f>IF(A1413="COMPOSIÇÃO",VLOOKUP(C1413,'SINAPI_COMPOSIÇÕES 062020'!A:D,4,FALSE),VLOOKUP(C1413,'SINAPI_INSUMOS 062020'!A:D,4,FALSE))</f>
        <v>17.760000000000002</v>
      </c>
      <c r="H1413" s="75">
        <f t="shared" ref="H1413:H1414" si="105">TRUNC(G1413*F1413,2)</f>
        <v>1.77</v>
      </c>
    </row>
    <row r="1414" spans="1:8" ht="63.75" x14ac:dyDescent="0.25">
      <c r="A1414" s="125" t="s">
        <v>400</v>
      </c>
      <c r="B1414" s="115" t="s">
        <v>9</v>
      </c>
      <c r="C1414" s="115">
        <v>37556</v>
      </c>
      <c r="D1414" s="127" t="str">
        <f>IF(A1414="COMPOSIÇÃO",VLOOKUP(C1414,'SINAPI_COMPOSIÇÕES 062020'!A:B,2,FALSE),VLOOKUP(C1414,'SINAPI_INSUMOS 062020'!A:B,2,FALSE))</f>
        <v>PLACA DE SINALIZACAO DE SEGURANCA CONTRA INCENDIO, FOTOLUMINESCENTE, QUADRADA, *20 X 20* CM, EM PVC *2* MM ANTI-CHAMAS (SIMBOLOS, CORES E PICTOGRAMAS CONFORME NBR 13434)</v>
      </c>
      <c r="E1414" s="126" t="str">
        <f>IF(A1414="COMPOSIÇÃO",VLOOKUP(C1414,'SINAPI_COMPOSIÇÕES 062020'!A:C,3,FALSE),VLOOKUP(C1414,'SINAPI_INSUMOS 062020'!A:C,3,FALSE))</f>
        <v xml:space="preserve">UN    </v>
      </c>
      <c r="F1414" s="74">
        <v>1</v>
      </c>
      <c r="G1414" s="128">
        <f>IF(A1414="COMPOSIÇÃO",VLOOKUP(C1414,'SINAPI_COMPOSIÇÕES 062020'!A:D,4,FALSE),VLOOKUP(C1414,'SINAPI_INSUMOS 062020'!A:D,4,FALSE))</f>
        <v>11.56</v>
      </c>
      <c r="H1414" s="75">
        <f t="shared" si="105"/>
        <v>11.56</v>
      </c>
    </row>
    <row r="1415" spans="1:8" ht="13.5" thickBot="1" x14ac:dyDescent="0.3">
      <c r="A1415" s="267" t="str">
        <f>CONCATENATE("TOTAL DO ÍTEM - ",A1409)</f>
        <v>TOTAL DO ÍTEM - MPMT-06010</v>
      </c>
      <c r="B1415" s="268"/>
      <c r="C1415" s="268"/>
      <c r="D1415" s="268"/>
      <c r="E1415" s="268"/>
      <c r="F1415" s="268"/>
      <c r="G1415" s="269"/>
      <c r="H1415" s="188">
        <f>TRUNC(SUM(H1413:H1414),2)</f>
        <v>13.33</v>
      </c>
    </row>
    <row r="1416" spans="1:8" ht="13.5" thickBot="1" x14ac:dyDescent="0.3">
      <c r="A1416" s="299" t="s">
        <v>12363</v>
      </c>
      <c r="B1416" s="300"/>
      <c r="C1416" s="300"/>
      <c r="D1416" s="300"/>
      <c r="E1416" s="300"/>
      <c r="F1416" s="300"/>
      <c r="G1416" s="300"/>
      <c r="H1416" s="301"/>
    </row>
    <row r="1417" spans="1:8" ht="13.5" thickBot="1" x14ac:dyDescent="0.3"/>
    <row r="1418" spans="1:8" ht="25.5" x14ac:dyDescent="0.25">
      <c r="A1418" s="120" t="s">
        <v>90</v>
      </c>
      <c r="B1418" s="286" t="s">
        <v>91</v>
      </c>
      <c r="C1418" s="287"/>
      <c r="D1418" s="287"/>
      <c r="E1418" s="287"/>
      <c r="F1418" s="287"/>
      <c r="G1418" s="288"/>
      <c r="H1418" s="121" t="s">
        <v>4</v>
      </c>
    </row>
    <row r="1419" spans="1:8" ht="13.5" thickBot="1" x14ac:dyDescent="0.3">
      <c r="A1419" s="113" t="s">
        <v>12366</v>
      </c>
      <c r="B1419" s="289" t="s">
        <v>12367</v>
      </c>
      <c r="C1419" s="290"/>
      <c r="D1419" s="290"/>
      <c r="E1419" s="290"/>
      <c r="F1419" s="290"/>
      <c r="G1419" s="291"/>
      <c r="H1419" s="114" t="s">
        <v>4</v>
      </c>
    </row>
    <row r="1420" spans="1:8" x14ac:dyDescent="0.25">
      <c r="A1420" s="273" t="s">
        <v>13834</v>
      </c>
      <c r="B1420" s="309" t="s">
        <v>92</v>
      </c>
      <c r="C1420" s="310"/>
      <c r="D1420" s="224" t="s">
        <v>12368</v>
      </c>
      <c r="E1420" s="243" t="s">
        <v>93</v>
      </c>
      <c r="F1420" s="229">
        <v>0</v>
      </c>
      <c r="G1420" s="311" t="s">
        <v>94</v>
      </c>
      <c r="H1420" s="312"/>
    </row>
    <row r="1421" spans="1:8" x14ac:dyDescent="0.25">
      <c r="A1421" s="274"/>
      <c r="B1421" s="281" t="s">
        <v>95</v>
      </c>
      <c r="C1421" s="282"/>
      <c r="D1421" s="230">
        <v>43003</v>
      </c>
      <c r="E1421" s="240" t="s">
        <v>96</v>
      </c>
      <c r="F1421" s="230">
        <v>43003</v>
      </c>
      <c r="G1421" s="279"/>
      <c r="H1421" s="280"/>
    </row>
    <row r="1422" spans="1:8" x14ac:dyDescent="0.25">
      <c r="A1422" s="122" t="s">
        <v>11885</v>
      </c>
      <c r="B1422" s="226" t="s">
        <v>97</v>
      </c>
      <c r="C1422" s="226" t="s">
        <v>98</v>
      </c>
      <c r="D1422" s="226" t="s">
        <v>3</v>
      </c>
      <c r="E1422" s="226" t="s">
        <v>4</v>
      </c>
      <c r="F1422" s="226" t="s">
        <v>99</v>
      </c>
      <c r="G1422" s="226" t="s">
        <v>100</v>
      </c>
      <c r="H1422" s="227" t="s">
        <v>101</v>
      </c>
    </row>
    <row r="1423" spans="1:8" ht="25.5" x14ac:dyDescent="0.25">
      <c r="A1423" s="125" t="s">
        <v>398</v>
      </c>
      <c r="B1423" s="115" t="s">
        <v>9</v>
      </c>
      <c r="C1423" s="115">
        <v>88264</v>
      </c>
      <c r="D1423" s="127" t="str">
        <f>IF(A1423="COMPOSIÇÃO",VLOOKUP(C1423,'SINAPI_COMPOSIÇÕES 062020'!A:B,2,FALSE),VLOOKUP(C1423,'SINAPI_INSUMOS 062020'!A:B,2,FALSE))</f>
        <v>ELETRICISTA COM ENCARGOS COMPLEMENTARES</v>
      </c>
      <c r="E1423" s="126" t="str">
        <f>IF(A1423="COMPOSIÇÃO",VLOOKUP(C1423,'SINAPI_COMPOSIÇÕES 062020'!A:C,3,FALSE),VLOOKUP(C1423,'SINAPI_INSUMOS 062020'!A:C,3,FALSE))</f>
        <v>H</v>
      </c>
      <c r="F1423" s="74">
        <v>0.5</v>
      </c>
      <c r="G1423" s="128">
        <f>IF(A1423="COMPOSIÇÃO",VLOOKUP(C1423,'SINAPI_COMPOSIÇÕES 062020'!A:D,4,FALSE),VLOOKUP(C1423,'SINAPI_INSUMOS 062020'!A:D,4,FALSE))</f>
        <v>18.38</v>
      </c>
      <c r="H1423" s="75">
        <f t="shared" ref="H1423:H1424" si="106">TRUNC(G1423*F1423,2)</f>
        <v>9.19</v>
      </c>
    </row>
    <row r="1424" spans="1:8" ht="25.5" x14ac:dyDescent="0.25">
      <c r="A1424" s="125" t="s">
        <v>398</v>
      </c>
      <c r="B1424" s="115" t="s">
        <v>9</v>
      </c>
      <c r="C1424" s="115">
        <v>88316</v>
      </c>
      <c r="D1424" s="127" t="str">
        <f>IF(A1424="COMPOSIÇÃO",VLOOKUP(C1424,'SINAPI_COMPOSIÇÕES 062020'!A:B,2,FALSE),VLOOKUP(C1424,'SINAPI_INSUMOS 062020'!A:B,2,FALSE))</f>
        <v>SERVENTE COM ENCARGOS COMPLEMENTARES</v>
      </c>
      <c r="E1424" s="126" t="str">
        <f>IF(A1424="COMPOSIÇÃO",VLOOKUP(C1424,'SINAPI_COMPOSIÇÕES 062020'!A:C,3,FALSE),VLOOKUP(C1424,'SINAPI_INSUMOS 062020'!A:C,3,FALSE))</f>
        <v>H</v>
      </c>
      <c r="F1424" s="74">
        <v>0.5</v>
      </c>
      <c r="G1424" s="128">
        <f>IF(A1424="COMPOSIÇÃO",VLOOKUP(C1424,'SINAPI_COMPOSIÇÕES 062020'!A:D,4,FALSE),VLOOKUP(C1424,'SINAPI_INSUMOS 062020'!A:D,4,FALSE))</f>
        <v>14.37</v>
      </c>
      <c r="H1424" s="75">
        <f t="shared" si="106"/>
        <v>7.18</v>
      </c>
    </row>
    <row r="1425" spans="1:8" ht="25.5" x14ac:dyDescent="0.25">
      <c r="A1425" s="125" t="s">
        <v>11958</v>
      </c>
      <c r="B1425" s="115" t="s">
        <v>11959</v>
      </c>
      <c r="C1425" s="115" t="s">
        <v>11960</v>
      </c>
      <c r="D1425" s="194" t="str">
        <f>B1429</f>
        <v>ACIONADOR MANUAL PARA ALARME DE EMERGÊNCIA, TIPO QUEBRA VIDRO</v>
      </c>
      <c r="E1425" s="115" t="str">
        <f>H1429</f>
        <v>UND</v>
      </c>
      <c r="F1425" s="74">
        <v>1</v>
      </c>
      <c r="G1425" s="195">
        <f>H1434</f>
        <v>48.07</v>
      </c>
      <c r="H1425" s="75">
        <f>TRUNC(G1425*F1425,2)</f>
        <v>48.07</v>
      </c>
    </row>
    <row r="1426" spans="1:8" ht="13.5" thickBot="1" x14ac:dyDescent="0.3">
      <c r="A1426" s="267" t="str">
        <f>CONCATENATE("TOTAL DO ÍTEM - ",A1419)</f>
        <v>TOTAL DO ÍTEM - MPMT-06013</v>
      </c>
      <c r="B1426" s="268"/>
      <c r="C1426" s="268"/>
      <c r="D1426" s="268"/>
      <c r="E1426" s="268"/>
      <c r="F1426" s="268"/>
      <c r="G1426" s="269"/>
      <c r="H1426" s="188">
        <f>TRUNC(SUM(H1423:H1425),2)</f>
        <v>64.44</v>
      </c>
    </row>
    <row r="1427" spans="1:8" ht="13.5" thickBot="1" x14ac:dyDescent="0.3">
      <c r="A1427" s="299" t="s">
        <v>12369</v>
      </c>
      <c r="B1427" s="300"/>
      <c r="C1427" s="300"/>
      <c r="D1427" s="300"/>
      <c r="E1427" s="300"/>
      <c r="F1427" s="300"/>
      <c r="G1427" s="300"/>
      <c r="H1427" s="301"/>
    </row>
    <row r="1428" spans="1:8" x14ac:dyDescent="0.25">
      <c r="A1428" s="196"/>
      <c r="B1428" s="292" t="s">
        <v>11962</v>
      </c>
      <c r="C1428" s="292"/>
      <c r="D1428" s="292"/>
      <c r="E1428" s="292"/>
      <c r="F1428" s="292"/>
      <c r="G1428" s="292"/>
      <c r="H1428" s="197" t="s">
        <v>4</v>
      </c>
    </row>
    <row r="1429" spans="1:8" ht="13.5" thickBot="1" x14ac:dyDescent="0.3">
      <c r="A1429" s="215" t="s">
        <v>11960</v>
      </c>
      <c r="B1429" s="308" t="s">
        <v>12370</v>
      </c>
      <c r="C1429" s="308"/>
      <c r="D1429" s="308"/>
      <c r="E1429" s="308"/>
      <c r="F1429" s="308"/>
      <c r="G1429" s="308"/>
      <c r="H1429" s="216" t="s">
        <v>4</v>
      </c>
    </row>
    <row r="1430" spans="1:8" ht="25.5" x14ac:dyDescent="0.25">
      <c r="A1430" s="213" t="s">
        <v>11965</v>
      </c>
      <c r="B1430" s="241" t="s">
        <v>11966</v>
      </c>
      <c r="C1430" s="241" t="s">
        <v>11967</v>
      </c>
      <c r="D1430" s="241" t="s">
        <v>11968</v>
      </c>
      <c r="E1430" s="294" t="s">
        <v>11969</v>
      </c>
      <c r="F1430" s="294"/>
      <c r="G1430" s="241" t="s">
        <v>4</v>
      </c>
      <c r="H1430" s="214" t="s">
        <v>11970</v>
      </c>
    </row>
    <row r="1431" spans="1:8" x14ac:dyDescent="0.25">
      <c r="A1431" s="205">
        <v>43671</v>
      </c>
      <c r="B1431" s="206" t="s">
        <v>11971</v>
      </c>
      <c r="C1431" s="206" t="s">
        <v>12371</v>
      </c>
      <c r="D1431" s="207" t="s">
        <v>12372</v>
      </c>
      <c r="E1431" s="295" t="s">
        <v>12373</v>
      </c>
      <c r="F1431" s="295"/>
      <c r="G1431" s="115" t="s">
        <v>4</v>
      </c>
      <c r="H1431" s="208">
        <v>44</v>
      </c>
    </row>
    <row r="1432" spans="1:8" x14ac:dyDescent="0.25">
      <c r="A1432" s="205">
        <v>43671</v>
      </c>
      <c r="B1432" s="206" t="s">
        <v>11971</v>
      </c>
      <c r="C1432" s="206" t="s">
        <v>12374</v>
      </c>
      <c r="D1432" s="207" t="s">
        <v>12375</v>
      </c>
      <c r="E1432" s="295" t="s">
        <v>12373</v>
      </c>
      <c r="F1432" s="295"/>
      <c r="G1432" s="115" t="s">
        <v>4</v>
      </c>
      <c r="H1432" s="208">
        <v>80.680000000000007</v>
      </c>
    </row>
    <row r="1433" spans="1:8" x14ac:dyDescent="0.25">
      <c r="A1433" s="231">
        <v>43671</v>
      </c>
      <c r="B1433" s="209" t="s">
        <v>11971</v>
      </c>
      <c r="C1433" s="209" t="s">
        <v>12127</v>
      </c>
      <c r="D1433" s="210" t="s">
        <v>12376</v>
      </c>
      <c r="E1433" s="307" t="s">
        <v>12377</v>
      </c>
      <c r="F1433" s="307"/>
      <c r="G1433" s="211" t="s">
        <v>4</v>
      </c>
      <c r="H1433" s="212">
        <v>48.07</v>
      </c>
    </row>
    <row r="1434" spans="1:8" ht="13.5" thickBot="1" x14ac:dyDescent="0.3">
      <c r="A1434" s="296" t="s">
        <v>11981</v>
      </c>
      <c r="B1434" s="297"/>
      <c r="C1434" s="297"/>
      <c r="D1434" s="297"/>
      <c r="E1434" s="297"/>
      <c r="F1434" s="297"/>
      <c r="G1434" s="298"/>
      <c r="H1434" s="188">
        <f>TRUNC(MEDIAN(H1431:H1433),2)</f>
        <v>48.07</v>
      </c>
    </row>
    <row r="1435" spans="1:8" ht="13.5" thickBot="1" x14ac:dyDescent="0.3"/>
    <row r="1436" spans="1:8" ht="25.5" x14ac:dyDescent="0.25">
      <c r="A1436" s="120" t="s">
        <v>90</v>
      </c>
      <c r="B1436" s="286" t="s">
        <v>91</v>
      </c>
      <c r="C1436" s="287"/>
      <c r="D1436" s="287"/>
      <c r="E1436" s="287"/>
      <c r="F1436" s="287"/>
      <c r="G1436" s="288"/>
      <c r="H1436" s="121" t="s">
        <v>4</v>
      </c>
    </row>
    <row r="1437" spans="1:8" ht="13.5" thickBot="1" x14ac:dyDescent="0.3">
      <c r="A1437" s="113" t="s">
        <v>12378</v>
      </c>
      <c r="B1437" s="289" t="s">
        <v>12379</v>
      </c>
      <c r="C1437" s="290"/>
      <c r="D1437" s="290"/>
      <c r="E1437" s="290"/>
      <c r="F1437" s="290"/>
      <c r="G1437" s="291"/>
      <c r="H1437" s="114" t="s">
        <v>4</v>
      </c>
    </row>
    <row r="1438" spans="1:8" x14ac:dyDescent="0.25">
      <c r="A1438" s="273" t="s">
        <v>13834</v>
      </c>
      <c r="B1438" s="309" t="s">
        <v>92</v>
      </c>
      <c r="C1438" s="310"/>
      <c r="D1438" s="224" t="s">
        <v>12380</v>
      </c>
      <c r="E1438" s="243" t="s">
        <v>93</v>
      </c>
      <c r="F1438" s="229">
        <v>0</v>
      </c>
      <c r="G1438" s="311" t="s">
        <v>94</v>
      </c>
      <c r="H1438" s="312"/>
    </row>
    <row r="1439" spans="1:8" x14ac:dyDescent="0.25">
      <c r="A1439" s="274"/>
      <c r="B1439" s="281" t="s">
        <v>95</v>
      </c>
      <c r="C1439" s="282"/>
      <c r="D1439" s="230">
        <v>43003</v>
      </c>
      <c r="E1439" s="240" t="s">
        <v>96</v>
      </c>
      <c r="F1439" s="230">
        <v>43003</v>
      </c>
      <c r="G1439" s="279"/>
      <c r="H1439" s="280"/>
    </row>
    <row r="1440" spans="1:8" x14ac:dyDescent="0.25">
      <c r="A1440" s="122" t="s">
        <v>11885</v>
      </c>
      <c r="B1440" s="226" t="s">
        <v>97</v>
      </c>
      <c r="C1440" s="226" t="s">
        <v>98</v>
      </c>
      <c r="D1440" s="226" t="s">
        <v>3</v>
      </c>
      <c r="E1440" s="226" t="s">
        <v>4</v>
      </c>
      <c r="F1440" s="226" t="s">
        <v>99</v>
      </c>
      <c r="G1440" s="226" t="s">
        <v>100</v>
      </c>
      <c r="H1440" s="227" t="s">
        <v>101</v>
      </c>
    </row>
    <row r="1441" spans="1:8" ht="25.5" x14ac:dyDescent="0.25">
      <c r="A1441" s="125" t="s">
        <v>398</v>
      </c>
      <c r="B1441" s="115" t="s">
        <v>9</v>
      </c>
      <c r="C1441" s="115">
        <v>88264</v>
      </c>
      <c r="D1441" s="127" t="str">
        <f>IF(A1441="COMPOSIÇÃO",VLOOKUP(C1441,'SINAPI_COMPOSIÇÕES 062020'!A:B,2,FALSE),VLOOKUP(C1441,'SINAPI_INSUMOS 062020'!A:B,2,FALSE))</f>
        <v>ELETRICISTA COM ENCARGOS COMPLEMENTARES</v>
      </c>
      <c r="E1441" s="126" t="str">
        <f>IF(A1441="COMPOSIÇÃO",VLOOKUP(C1441,'SINAPI_COMPOSIÇÕES 062020'!A:C,3,FALSE),VLOOKUP(C1441,'SINAPI_INSUMOS 062020'!A:C,3,FALSE))</f>
        <v>H</v>
      </c>
      <c r="F1441" s="74">
        <v>0.7</v>
      </c>
      <c r="G1441" s="128">
        <f>IF(A1441="COMPOSIÇÃO",VLOOKUP(C1441,'SINAPI_COMPOSIÇÕES 062020'!A:D,4,FALSE),VLOOKUP(C1441,'SINAPI_INSUMOS 062020'!A:D,4,FALSE))</f>
        <v>18.38</v>
      </c>
      <c r="H1441" s="75">
        <f t="shared" ref="H1441:H1442" si="107">TRUNC(G1441*F1441,2)</f>
        <v>12.86</v>
      </c>
    </row>
    <row r="1442" spans="1:8" ht="25.5" x14ac:dyDescent="0.25">
      <c r="A1442" s="125" t="s">
        <v>398</v>
      </c>
      <c r="B1442" s="115" t="s">
        <v>9</v>
      </c>
      <c r="C1442" s="115">
        <v>88316</v>
      </c>
      <c r="D1442" s="127" t="str">
        <f>IF(A1442="COMPOSIÇÃO",VLOOKUP(C1442,'SINAPI_COMPOSIÇÕES 062020'!A:B,2,FALSE),VLOOKUP(C1442,'SINAPI_INSUMOS 062020'!A:B,2,FALSE))</f>
        <v>SERVENTE COM ENCARGOS COMPLEMENTARES</v>
      </c>
      <c r="E1442" s="126" t="str">
        <f>IF(A1442="COMPOSIÇÃO",VLOOKUP(C1442,'SINAPI_COMPOSIÇÕES 062020'!A:C,3,FALSE),VLOOKUP(C1442,'SINAPI_INSUMOS 062020'!A:C,3,FALSE))</f>
        <v>H</v>
      </c>
      <c r="F1442" s="74">
        <v>0.7</v>
      </c>
      <c r="G1442" s="128">
        <f>IF(A1442="COMPOSIÇÃO",VLOOKUP(C1442,'SINAPI_COMPOSIÇÕES 062020'!A:D,4,FALSE),VLOOKUP(C1442,'SINAPI_INSUMOS 062020'!A:D,4,FALSE))</f>
        <v>14.37</v>
      </c>
      <c r="H1442" s="75">
        <f t="shared" si="107"/>
        <v>10.050000000000001</v>
      </c>
    </row>
    <row r="1443" spans="1:8" x14ac:dyDescent="0.25">
      <c r="A1443" s="125" t="s">
        <v>11958</v>
      </c>
      <c r="B1443" s="115" t="s">
        <v>11959</v>
      </c>
      <c r="C1443" s="115" t="s">
        <v>11960</v>
      </c>
      <c r="D1443" s="194" t="str">
        <f>B1447</f>
        <v>SIRENE ELÉTRICA, 120dB 12V</v>
      </c>
      <c r="E1443" s="115" t="str">
        <f>H1447</f>
        <v>UND</v>
      </c>
      <c r="F1443" s="74">
        <v>1</v>
      </c>
      <c r="G1443" s="195">
        <f>H1452</f>
        <v>26.18</v>
      </c>
      <c r="H1443" s="75">
        <f>TRUNC(G1443*F1443,2)</f>
        <v>26.18</v>
      </c>
    </row>
    <row r="1444" spans="1:8" ht="13.5" thickBot="1" x14ac:dyDescent="0.3">
      <c r="A1444" s="267" t="str">
        <f>CONCATENATE("TOTAL DO ÍTEM - ",A1437)</f>
        <v>TOTAL DO ÍTEM - MPMT-06014</v>
      </c>
      <c r="B1444" s="268"/>
      <c r="C1444" s="268"/>
      <c r="D1444" s="268"/>
      <c r="E1444" s="268"/>
      <c r="F1444" s="268"/>
      <c r="G1444" s="269"/>
      <c r="H1444" s="188">
        <f>TRUNC(SUM(H1441:H1443),2)</f>
        <v>49.09</v>
      </c>
    </row>
    <row r="1445" spans="1:8" ht="13.5" thickBot="1" x14ac:dyDescent="0.3">
      <c r="A1445" s="299" t="s">
        <v>12381</v>
      </c>
      <c r="B1445" s="300"/>
      <c r="C1445" s="300"/>
      <c r="D1445" s="300"/>
      <c r="E1445" s="300"/>
      <c r="F1445" s="300"/>
      <c r="G1445" s="300"/>
      <c r="H1445" s="301"/>
    </row>
    <row r="1446" spans="1:8" x14ac:dyDescent="0.25">
      <c r="A1446" s="196"/>
      <c r="B1446" s="292" t="s">
        <v>11962</v>
      </c>
      <c r="C1446" s="292"/>
      <c r="D1446" s="292"/>
      <c r="E1446" s="292"/>
      <c r="F1446" s="292"/>
      <c r="G1446" s="292"/>
      <c r="H1446" s="197" t="s">
        <v>11963</v>
      </c>
    </row>
    <row r="1447" spans="1:8" ht="13.5" thickBot="1" x14ac:dyDescent="0.3">
      <c r="A1447" s="215" t="s">
        <v>11960</v>
      </c>
      <c r="B1447" s="308" t="s">
        <v>12382</v>
      </c>
      <c r="C1447" s="308"/>
      <c r="D1447" s="308"/>
      <c r="E1447" s="308"/>
      <c r="F1447" s="308"/>
      <c r="G1447" s="308"/>
      <c r="H1447" s="216" t="s">
        <v>4</v>
      </c>
    </row>
    <row r="1448" spans="1:8" ht="25.5" x14ac:dyDescent="0.25">
      <c r="A1448" s="213" t="s">
        <v>11965</v>
      </c>
      <c r="B1448" s="241" t="s">
        <v>11966</v>
      </c>
      <c r="C1448" s="241" t="s">
        <v>11967</v>
      </c>
      <c r="D1448" s="241" t="s">
        <v>11968</v>
      </c>
      <c r="E1448" s="294" t="s">
        <v>11969</v>
      </c>
      <c r="F1448" s="294"/>
      <c r="G1448" s="241" t="s">
        <v>4</v>
      </c>
      <c r="H1448" s="214" t="s">
        <v>11970</v>
      </c>
    </row>
    <row r="1449" spans="1:8" x14ac:dyDescent="0.25">
      <c r="A1449" s="205">
        <v>43671</v>
      </c>
      <c r="B1449" s="206" t="s">
        <v>11971</v>
      </c>
      <c r="C1449" s="206" t="s">
        <v>12383</v>
      </c>
      <c r="D1449" s="207" t="s">
        <v>12384</v>
      </c>
      <c r="E1449" s="295" t="s">
        <v>12385</v>
      </c>
      <c r="F1449" s="295"/>
      <c r="G1449" s="115" t="s">
        <v>4</v>
      </c>
      <c r="H1449" s="208">
        <f>(25.28+23.68)/2</f>
        <v>24.48</v>
      </c>
    </row>
    <row r="1450" spans="1:8" x14ac:dyDescent="0.25">
      <c r="A1450" s="205">
        <v>43671</v>
      </c>
      <c r="B1450" s="206" t="s">
        <v>11971</v>
      </c>
      <c r="C1450" s="206" t="s">
        <v>12374</v>
      </c>
      <c r="D1450" s="207" t="s">
        <v>12375</v>
      </c>
      <c r="E1450" s="295" t="s">
        <v>12373</v>
      </c>
      <c r="F1450" s="295"/>
      <c r="G1450" s="115" t="s">
        <v>4</v>
      </c>
      <c r="H1450" s="208">
        <f>54.04/2</f>
        <v>27.02</v>
      </c>
    </row>
    <row r="1451" spans="1:8" x14ac:dyDescent="0.25">
      <c r="A1451" s="231">
        <v>43671</v>
      </c>
      <c r="B1451" s="209" t="s">
        <v>11971</v>
      </c>
      <c r="C1451" s="209" t="s">
        <v>12386</v>
      </c>
      <c r="D1451" s="210" t="s">
        <v>12387</v>
      </c>
      <c r="E1451" s="307" t="s">
        <v>12388</v>
      </c>
      <c r="F1451" s="307"/>
      <c r="G1451" s="211" t="s">
        <v>4</v>
      </c>
      <c r="H1451" s="212">
        <f>52.36/2</f>
        <v>26.18</v>
      </c>
    </row>
    <row r="1452" spans="1:8" ht="13.5" thickBot="1" x14ac:dyDescent="0.3">
      <c r="A1452" s="296" t="s">
        <v>11981</v>
      </c>
      <c r="B1452" s="297"/>
      <c r="C1452" s="297"/>
      <c r="D1452" s="297"/>
      <c r="E1452" s="297"/>
      <c r="F1452" s="297"/>
      <c r="G1452" s="298"/>
      <c r="H1452" s="188">
        <f>TRUNC(MEDIAN(H1449:H1451),2)</f>
        <v>26.18</v>
      </c>
    </row>
    <row r="1453" spans="1:8" ht="13.5" thickBot="1" x14ac:dyDescent="0.3"/>
    <row r="1454" spans="1:8" ht="25.5" x14ac:dyDescent="0.25">
      <c r="A1454" s="120" t="s">
        <v>90</v>
      </c>
      <c r="B1454" s="286" t="s">
        <v>91</v>
      </c>
      <c r="C1454" s="287"/>
      <c r="D1454" s="287"/>
      <c r="E1454" s="287"/>
      <c r="F1454" s="287"/>
      <c r="G1454" s="288"/>
      <c r="H1454" s="121" t="s">
        <v>4</v>
      </c>
    </row>
    <row r="1455" spans="1:8" ht="13.5" thickBot="1" x14ac:dyDescent="0.3">
      <c r="A1455" s="113" t="s">
        <v>12389</v>
      </c>
      <c r="B1455" s="289" t="s">
        <v>12390</v>
      </c>
      <c r="C1455" s="290"/>
      <c r="D1455" s="290"/>
      <c r="E1455" s="290"/>
      <c r="F1455" s="290"/>
      <c r="G1455" s="291"/>
      <c r="H1455" s="114" t="s">
        <v>4</v>
      </c>
    </row>
    <row r="1456" spans="1:8" x14ac:dyDescent="0.25">
      <c r="A1456" s="273" t="s">
        <v>13834</v>
      </c>
      <c r="B1456" s="309" t="s">
        <v>92</v>
      </c>
      <c r="C1456" s="310"/>
      <c r="D1456" s="224" t="s">
        <v>12391</v>
      </c>
      <c r="E1456" s="243" t="s">
        <v>93</v>
      </c>
      <c r="F1456" s="229" t="s">
        <v>11957</v>
      </c>
      <c r="G1456" s="311" t="s">
        <v>12143</v>
      </c>
      <c r="H1456" s="312"/>
    </row>
    <row r="1457" spans="1:8" x14ac:dyDescent="0.25">
      <c r="A1457" s="274"/>
      <c r="B1457" s="281" t="s">
        <v>95</v>
      </c>
      <c r="C1457" s="282"/>
      <c r="D1457" s="230">
        <v>43038</v>
      </c>
      <c r="E1457" s="240" t="s">
        <v>96</v>
      </c>
      <c r="F1457" s="230">
        <v>44032</v>
      </c>
      <c r="G1457" s="279"/>
      <c r="H1457" s="280"/>
    </row>
    <row r="1458" spans="1:8" x14ac:dyDescent="0.25">
      <c r="A1458" s="122" t="s">
        <v>11885</v>
      </c>
      <c r="B1458" s="226" t="s">
        <v>97</v>
      </c>
      <c r="C1458" s="226" t="s">
        <v>98</v>
      </c>
      <c r="D1458" s="226" t="s">
        <v>3</v>
      </c>
      <c r="E1458" s="226" t="s">
        <v>4</v>
      </c>
      <c r="F1458" s="226" t="s">
        <v>99</v>
      </c>
      <c r="G1458" s="226" t="s">
        <v>100</v>
      </c>
      <c r="H1458" s="227" t="s">
        <v>101</v>
      </c>
    </row>
    <row r="1459" spans="1:8" ht="25.5" x14ac:dyDescent="0.25">
      <c r="A1459" s="125" t="s">
        <v>398</v>
      </c>
      <c r="B1459" s="115" t="s">
        <v>9</v>
      </c>
      <c r="C1459" s="115">
        <v>88264</v>
      </c>
      <c r="D1459" s="127" t="str">
        <f>IF(A1459="COMPOSIÇÃO",VLOOKUP(C1459,'SINAPI_COMPOSIÇÕES 062020'!A:B,2,FALSE),VLOOKUP(C1459,'SINAPI_INSUMOS 062020'!A:B,2,FALSE))</f>
        <v>ELETRICISTA COM ENCARGOS COMPLEMENTARES</v>
      </c>
      <c r="E1459" s="126" t="str">
        <f>IF(A1459="COMPOSIÇÃO",VLOOKUP(C1459,'SINAPI_COMPOSIÇÕES 062020'!A:C,3,FALSE),VLOOKUP(C1459,'SINAPI_INSUMOS 062020'!A:C,3,FALSE))</f>
        <v>H</v>
      </c>
      <c r="F1459" s="74">
        <v>0.55000000000000004</v>
      </c>
      <c r="G1459" s="128">
        <f>IF(A1459="COMPOSIÇÃO",VLOOKUP(C1459,'SINAPI_COMPOSIÇÕES 062020'!A:D,4,FALSE),VLOOKUP(C1459,'SINAPI_INSUMOS 062020'!A:D,4,FALSE))</f>
        <v>18.38</v>
      </c>
      <c r="H1459" s="75">
        <f t="shared" ref="H1459:H1460" si="108">TRUNC(G1459*F1459,2)</f>
        <v>10.1</v>
      </c>
    </row>
    <row r="1460" spans="1:8" ht="25.5" x14ac:dyDescent="0.25">
      <c r="A1460" s="125" t="s">
        <v>398</v>
      </c>
      <c r="B1460" s="115" t="s">
        <v>9</v>
      </c>
      <c r="C1460" s="115">
        <v>88247</v>
      </c>
      <c r="D1460" s="127" t="str">
        <f>IF(A1460="COMPOSIÇÃO",VLOOKUP(C1460,'SINAPI_COMPOSIÇÕES 062020'!A:B,2,FALSE),VLOOKUP(C1460,'SINAPI_INSUMOS 062020'!A:B,2,FALSE))</f>
        <v>AUXILIAR DE ELETRICISTA COM ENCARGOS COMPLEMENTARES</v>
      </c>
      <c r="E1460" s="126" t="str">
        <f>IF(A1460="COMPOSIÇÃO",VLOOKUP(C1460,'SINAPI_COMPOSIÇÕES 062020'!A:C,3,FALSE),VLOOKUP(C1460,'SINAPI_INSUMOS 062020'!A:C,3,FALSE))</f>
        <v>H</v>
      </c>
      <c r="F1460" s="74">
        <v>0.5</v>
      </c>
      <c r="G1460" s="128">
        <f>IF(A1460="COMPOSIÇÃO",VLOOKUP(C1460,'SINAPI_COMPOSIÇÕES 062020'!A:D,4,FALSE),VLOOKUP(C1460,'SINAPI_INSUMOS 062020'!A:D,4,FALSE))</f>
        <v>14.33</v>
      </c>
      <c r="H1460" s="75">
        <f t="shared" si="108"/>
        <v>7.16</v>
      </c>
    </row>
    <row r="1461" spans="1:8" x14ac:dyDescent="0.25">
      <c r="A1461" s="125" t="s">
        <v>11958</v>
      </c>
      <c r="B1461" s="115" t="s">
        <v>11959</v>
      </c>
      <c r="C1461" s="115" t="s">
        <v>11960</v>
      </c>
      <c r="D1461" s="194" t="str">
        <f>B1465</f>
        <v>DETECTOR DE FUMAÇA</v>
      </c>
      <c r="E1461" s="115" t="str">
        <f>H1465</f>
        <v>UND</v>
      </c>
      <c r="F1461" s="74">
        <v>1</v>
      </c>
      <c r="G1461" s="195">
        <f>H1470</f>
        <v>79.88</v>
      </c>
      <c r="H1461" s="75">
        <f t="shared" ref="H1461" si="109">TRUNC(G1461*F1461,2)</f>
        <v>79.88</v>
      </c>
    </row>
    <row r="1462" spans="1:8" ht="13.5" thickBot="1" x14ac:dyDescent="0.3">
      <c r="A1462" s="267" t="str">
        <f>CONCATENATE("TOTAL DO ÍTEM - ",A1455)</f>
        <v>TOTAL DO ÍTEM - MPMT-06032</v>
      </c>
      <c r="B1462" s="268"/>
      <c r="C1462" s="268"/>
      <c r="D1462" s="268"/>
      <c r="E1462" s="268"/>
      <c r="F1462" s="268"/>
      <c r="G1462" s="269"/>
      <c r="H1462" s="188">
        <f>TRUNC(SUM(H1459:H1461),2)</f>
        <v>97.14</v>
      </c>
    </row>
    <row r="1463" spans="1:8" ht="13.5" thickBot="1" x14ac:dyDescent="0.3">
      <c r="A1463" s="299" t="s">
        <v>12392</v>
      </c>
      <c r="B1463" s="300"/>
      <c r="C1463" s="300"/>
      <c r="D1463" s="300"/>
      <c r="E1463" s="300"/>
      <c r="F1463" s="300"/>
      <c r="G1463" s="300"/>
      <c r="H1463" s="301"/>
    </row>
    <row r="1464" spans="1:8" x14ac:dyDescent="0.25">
      <c r="A1464" s="196"/>
      <c r="B1464" s="292" t="s">
        <v>11962</v>
      </c>
      <c r="C1464" s="292"/>
      <c r="D1464" s="292"/>
      <c r="E1464" s="292"/>
      <c r="F1464" s="292"/>
      <c r="G1464" s="292"/>
      <c r="H1464" s="197" t="s">
        <v>11963</v>
      </c>
    </row>
    <row r="1465" spans="1:8" ht="13.5" thickBot="1" x14ac:dyDescent="0.3">
      <c r="A1465" s="215" t="s">
        <v>11960</v>
      </c>
      <c r="B1465" s="308" t="s">
        <v>12393</v>
      </c>
      <c r="C1465" s="308"/>
      <c r="D1465" s="308"/>
      <c r="E1465" s="308"/>
      <c r="F1465" s="308"/>
      <c r="G1465" s="308"/>
      <c r="H1465" s="216" t="s">
        <v>4</v>
      </c>
    </row>
    <row r="1466" spans="1:8" ht="25.5" x14ac:dyDescent="0.25">
      <c r="A1466" s="213" t="s">
        <v>11965</v>
      </c>
      <c r="B1466" s="241" t="s">
        <v>11966</v>
      </c>
      <c r="C1466" s="241" t="s">
        <v>11967</v>
      </c>
      <c r="D1466" s="241" t="s">
        <v>11968</v>
      </c>
      <c r="E1466" s="294" t="s">
        <v>11969</v>
      </c>
      <c r="F1466" s="294"/>
      <c r="G1466" s="241" t="s">
        <v>4</v>
      </c>
      <c r="H1466" s="214" t="s">
        <v>11970</v>
      </c>
    </row>
    <row r="1467" spans="1:8" x14ac:dyDescent="0.25">
      <c r="A1467" s="205">
        <v>44032</v>
      </c>
      <c r="B1467" s="206" t="s">
        <v>11971</v>
      </c>
      <c r="C1467" s="206" t="s">
        <v>12346</v>
      </c>
      <c r="D1467" s="206" t="s">
        <v>12394</v>
      </c>
      <c r="E1467" s="295" t="s">
        <v>12395</v>
      </c>
      <c r="F1467" s="295"/>
      <c r="G1467" s="115" t="s">
        <v>4</v>
      </c>
      <c r="H1467" s="208">
        <f>((25*77.9)+104.57)/25</f>
        <v>82.082800000000006</v>
      </c>
    </row>
    <row r="1468" spans="1:8" x14ac:dyDescent="0.25">
      <c r="A1468" s="205">
        <v>44032</v>
      </c>
      <c r="B1468" s="206" t="s">
        <v>11971</v>
      </c>
      <c r="C1468" s="206" t="s">
        <v>12396</v>
      </c>
      <c r="D1468" s="206" t="s">
        <v>12397</v>
      </c>
      <c r="E1468" s="295" t="s">
        <v>12398</v>
      </c>
      <c r="F1468" s="295"/>
      <c r="G1468" s="115" t="s">
        <v>4</v>
      </c>
      <c r="H1468" s="208">
        <f>1997.18/25</f>
        <v>79.887200000000007</v>
      </c>
    </row>
    <row r="1469" spans="1:8" x14ac:dyDescent="0.25">
      <c r="A1469" s="205">
        <v>44032</v>
      </c>
      <c r="B1469" s="209" t="s">
        <v>11971</v>
      </c>
      <c r="C1469" s="209" t="s">
        <v>12399</v>
      </c>
      <c r="D1469" s="206" t="s">
        <v>12400</v>
      </c>
      <c r="E1469" s="307" t="s">
        <v>12401</v>
      </c>
      <c r="F1469" s="307"/>
      <c r="G1469" s="211" t="s">
        <v>4</v>
      </c>
      <c r="H1469" s="212">
        <f>1485.5/25</f>
        <v>59.42</v>
      </c>
    </row>
    <row r="1470" spans="1:8" ht="13.5" thickBot="1" x14ac:dyDescent="0.3">
      <c r="A1470" s="296" t="s">
        <v>11981</v>
      </c>
      <c r="B1470" s="297"/>
      <c r="C1470" s="297"/>
      <c r="D1470" s="297"/>
      <c r="E1470" s="297"/>
      <c r="F1470" s="297"/>
      <c r="G1470" s="298"/>
      <c r="H1470" s="188">
        <f>TRUNC(MEDIAN(H1467:H1469),2)</f>
        <v>79.88</v>
      </c>
    </row>
    <row r="1471" spans="1:8" ht="13.5" thickBot="1" x14ac:dyDescent="0.3"/>
    <row r="1472" spans="1:8" ht="25.5" x14ac:dyDescent="0.25">
      <c r="A1472" s="120" t="s">
        <v>90</v>
      </c>
      <c r="B1472" s="286" t="s">
        <v>91</v>
      </c>
      <c r="C1472" s="287"/>
      <c r="D1472" s="287"/>
      <c r="E1472" s="287"/>
      <c r="F1472" s="287"/>
      <c r="G1472" s="288"/>
      <c r="H1472" s="121" t="s">
        <v>4</v>
      </c>
    </row>
    <row r="1473" spans="1:8" ht="13.5" thickBot="1" x14ac:dyDescent="0.3">
      <c r="A1473" s="113" t="s">
        <v>12402</v>
      </c>
      <c r="B1473" s="289" t="s">
        <v>12403</v>
      </c>
      <c r="C1473" s="290"/>
      <c r="D1473" s="290"/>
      <c r="E1473" s="290"/>
      <c r="F1473" s="290"/>
      <c r="G1473" s="291"/>
      <c r="H1473" s="114" t="s">
        <v>16</v>
      </c>
    </row>
    <row r="1474" spans="1:8" x14ac:dyDescent="0.25">
      <c r="A1474" s="273" t="s">
        <v>13834</v>
      </c>
      <c r="B1474" s="275" t="s">
        <v>92</v>
      </c>
      <c r="C1474" s="276"/>
      <c r="D1474" s="185" t="s">
        <v>12404</v>
      </c>
      <c r="E1474" s="239" t="s">
        <v>93</v>
      </c>
      <c r="F1474" s="186">
        <v>0</v>
      </c>
      <c r="G1474" s="277" t="s">
        <v>94</v>
      </c>
      <c r="H1474" s="278"/>
    </row>
    <row r="1475" spans="1:8" x14ac:dyDescent="0.25">
      <c r="A1475" s="274"/>
      <c r="B1475" s="281" t="s">
        <v>95</v>
      </c>
      <c r="C1475" s="282"/>
      <c r="D1475" s="187">
        <v>44032</v>
      </c>
      <c r="E1475" s="240" t="s">
        <v>96</v>
      </c>
      <c r="F1475" s="187">
        <v>44032</v>
      </c>
      <c r="G1475" s="279"/>
      <c r="H1475" s="280"/>
    </row>
    <row r="1476" spans="1:8" x14ac:dyDescent="0.25">
      <c r="A1476" s="122" t="s">
        <v>11885</v>
      </c>
      <c r="B1476" s="123" t="s">
        <v>97</v>
      </c>
      <c r="C1476" s="123" t="s">
        <v>98</v>
      </c>
      <c r="D1476" s="123" t="s">
        <v>3</v>
      </c>
      <c r="E1476" s="123" t="s">
        <v>4</v>
      </c>
      <c r="F1476" s="123" t="s">
        <v>99</v>
      </c>
      <c r="G1476" s="123" t="s">
        <v>100</v>
      </c>
      <c r="H1476" s="124" t="s">
        <v>101</v>
      </c>
    </row>
    <row r="1477" spans="1:8" ht="25.5" x14ac:dyDescent="0.25">
      <c r="A1477" s="125" t="s">
        <v>398</v>
      </c>
      <c r="B1477" s="115" t="s">
        <v>9</v>
      </c>
      <c r="C1477" s="115">
        <v>88247</v>
      </c>
      <c r="D1477" s="127" t="str">
        <f>IF(A1477="COMPOSIÇÃO",VLOOKUP(C1477,'SINAPI_COMPOSIÇÕES 062020'!A:B,2,FALSE),VLOOKUP(C1477,'SINAPI_INSUMOS 062020'!A:B,2,FALSE))</f>
        <v>AUXILIAR DE ELETRICISTA COM ENCARGOS COMPLEMENTARES</v>
      </c>
      <c r="E1477" s="126" t="str">
        <f>IF(A1477="COMPOSIÇÃO",VLOOKUP(C1477,'SINAPI_COMPOSIÇÕES 062020'!A:C,3,FALSE),VLOOKUP(C1477,'SINAPI_INSUMOS 062020'!A:C,3,FALSE))</f>
        <v>H</v>
      </c>
      <c r="F1477" s="74">
        <v>8.9999999999999993E-3</v>
      </c>
      <c r="G1477" s="128">
        <f>IF(A1477="COMPOSIÇÃO",VLOOKUP(C1477,'SINAPI_COMPOSIÇÕES 062020'!A:D,4,FALSE),VLOOKUP(C1477,'SINAPI_INSUMOS 062020'!A:D,4,FALSE))</f>
        <v>14.33</v>
      </c>
      <c r="H1477" s="75">
        <f t="shared" ref="H1477:H1479" si="110">TRUNC(G1477*F1477,2)</f>
        <v>0.12</v>
      </c>
    </row>
    <row r="1478" spans="1:8" ht="25.5" x14ac:dyDescent="0.25">
      <c r="A1478" s="125" t="s">
        <v>398</v>
      </c>
      <c r="B1478" s="115" t="s">
        <v>9</v>
      </c>
      <c r="C1478" s="115">
        <v>88264</v>
      </c>
      <c r="D1478" s="127" t="str">
        <f>IF(A1478="COMPOSIÇÃO",VLOOKUP(C1478,'SINAPI_COMPOSIÇÕES 062020'!A:B,2,FALSE),VLOOKUP(C1478,'SINAPI_INSUMOS 062020'!A:B,2,FALSE))</f>
        <v>ELETRICISTA COM ENCARGOS COMPLEMENTARES</v>
      </c>
      <c r="E1478" s="126" t="str">
        <f>IF(A1478="COMPOSIÇÃO",VLOOKUP(C1478,'SINAPI_COMPOSIÇÕES 062020'!A:C,3,FALSE),VLOOKUP(C1478,'SINAPI_INSUMOS 062020'!A:C,3,FALSE))</f>
        <v>H</v>
      </c>
      <c r="F1478" s="74">
        <v>8.9999999999999993E-3</v>
      </c>
      <c r="G1478" s="128">
        <f>IF(A1478="COMPOSIÇÃO",VLOOKUP(C1478,'SINAPI_COMPOSIÇÕES 062020'!A:D,4,FALSE),VLOOKUP(C1478,'SINAPI_INSUMOS 062020'!A:D,4,FALSE))</f>
        <v>18.38</v>
      </c>
      <c r="H1478" s="75">
        <f t="shared" si="110"/>
        <v>0.16</v>
      </c>
    </row>
    <row r="1479" spans="1:8" ht="25.5" x14ac:dyDescent="0.25">
      <c r="A1479" s="125" t="s">
        <v>400</v>
      </c>
      <c r="B1479" s="115" t="s">
        <v>9</v>
      </c>
      <c r="C1479" s="115">
        <v>21127</v>
      </c>
      <c r="D1479" s="127" t="str">
        <f>IF(A1479="COMPOSIÇÃO",VLOOKUP(C1479,'SINAPI_COMPOSIÇÕES 062020'!A:B,2,FALSE),VLOOKUP(C1479,'SINAPI_INSUMOS 062020'!A:B,2,FALSE))</f>
        <v>FITA ISOLANTE ADESIVA ANTICHAMA, USO ATE 750 V, EM ROLO DE 19 MM X 5 M</v>
      </c>
      <c r="E1479" s="126" t="str">
        <f>IF(A1479="COMPOSIÇÃO",VLOOKUP(C1479,'SINAPI_COMPOSIÇÕES 062020'!A:C,3,FALSE),VLOOKUP(C1479,'SINAPI_INSUMOS 062020'!A:C,3,FALSE))</f>
        <v xml:space="preserve">UN    </v>
      </c>
      <c r="F1479" s="74">
        <v>0.01</v>
      </c>
      <c r="G1479" s="128">
        <f>IF(A1479="COMPOSIÇÃO",VLOOKUP(C1479,'SINAPI_COMPOSIÇÕES 062020'!A:D,4,FALSE),VLOOKUP(C1479,'SINAPI_INSUMOS 062020'!A:D,4,FALSE))</f>
        <v>3.74</v>
      </c>
      <c r="H1479" s="75">
        <f t="shared" si="110"/>
        <v>0.03</v>
      </c>
    </row>
    <row r="1480" spans="1:8" x14ac:dyDescent="0.25">
      <c r="A1480" s="125" t="s">
        <v>11958</v>
      </c>
      <c r="B1480" s="115" t="s">
        <v>11959</v>
      </c>
      <c r="C1480" s="115" t="s">
        <v>11960</v>
      </c>
      <c r="D1480" s="194" t="str">
        <f>B1484</f>
        <v>CABO FLEXÍVEL BLINDADO, 2 VIAS 1,5MM²</v>
      </c>
      <c r="E1480" s="115" t="str">
        <f>H1484</f>
        <v>M</v>
      </c>
      <c r="F1480" s="74">
        <v>1.0269999999999999</v>
      </c>
      <c r="G1480" s="195">
        <f>H1488</f>
        <v>6.76</v>
      </c>
      <c r="H1480" s="75">
        <f t="shared" ref="H1480" si="111">TRUNC(G1480*F1480,2)</f>
        <v>6.94</v>
      </c>
    </row>
    <row r="1481" spans="1:8" ht="13.5" thickBot="1" x14ac:dyDescent="0.3">
      <c r="A1481" s="267" t="str">
        <f>CONCATENATE("TOTAL DO ÍTEM - ",A1473)</f>
        <v>TOTAL DO ÍTEM - MPMT-03437</v>
      </c>
      <c r="B1481" s="268"/>
      <c r="C1481" s="268"/>
      <c r="D1481" s="268"/>
      <c r="E1481" s="268"/>
      <c r="F1481" s="268"/>
      <c r="G1481" s="269"/>
      <c r="H1481" s="188">
        <f>TRUNC(SUM(H1477:H1480),2)</f>
        <v>7.25</v>
      </c>
    </row>
    <row r="1482" spans="1:8" ht="13.5" thickBot="1" x14ac:dyDescent="0.3">
      <c r="A1482" s="299" t="s">
        <v>12405</v>
      </c>
      <c r="B1482" s="300"/>
      <c r="C1482" s="300"/>
      <c r="D1482" s="300"/>
      <c r="E1482" s="300"/>
      <c r="F1482" s="300"/>
      <c r="G1482" s="300"/>
      <c r="H1482" s="301"/>
    </row>
    <row r="1483" spans="1:8" x14ac:dyDescent="0.25">
      <c r="A1483" s="196"/>
      <c r="B1483" s="292" t="s">
        <v>11962</v>
      </c>
      <c r="C1483" s="292"/>
      <c r="D1483" s="292"/>
      <c r="E1483" s="292"/>
      <c r="F1483" s="292"/>
      <c r="G1483" s="292"/>
      <c r="H1483" s="197" t="s">
        <v>11963</v>
      </c>
    </row>
    <row r="1484" spans="1:8" ht="13.5" thickBot="1" x14ac:dyDescent="0.3">
      <c r="A1484" s="215" t="s">
        <v>11960</v>
      </c>
      <c r="B1484" s="308" t="s">
        <v>12406</v>
      </c>
      <c r="C1484" s="308"/>
      <c r="D1484" s="308"/>
      <c r="E1484" s="308"/>
      <c r="F1484" s="308"/>
      <c r="G1484" s="308"/>
      <c r="H1484" s="216" t="s">
        <v>16</v>
      </c>
    </row>
    <row r="1485" spans="1:8" ht="25.5" x14ac:dyDescent="0.25">
      <c r="A1485" s="213" t="s">
        <v>11965</v>
      </c>
      <c r="B1485" s="241" t="s">
        <v>11966</v>
      </c>
      <c r="C1485" s="241" t="s">
        <v>11967</v>
      </c>
      <c r="D1485" s="241" t="s">
        <v>11968</v>
      </c>
      <c r="E1485" s="294" t="s">
        <v>11969</v>
      </c>
      <c r="F1485" s="294"/>
      <c r="G1485" s="241" t="s">
        <v>4</v>
      </c>
      <c r="H1485" s="214" t="s">
        <v>11970</v>
      </c>
    </row>
    <row r="1486" spans="1:8" x14ac:dyDescent="0.25">
      <c r="A1486" s="205">
        <v>44032</v>
      </c>
      <c r="B1486" s="206" t="s">
        <v>11971</v>
      </c>
      <c r="C1486" s="206" t="s">
        <v>12407</v>
      </c>
      <c r="D1486" s="219" t="s">
        <v>12408</v>
      </c>
      <c r="E1486" s="306" t="s">
        <v>12409</v>
      </c>
      <c r="F1486" s="306"/>
      <c r="G1486" s="115" t="s">
        <v>16</v>
      </c>
      <c r="H1486" s="218">
        <f>847.97/200</f>
        <v>4.2398500000000006</v>
      </c>
    </row>
    <row r="1487" spans="1:8" x14ac:dyDescent="0.25">
      <c r="A1487" s="205">
        <v>44032</v>
      </c>
      <c r="B1487" s="206" t="s">
        <v>11971</v>
      </c>
      <c r="C1487" s="206" t="s">
        <v>12410</v>
      </c>
      <c r="D1487" s="207" t="s">
        <v>12411</v>
      </c>
      <c r="E1487" s="295" t="s">
        <v>12412</v>
      </c>
      <c r="F1487" s="295"/>
      <c r="G1487" s="115" t="s">
        <v>16</v>
      </c>
      <c r="H1487" s="208">
        <f>(1700+159.5)/200</f>
        <v>9.2974999999999994</v>
      </c>
    </row>
    <row r="1488" spans="1:8" ht="13.5" thickBot="1" x14ac:dyDescent="0.3">
      <c r="A1488" s="296" t="s">
        <v>11981</v>
      </c>
      <c r="B1488" s="297"/>
      <c r="C1488" s="297"/>
      <c r="D1488" s="297"/>
      <c r="E1488" s="297"/>
      <c r="F1488" s="297"/>
      <c r="G1488" s="298"/>
      <c r="H1488" s="188">
        <f>TRUNC(MEDIAN(H1486:H1487),2)</f>
        <v>6.76</v>
      </c>
    </row>
    <row r="1489" spans="1:8" ht="13.5" thickBot="1" x14ac:dyDescent="0.3"/>
    <row r="1490" spans="1:8" ht="25.5" x14ac:dyDescent="0.25">
      <c r="A1490" s="120" t="s">
        <v>90</v>
      </c>
      <c r="B1490" s="286" t="s">
        <v>91</v>
      </c>
      <c r="C1490" s="287"/>
      <c r="D1490" s="287"/>
      <c r="E1490" s="287"/>
      <c r="F1490" s="287"/>
      <c r="G1490" s="288"/>
      <c r="H1490" s="121" t="s">
        <v>4</v>
      </c>
    </row>
    <row r="1491" spans="1:8" ht="13.5" thickBot="1" x14ac:dyDescent="0.3">
      <c r="A1491" s="113" t="s">
        <v>12413</v>
      </c>
      <c r="B1491" s="289" t="s">
        <v>12414</v>
      </c>
      <c r="C1491" s="290"/>
      <c r="D1491" s="290"/>
      <c r="E1491" s="290"/>
      <c r="F1491" s="290"/>
      <c r="G1491" s="291"/>
      <c r="H1491" s="114" t="s">
        <v>16</v>
      </c>
    </row>
    <row r="1492" spans="1:8" x14ac:dyDescent="0.25">
      <c r="A1492" s="273" t="s">
        <v>13834</v>
      </c>
      <c r="B1492" s="275" t="s">
        <v>92</v>
      </c>
      <c r="C1492" s="276"/>
      <c r="D1492" s="185" t="s">
        <v>12415</v>
      </c>
      <c r="E1492" s="239" t="s">
        <v>93</v>
      </c>
      <c r="F1492" s="186">
        <v>0</v>
      </c>
      <c r="G1492" s="277" t="s">
        <v>94</v>
      </c>
      <c r="H1492" s="278"/>
    </row>
    <row r="1493" spans="1:8" x14ac:dyDescent="0.25">
      <c r="A1493" s="274"/>
      <c r="B1493" s="281" t="s">
        <v>95</v>
      </c>
      <c r="C1493" s="282"/>
      <c r="D1493" s="187">
        <v>43388</v>
      </c>
      <c r="E1493" s="240" t="s">
        <v>96</v>
      </c>
      <c r="F1493" s="187">
        <v>43388</v>
      </c>
      <c r="G1493" s="279"/>
      <c r="H1493" s="280"/>
    </row>
    <row r="1494" spans="1:8" x14ac:dyDescent="0.25">
      <c r="A1494" s="122" t="s">
        <v>11885</v>
      </c>
      <c r="B1494" s="123" t="s">
        <v>97</v>
      </c>
      <c r="C1494" s="123" t="s">
        <v>98</v>
      </c>
      <c r="D1494" s="123" t="s">
        <v>3</v>
      </c>
      <c r="E1494" s="123" t="s">
        <v>4</v>
      </c>
      <c r="F1494" s="123" t="s">
        <v>99</v>
      </c>
      <c r="G1494" s="123" t="s">
        <v>100</v>
      </c>
      <c r="H1494" s="124" t="s">
        <v>101</v>
      </c>
    </row>
    <row r="1495" spans="1:8" ht="25.5" x14ac:dyDescent="0.25">
      <c r="A1495" s="125" t="s">
        <v>398</v>
      </c>
      <c r="B1495" s="115" t="s">
        <v>9</v>
      </c>
      <c r="C1495" s="115">
        <v>88264</v>
      </c>
      <c r="D1495" s="127" t="str">
        <f>IF(A1495="COMPOSIÇÃO",VLOOKUP(C1495,'SINAPI_COMPOSIÇÕES 062020'!A:B,2,FALSE),VLOOKUP(C1495,'SINAPI_INSUMOS 062020'!A:B,2,FALSE))</f>
        <v>ELETRICISTA COM ENCARGOS COMPLEMENTARES</v>
      </c>
      <c r="E1495" s="126" t="str">
        <f>IF(A1495="COMPOSIÇÃO",VLOOKUP(C1495,'SINAPI_COMPOSIÇÕES 062020'!A:C,3,FALSE),VLOOKUP(C1495,'SINAPI_INSUMOS 062020'!A:C,3,FALSE))</f>
        <v>H</v>
      </c>
      <c r="F1495" s="74">
        <f>0.091+0.183+0.069</f>
        <v>0.34300000000000003</v>
      </c>
      <c r="G1495" s="128">
        <f>IF(A1495="COMPOSIÇÃO",VLOOKUP(C1495,'SINAPI_COMPOSIÇÕES 062020'!A:D,4,FALSE),VLOOKUP(C1495,'SINAPI_INSUMOS 062020'!A:D,4,FALSE))</f>
        <v>18.38</v>
      </c>
      <c r="H1495" s="75">
        <f t="shared" ref="H1495:H1496" si="112">TRUNC(G1495*F1495,2)</f>
        <v>6.3</v>
      </c>
    </row>
    <row r="1496" spans="1:8" ht="25.5" x14ac:dyDescent="0.25">
      <c r="A1496" s="125" t="s">
        <v>398</v>
      </c>
      <c r="B1496" s="115" t="s">
        <v>9</v>
      </c>
      <c r="C1496" s="115">
        <v>88247</v>
      </c>
      <c r="D1496" s="127" t="str">
        <f>IF(A1496="COMPOSIÇÃO",VLOOKUP(C1496,'SINAPI_COMPOSIÇÕES 062020'!A:B,2,FALSE),VLOOKUP(C1496,'SINAPI_INSUMOS 062020'!A:B,2,FALSE))</f>
        <v>AUXILIAR DE ELETRICISTA COM ENCARGOS COMPLEMENTARES</v>
      </c>
      <c r="E1496" s="126" t="str">
        <f>IF(A1496="COMPOSIÇÃO",VLOOKUP(C1496,'SINAPI_COMPOSIÇÕES 062020'!A:C,3,FALSE),VLOOKUP(C1496,'SINAPI_INSUMOS 062020'!A:C,3,FALSE))</f>
        <v>H</v>
      </c>
      <c r="F1496" s="74">
        <f>0.091+0.183+0.01</f>
        <v>0.28400000000000003</v>
      </c>
      <c r="G1496" s="128">
        <f>IF(A1496="COMPOSIÇÃO",VLOOKUP(C1496,'SINAPI_COMPOSIÇÕES 062020'!A:D,4,FALSE),VLOOKUP(C1496,'SINAPI_INSUMOS 062020'!A:D,4,FALSE))</f>
        <v>14.33</v>
      </c>
      <c r="H1496" s="75">
        <f t="shared" si="112"/>
        <v>4.0599999999999996</v>
      </c>
    </row>
    <row r="1497" spans="1:8" ht="38.25" x14ac:dyDescent="0.25">
      <c r="A1497" s="125" t="s">
        <v>11958</v>
      </c>
      <c r="B1497" s="115" t="s">
        <v>11959</v>
      </c>
      <c r="C1497" s="115" t="s">
        <v>11960</v>
      </c>
      <c r="D1497" s="194" t="str">
        <f>B1505</f>
        <v>ELETROCALHA LISA OU PERFURADA EM CHAPA DE AÇO GALVANIZADO, LARGURA 100 MM E ALTURA 50 MM</v>
      </c>
      <c r="E1497" s="115" t="str">
        <f>H1505</f>
        <v>M</v>
      </c>
      <c r="F1497" s="74">
        <v>1</v>
      </c>
      <c r="G1497" s="195">
        <f>H1510</f>
        <v>14.7</v>
      </c>
      <c r="H1497" s="75">
        <f t="shared" ref="H1497:H1501" si="113">TRUNC(G1497*F1497,2)</f>
        <v>14.7</v>
      </c>
    </row>
    <row r="1498" spans="1:8" ht="51" x14ac:dyDescent="0.25">
      <c r="A1498" s="125" t="s">
        <v>11958</v>
      </c>
      <c r="B1498" s="115" t="s">
        <v>11959</v>
      </c>
      <c r="C1498" s="115" t="s">
        <v>11960</v>
      </c>
      <c r="D1498" s="194" t="str">
        <f>B1511</f>
        <v>TAMPA PARA ELETROCALHA LISA OU PERFURADA EM CHAPA DE AÇO GALVANIZADO, LARGURA 100 MM E ALTURA 50 MM</v>
      </c>
      <c r="E1498" s="115" t="str">
        <f>H1511</f>
        <v>M</v>
      </c>
      <c r="F1498" s="74">
        <v>1</v>
      </c>
      <c r="G1498" s="195">
        <f>H1516</f>
        <v>4.53</v>
      </c>
      <c r="H1498" s="75">
        <f t="shared" si="113"/>
        <v>4.53</v>
      </c>
    </row>
    <row r="1499" spans="1:8" ht="25.5" x14ac:dyDescent="0.25">
      <c r="A1499" s="125" t="s">
        <v>11958</v>
      </c>
      <c r="B1499" s="115" t="s">
        <v>11959</v>
      </c>
      <c r="C1499" s="115" t="s">
        <v>11960</v>
      </c>
      <c r="D1499" s="194" t="str">
        <f>B1517</f>
        <v>PERFIL EMENDA PARA ELETROCALHA 100X50MM</v>
      </c>
      <c r="E1499" s="115" t="str">
        <f>H1517</f>
        <v>UND</v>
      </c>
      <c r="F1499" s="74">
        <v>0.33300000000000002</v>
      </c>
      <c r="G1499" s="195">
        <f>H1522</f>
        <v>0.99</v>
      </c>
      <c r="H1499" s="75">
        <f t="shared" si="113"/>
        <v>0.32</v>
      </c>
    </row>
    <row r="1500" spans="1:8" ht="38.25" x14ac:dyDescent="0.25">
      <c r="A1500" s="125" t="s">
        <v>11958</v>
      </c>
      <c r="B1500" s="115" t="s">
        <v>11959</v>
      </c>
      <c r="C1500" s="115" t="s">
        <v>11960</v>
      </c>
      <c r="D1500" s="194" t="str">
        <f>B1523</f>
        <v>SUPORTE TIPO GANCHO/BALANÇO/SUSPENSÃO PARA ELETROCALHA 100X50MM</v>
      </c>
      <c r="E1500" s="115" t="str">
        <f>H1523</f>
        <v>UND</v>
      </c>
      <c r="F1500" s="74">
        <v>1</v>
      </c>
      <c r="G1500" s="195">
        <f>H1528</f>
        <v>2.14</v>
      </c>
      <c r="H1500" s="75">
        <f t="shared" si="113"/>
        <v>2.14</v>
      </c>
    </row>
    <row r="1501" spans="1:8" ht="38.25" x14ac:dyDescent="0.25">
      <c r="A1501" s="125" t="s">
        <v>400</v>
      </c>
      <c r="B1501" s="115" t="s">
        <v>9</v>
      </c>
      <c r="C1501" s="115">
        <v>11953</v>
      </c>
      <c r="D1501" s="127" t="str">
        <f>IF(A1501="COMPOSIÇÃO",VLOOKUP(C1501,'SINAPI_COMPOSIÇÕES 062020'!A:B,2,FALSE),VLOOKUP(C1501,'SINAPI_INSUMOS 062020'!A:B,2,FALSE))</f>
        <v>PARAFUSO FRANCES ZINCADO, DIAMETRO 1/2'', COMPRIMENTO 2'', COM PORCA E ARRUELA</v>
      </c>
      <c r="E1501" s="126" t="str">
        <f>IF(A1501="COMPOSIÇÃO",VLOOKUP(C1501,'SINAPI_COMPOSIÇÕES 062020'!A:C,3,FALSE),VLOOKUP(C1501,'SINAPI_INSUMOS 062020'!A:C,3,FALSE))</f>
        <v xml:space="preserve">UN    </v>
      </c>
      <c r="F1501" s="74">
        <v>16.8</v>
      </c>
      <c r="G1501" s="128">
        <f>IF(A1501="COMPOSIÇÃO",VLOOKUP(C1501,'SINAPI_COMPOSIÇÕES 062020'!A:D,4,FALSE),VLOOKUP(C1501,'SINAPI_INSUMOS 062020'!A:D,4,FALSE))</f>
        <v>2.25</v>
      </c>
      <c r="H1501" s="75">
        <f t="shared" si="113"/>
        <v>37.799999999999997</v>
      </c>
    </row>
    <row r="1502" spans="1:8" ht="13.5" thickBot="1" x14ac:dyDescent="0.3">
      <c r="A1502" s="267" t="str">
        <f>CONCATENATE("TOTAL DO ÍTEM - ",A1491)</f>
        <v>TOTAL DO ÍTEM - MPMT-03287</v>
      </c>
      <c r="B1502" s="268"/>
      <c r="C1502" s="268"/>
      <c r="D1502" s="268"/>
      <c r="E1502" s="268"/>
      <c r="F1502" s="268"/>
      <c r="G1502" s="269"/>
      <c r="H1502" s="188">
        <f>TRUNC(SUM(H1495:H1501),2)</f>
        <v>69.849999999999994</v>
      </c>
    </row>
    <row r="1503" spans="1:8" ht="13.5" thickBot="1" x14ac:dyDescent="0.3">
      <c r="A1503" s="299" t="s">
        <v>12416</v>
      </c>
      <c r="B1503" s="300"/>
      <c r="C1503" s="300"/>
      <c r="D1503" s="300"/>
      <c r="E1503" s="300"/>
      <c r="F1503" s="300"/>
      <c r="G1503" s="300"/>
      <c r="H1503" s="301"/>
    </row>
    <row r="1504" spans="1:8" x14ac:dyDescent="0.25">
      <c r="A1504" s="196"/>
      <c r="B1504" s="292" t="s">
        <v>11962</v>
      </c>
      <c r="C1504" s="292"/>
      <c r="D1504" s="292"/>
      <c r="E1504" s="292"/>
      <c r="F1504" s="292"/>
      <c r="G1504" s="292"/>
      <c r="H1504" s="197" t="s">
        <v>11963</v>
      </c>
    </row>
    <row r="1505" spans="1:8" ht="13.5" thickBot="1" x14ac:dyDescent="0.3">
      <c r="A1505" s="215" t="s">
        <v>11960</v>
      </c>
      <c r="B1505" s="308" t="s">
        <v>12417</v>
      </c>
      <c r="C1505" s="308"/>
      <c r="D1505" s="308"/>
      <c r="E1505" s="308"/>
      <c r="F1505" s="308"/>
      <c r="G1505" s="308"/>
      <c r="H1505" s="216" t="s">
        <v>16</v>
      </c>
    </row>
    <row r="1506" spans="1:8" ht="25.5" x14ac:dyDescent="0.25">
      <c r="A1506" s="213" t="s">
        <v>11965</v>
      </c>
      <c r="B1506" s="241" t="s">
        <v>11966</v>
      </c>
      <c r="C1506" s="241" t="s">
        <v>11967</v>
      </c>
      <c r="D1506" s="241" t="s">
        <v>11968</v>
      </c>
      <c r="E1506" s="294" t="s">
        <v>11969</v>
      </c>
      <c r="F1506" s="294"/>
      <c r="G1506" s="241" t="s">
        <v>4</v>
      </c>
      <c r="H1506" s="214" t="s">
        <v>11970</v>
      </c>
    </row>
    <row r="1507" spans="1:8" x14ac:dyDescent="0.25">
      <c r="A1507" s="205">
        <v>43663</v>
      </c>
      <c r="B1507" s="206" t="s">
        <v>12418</v>
      </c>
      <c r="C1507" s="206" t="s">
        <v>12419</v>
      </c>
      <c r="D1507" s="206" t="s">
        <v>12420</v>
      </c>
      <c r="E1507" s="306" t="s">
        <v>12421</v>
      </c>
      <c r="F1507" s="306"/>
      <c r="G1507" s="115" t="s">
        <v>16</v>
      </c>
      <c r="H1507" s="218">
        <v>21.6</v>
      </c>
    </row>
    <row r="1508" spans="1:8" x14ac:dyDescent="0.25">
      <c r="A1508" s="205">
        <v>43663</v>
      </c>
      <c r="B1508" s="206" t="s">
        <v>12422</v>
      </c>
      <c r="C1508" s="206"/>
      <c r="D1508" s="206" t="s">
        <v>12423</v>
      </c>
      <c r="E1508" s="295"/>
      <c r="F1508" s="295"/>
      <c r="G1508" s="115" t="s">
        <v>16</v>
      </c>
      <c r="H1508" s="208">
        <f>44.1/3</f>
        <v>14.700000000000001</v>
      </c>
    </row>
    <row r="1509" spans="1:8" x14ac:dyDescent="0.25">
      <c r="A1509" s="205">
        <v>43668</v>
      </c>
      <c r="B1509" s="206" t="s">
        <v>12424</v>
      </c>
      <c r="C1509" s="206"/>
      <c r="D1509" s="206" t="s">
        <v>12425</v>
      </c>
      <c r="E1509" s="295"/>
      <c r="F1509" s="295"/>
      <c r="G1509" s="115" t="s">
        <v>16</v>
      </c>
      <c r="H1509" s="208">
        <f>32.25/3</f>
        <v>10.75</v>
      </c>
    </row>
    <row r="1510" spans="1:8" ht="13.5" thickBot="1" x14ac:dyDescent="0.3">
      <c r="A1510" s="296" t="s">
        <v>11981</v>
      </c>
      <c r="B1510" s="297"/>
      <c r="C1510" s="297"/>
      <c r="D1510" s="297"/>
      <c r="E1510" s="297"/>
      <c r="F1510" s="297"/>
      <c r="G1510" s="298"/>
      <c r="H1510" s="188">
        <f>TRUNC(MEDIAN(H1507:H1509),2)</f>
        <v>14.7</v>
      </c>
    </row>
    <row r="1511" spans="1:8" ht="13.5" thickBot="1" x14ac:dyDescent="0.3">
      <c r="A1511" s="215" t="s">
        <v>11960</v>
      </c>
      <c r="B1511" s="308" t="s">
        <v>12426</v>
      </c>
      <c r="C1511" s="308"/>
      <c r="D1511" s="308"/>
      <c r="E1511" s="308"/>
      <c r="F1511" s="308"/>
      <c r="G1511" s="308"/>
      <c r="H1511" s="216" t="s">
        <v>16</v>
      </c>
    </row>
    <row r="1512" spans="1:8" ht="25.5" x14ac:dyDescent="0.25">
      <c r="A1512" s="213" t="s">
        <v>11965</v>
      </c>
      <c r="B1512" s="241" t="s">
        <v>11966</v>
      </c>
      <c r="C1512" s="241" t="s">
        <v>11967</v>
      </c>
      <c r="D1512" s="241" t="s">
        <v>11968</v>
      </c>
      <c r="E1512" s="294" t="s">
        <v>11969</v>
      </c>
      <c r="F1512" s="294"/>
      <c r="G1512" s="241" t="s">
        <v>4</v>
      </c>
      <c r="H1512" s="214" t="s">
        <v>11970</v>
      </c>
    </row>
    <row r="1513" spans="1:8" x14ac:dyDescent="0.25">
      <c r="A1513" s="205">
        <v>43663</v>
      </c>
      <c r="B1513" s="206" t="s">
        <v>12418</v>
      </c>
      <c r="C1513" s="206" t="s">
        <v>12419</v>
      </c>
      <c r="D1513" s="206" t="s">
        <v>12420</v>
      </c>
      <c r="E1513" s="306" t="s">
        <v>12421</v>
      </c>
      <c r="F1513" s="306"/>
      <c r="G1513" s="115" t="s">
        <v>16</v>
      </c>
      <c r="H1513" s="218">
        <v>9.8000000000000007</v>
      </c>
    </row>
    <row r="1514" spans="1:8" x14ac:dyDescent="0.25">
      <c r="A1514" s="205">
        <v>43663</v>
      </c>
      <c r="B1514" s="206" t="s">
        <v>12422</v>
      </c>
      <c r="C1514" s="206"/>
      <c r="D1514" s="206" t="s">
        <v>12423</v>
      </c>
      <c r="E1514" s="295"/>
      <c r="F1514" s="295"/>
      <c r="G1514" s="115" t="s">
        <v>16</v>
      </c>
      <c r="H1514" s="208">
        <f>12/3</f>
        <v>4</v>
      </c>
    </row>
    <row r="1515" spans="1:8" x14ac:dyDescent="0.25">
      <c r="A1515" s="205">
        <v>43668</v>
      </c>
      <c r="B1515" s="206" t="s">
        <v>12424</v>
      </c>
      <c r="C1515" s="206"/>
      <c r="D1515" s="206" t="s">
        <v>12425</v>
      </c>
      <c r="E1515" s="295"/>
      <c r="F1515" s="295"/>
      <c r="G1515" s="115" t="s">
        <v>16</v>
      </c>
      <c r="H1515" s="208">
        <f>13.6/3</f>
        <v>4.5333333333333332</v>
      </c>
    </row>
    <row r="1516" spans="1:8" ht="13.5" thickBot="1" x14ac:dyDescent="0.3">
      <c r="A1516" s="296" t="s">
        <v>11981</v>
      </c>
      <c r="B1516" s="297"/>
      <c r="C1516" s="297"/>
      <c r="D1516" s="297"/>
      <c r="E1516" s="297"/>
      <c r="F1516" s="297"/>
      <c r="G1516" s="298"/>
      <c r="H1516" s="188">
        <f>TRUNC(MEDIAN(H1513:H1515),2)</f>
        <v>4.53</v>
      </c>
    </row>
    <row r="1517" spans="1:8" ht="13.5" thickBot="1" x14ac:dyDescent="0.3">
      <c r="A1517" s="215" t="s">
        <v>11960</v>
      </c>
      <c r="B1517" s="308" t="s">
        <v>12427</v>
      </c>
      <c r="C1517" s="308"/>
      <c r="D1517" s="308"/>
      <c r="E1517" s="308"/>
      <c r="F1517" s="308"/>
      <c r="G1517" s="308"/>
      <c r="H1517" s="216" t="s">
        <v>4</v>
      </c>
    </row>
    <row r="1518" spans="1:8" ht="25.5" x14ac:dyDescent="0.25">
      <c r="A1518" s="213" t="s">
        <v>11965</v>
      </c>
      <c r="B1518" s="241" t="s">
        <v>11966</v>
      </c>
      <c r="C1518" s="241" t="s">
        <v>11967</v>
      </c>
      <c r="D1518" s="241" t="s">
        <v>11968</v>
      </c>
      <c r="E1518" s="294" t="s">
        <v>11969</v>
      </c>
      <c r="F1518" s="294"/>
      <c r="G1518" s="241" t="s">
        <v>4</v>
      </c>
      <c r="H1518" s="214" t="s">
        <v>11970</v>
      </c>
    </row>
    <row r="1519" spans="1:8" x14ac:dyDescent="0.25">
      <c r="A1519" s="205">
        <v>43663</v>
      </c>
      <c r="B1519" s="206" t="s">
        <v>12418</v>
      </c>
      <c r="C1519" s="206" t="s">
        <v>12419</v>
      </c>
      <c r="D1519" s="206" t="s">
        <v>12420</v>
      </c>
      <c r="E1519" s="306" t="s">
        <v>12421</v>
      </c>
      <c r="F1519" s="306"/>
      <c r="G1519" s="115" t="s">
        <v>4</v>
      </c>
      <c r="H1519" s="218">
        <v>3.95</v>
      </c>
    </row>
    <row r="1520" spans="1:8" x14ac:dyDescent="0.25">
      <c r="A1520" s="205">
        <v>43663</v>
      </c>
      <c r="B1520" s="206" t="s">
        <v>12422</v>
      </c>
      <c r="C1520" s="206"/>
      <c r="D1520" s="206" t="s">
        <v>12423</v>
      </c>
      <c r="E1520" s="295"/>
      <c r="F1520" s="295"/>
      <c r="G1520" s="115" t="s">
        <v>4</v>
      </c>
      <c r="H1520" s="208">
        <v>0.7</v>
      </c>
    </row>
    <row r="1521" spans="1:8" x14ac:dyDescent="0.25">
      <c r="A1521" s="205">
        <v>43668</v>
      </c>
      <c r="B1521" s="206" t="s">
        <v>12424</v>
      </c>
      <c r="C1521" s="206"/>
      <c r="D1521" s="206" t="s">
        <v>12425</v>
      </c>
      <c r="E1521" s="295"/>
      <c r="F1521" s="295"/>
      <c r="G1521" s="115" t="s">
        <v>4</v>
      </c>
      <c r="H1521" s="208">
        <v>0.99</v>
      </c>
    </row>
    <row r="1522" spans="1:8" ht="13.5" thickBot="1" x14ac:dyDescent="0.3">
      <c r="A1522" s="296" t="s">
        <v>11981</v>
      </c>
      <c r="B1522" s="297"/>
      <c r="C1522" s="297"/>
      <c r="D1522" s="297"/>
      <c r="E1522" s="297"/>
      <c r="F1522" s="297"/>
      <c r="G1522" s="298"/>
      <c r="H1522" s="188">
        <f>TRUNC(MEDIAN(H1519:H1521),2)</f>
        <v>0.99</v>
      </c>
    </row>
    <row r="1523" spans="1:8" ht="13.5" thickBot="1" x14ac:dyDescent="0.3">
      <c r="A1523" s="215" t="s">
        <v>11960</v>
      </c>
      <c r="B1523" s="308" t="s">
        <v>12428</v>
      </c>
      <c r="C1523" s="308"/>
      <c r="D1523" s="308"/>
      <c r="E1523" s="308"/>
      <c r="F1523" s="308"/>
      <c r="G1523" s="308"/>
      <c r="H1523" s="216" t="s">
        <v>4</v>
      </c>
    </row>
    <row r="1524" spans="1:8" ht="25.5" x14ac:dyDescent="0.25">
      <c r="A1524" s="213" t="s">
        <v>11965</v>
      </c>
      <c r="B1524" s="241" t="s">
        <v>11966</v>
      </c>
      <c r="C1524" s="241" t="s">
        <v>11967</v>
      </c>
      <c r="D1524" s="241" t="s">
        <v>11968</v>
      </c>
      <c r="E1524" s="294" t="s">
        <v>11969</v>
      </c>
      <c r="F1524" s="294"/>
      <c r="G1524" s="241" t="s">
        <v>4</v>
      </c>
      <c r="H1524" s="214" t="s">
        <v>11970</v>
      </c>
    </row>
    <row r="1525" spans="1:8" x14ac:dyDescent="0.25">
      <c r="A1525" s="205">
        <v>43388</v>
      </c>
      <c r="B1525" s="206" t="s">
        <v>12429</v>
      </c>
      <c r="C1525" s="206" t="s">
        <v>12430</v>
      </c>
      <c r="D1525" s="206" t="s">
        <v>12431</v>
      </c>
      <c r="E1525" s="306" t="s">
        <v>12432</v>
      </c>
      <c r="F1525" s="306"/>
      <c r="G1525" s="115" t="s">
        <v>4</v>
      </c>
      <c r="H1525" s="218">
        <v>5.99</v>
      </c>
    </row>
    <row r="1526" spans="1:8" x14ac:dyDescent="0.25">
      <c r="A1526" s="205">
        <v>43388</v>
      </c>
      <c r="B1526" s="206" t="s">
        <v>12433</v>
      </c>
      <c r="C1526" s="206" t="s">
        <v>12434</v>
      </c>
      <c r="D1526" s="206" t="s">
        <v>12435</v>
      </c>
      <c r="E1526" s="295" t="s">
        <v>12436</v>
      </c>
      <c r="F1526" s="295"/>
      <c r="G1526" s="115" t="s">
        <v>4</v>
      </c>
      <c r="H1526" s="208">
        <v>1.6</v>
      </c>
    </row>
    <row r="1527" spans="1:8" x14ac:dyDescent="0.25">
      <c r="A1527" s="205">
        <v>43376</v>
      </c>
      <c r="B1527" s="206" t="s">
        <v>12437</v>
      </c>
      <c r="C1527" s="206" t="s">
        <v>12438</v>
      </c>
      <c r="D1527" s="206" t="s">
        <v>12439</v>
      </c>
      <c r="E1527" s="295" t="s">
        <v>12440</v>
      </c>
      <c r="F1527" s="295"/>
      <c r="G1527" s="115" t="s">
        <v>4</v>
      </c>
      <c r="H1527" s="208">
        <v>2.14</v>
      </c>
    </row>
    <row r="1528" spans="1:8" ht="13.5" thickBot="1" x14ac:dyDescent="0.3">
      <c r="A1528" s="296" t="s">
        <v>11981</v>
      </c>
      <c r="B1528" s="297"/>
      <c r="C1528" s="297"/>
      <c r="D1528" s="297"/>
      <c r="E1528" s="297"/>
      <c r="F1528" s="297"/>
      <c r="G1528" s="298"/>
      <c r="H1528" s="188">
        <f>TRUNC(MEDIAN(H1525:H1527),2)</f>
        <v>2.14</v>
      </c>
    </row>
    <row r="1529" spans="1:8" ht="13.5" thickBot="1" x14ac:dyDescent="0.3"/>
    <row r="1530" spans="1:8" ht="25.5" x14ac:dyDescent="0.25">
      <c r="A1530" s="120" t="s">
        <v>90</v>
      </c>
      <c r="B1530" s="286" t="s">
        <v>91</v>
      </c>
      <c r="C1530" s="287"/>
      <c r="D1530" s="287"/>
      <c r="E1530" s="287"/>
      <c r="F1530" s="287"/>
      <c r="G1530" s="288"/>
      <c r="H1530" s="121" t="s">
        <v>4</v>
      </c>
    </row>
    <row r="1531" spans="1:8" ht="13.5" thickBot="1" x14ac:dyDescent="0.3">
      <c r="A1531" s="113" t="s">
        <v>12441</v>
      </c>
      <c r="B1531" s="289" t="s">
        <v>12442</v>
      </c>
      <c r="C1531" s="290"/>
      <c r="D1531" s="290"/>
      <c r="E1531" s="290"/>
      <c r="F1531" s="290"/>
      <c r="G1531" s="291"/>
      <c r="H1531" s="114" t="s">
        <v>16</v>
      </c>
    </row>
    <row r="1532" spans="1:8" x14ac:dyDescent="0.25">
      <c r="A1532" s="273" t="s">
        <v>13834</v>
      </c>
      <c r="B1532" s="275" t="s">
        <v>92</v>
      </c>
      <c r="C1532" s="276"/>
      <c r="D1532" s="185" t="s">
        <v>12443</v>
      </c>
      <c r="E1532" s="239" t="s">
        <v>93</v>
      </c>
      <c r="F1532" s="186">
        <v>0</v>
      </c>
      <c r="G1532" s="277" t="s">
        <v>94</v>
      </c>
      <c r="H1532" s="278"/>
    </row>
    <row r="1533" spans="1:8" x14ac:dyDescent="0.25">
      <c r="A1533" s="274"/>
      <c r="B1533" s="281" t="s">
        <v>95</v>
      </c>
      <c r="C1533" s="282"/>
      <c r="D1533" s="187">
        <v>43388</v>
      </c>
      <c r="E1533" s="240" t="s">
        <v>96</v>
      </c>
      <c r="F1533" s="187">
        <v>43388</v>
      </c>
      <c r="G1533" s="279"/>
      <c r="H1533" s="280"/>
    </row>
    <row r="1534" spans="1:8" x14ac:dyDescent="0.25">
      <c r="A1534" s="122" t="s">
        <v>11885</v>
      </c>
      <c r="B1534" s="123" t="s">
        <v>97</v>
      </c>
      <c r="C1534" s="123" t="s">
        <v>98</v>
      </c>
      <c r="D1534" s="123" t="s">
        <v>3</v>
      </c>
      <c r="E1534" s="123" t="s">
        <v>4</v>
      </c>
      <c r="F1534" s="123" t="s">
        <v>99</v>
      </c>
      <c r="G1534" s="123" t="s">
        <v>100</v>
      </c>
      <c r="H1534" s="124" t="s">
        <v>101</v>
      </c>
    </row>
    <row r="1535" spans="1:8" ht="25.5" x14ac:dyDescent="0.25">
      <c r="A1535" s="125" t="s">
        <v>398</v>
      </c>
      <c r="B1535" s="115" t="s">
        <v>9</v>
      </c>
      <c r="C1535" s="115">
        <v>88264</v>
      </c>
      <c r="D1535" s="127" t="str">
        <f>IF(A1535="COMPOSIÇÃO",VLOOKUP(C1535,'SINAPI_COMPOSIÇÕES 062020'!A:B,2,FALSE),VLOOKUP(C1535,'SINAPI_INSUMOS 062020'!A:B,2,FALSE))</f>
        <v>ELETRICISTA COM ENCARGOS COMPLEMENTARES</v>
      </c>
      <c r="E1535" s="126" t="str">
        <f>IF(A1535="COMPOSIÇÃO",VLOOKUP(C1535,'SINAPI_COMPOSIÇÕES 062020'!A:C,3,FALSE),VLOOKUP(C1535,'SINAPI_INSUMOS 062020'!A:C,3,FALSE))</f>
        <v>H</v>
      </c>
      <c r="F1535" s="74">
        <f>0.178+0.355</f>
        <v>0.53299999999999992</v>
      </c>
      <c r="G1535" s="128">
        <f>IF(A1535="COMPOSIÇÃO",VLOOKUP(C1535,'SINAPI_COMPOSIÇÕES 062020'!A:D,4,FALSE),VLOOKUP(C1535,'SINAPI_INSUMOS 062020'!A:D,4,FALSE))</f>
        <v>18.38</v>
      </c>
      <c r="H1535" s="75">
        <f t="shared" ref="H1535:H1536" si="114">TRUNC(G1535*F1535,2)</f>
        <v>9.7899999999999991</v>
      </c>
    </row>
    <row r="1536" spans="1:8" ht="25.5" x14ac:dyDescent="0.25">
      <c r="A1536" s="125" t="s">
        <v>398</v>
      </c>
      <c r="B1536" s="115" t="s">
        <v>9</v>
      </c>
      <c r="C1536" s="115">
        <v>88247</v>
      </c>
      <c r="D1536" s="127" t="str">
        <f>IF(A1536="COMPOSIÇÃO",VLOOKUP(C1536,'SINAPI_COMPOSIÇÕES 062020'!A:B,2,FALSE),VLOOKUP(C1536,'SINAPI_INSUMOS 062020'!A:B,2,FALSE))</f>
        <v>AUXILIAR DE ELETRICISTA COM ENCARGOS COMPLEMENTARES</v>
      </c>
      <c r="E1536" s="126" t="str">
        <f>IF(A1536="COMPOSIÇÃO",VLOOKUP(C1536,'SINAPI_COMPOSIÇÕES 062020'!A:C,3,FALSE),VLOOKUP(C1536,'SINAPI_INSUMOS 062020'!A:C,3,FALSE))</f>
        <v>H</v>
      </c>
      <c r="F1536" s="74">
        <f>0.178+0.355</f>
        <v>0.53299999999999992</v>
      </c>
      <c r="G1536" s="128">
        <f>IF(A1536="COMPOSIÇÃO",VLOOKUP(C1536,'SINAPI_COMPOSIÇÕES 062020'!A:D,4,FALSE),VLOOKUP(C1536,'SINAPI_INSUMOS 062020'!A:D,4,FALSE))</f>
        <v>14.33</v>
      </c>
      <c r="H1536" s="75">
        <f t="shared" si="114"/>
        <v>7.63</v>
      </c>
    </row>
    <row r="1537" spans="1:8" ht="38.25" x14ac:dyDescent="0.25">
      <c r="A1537" s="125" t="s">
        <v>11958</v>
      </c>
      <c r="B1537" s="115" t="s">
        <v>11959</v>
      </c>
      <c r="C1537" s="115" t="s">
        <v>11960</v>
      </c>
      <c r="D1537" s="194" t="str">
        <f>B1545</f>
        <v>ELETROCALHA LISA OU PERFURADA EM CHAPA DE AÇO GALVANIZADO, LARGURA 150 MM E ALTURA 100 MM</v>
      </c>
      <c r="E1537" s="115" t="str">
        <f>H1545</f>
        <v>M</v>
      </c>
      <c r="F1537" s="74">
        <v>1</v>
      </c>
      <c r="G1537" s="195">
        <f>H1550</f>
        <v>24.85</v>
      </c>
      <c r="H1537" s="75">
        <f t="shared" ref="H1537:H1541" si="115">TRUNC(G1537*F1537,2)</f>
        <v>24.85</v>
      </c>
    </row>
    <row r="1538" spans="1:8" ht="51" x14ac:dyDescent="0.25">
      <c r="A1538" s="125" t="s">
        <v>11958</v>
      </c>
      <c r="B1538" s="115" t="s">
        <v>11959</v>
      </c>
      <c r="C1538" s="115" t="s">
        <v>11960</v>
      </c>
      <c r="D1538" s="194" t="str">
        <f>B1551</f>
        <v>TAMPA PARA ELETROCALHA LISA OU PERFURADA EM CHAPA DE AÇO GALVANIZADO, LARGURA 150 MM E ALTURA 100 MM</v>
      </c>
      <c r="E1538" s="115" t="str">
        <f>H1551</f>
        <v>M</v>
      </c>
      <c r="F1538" s="74">
        <v>1</v>
      </c>
      <c r="G1538" s="195">
        <f>H1556</f>
        <v>6.42</v>
      </c>
      <c r="H1538" s="75">
        <f t="shared" si="115"/>
        <v>6.42</v>
      </c>
    </row>
    <row r="1539" spans="1:8" ht="25.5" x14ac:dyDescent="0.25">
      <c r="A1539" s="125" t="s">
        <v>11958</v>
      </c>
      <c r="B1539" s="115" t="s">
        <v>11959</v>
      </c>
      <c r="C1539" s="115" t="s">
        <v>11960</v>
      </c>
      <c r="D1539" s="194" t="str">
        <f>B1557</f>
        <v>PERFIL EMENDA PARA ELETROCALHA 150X100MM</v>
      </c>
      <c r="E1539" s="115" t="str">
        <f>H1557</f>
        <v>UND</v>
      </c>
      <c r="F1539" s="74">
        <v>0.33</v>
      </c>
      <c r="G1539" s="195">
        <f>H1562</f>
        <v>1.1399999999999999</v>
      </c>
      <c r="H1539" s="75">
        <f t="shared" si="115"/>
        <v>0.37</v>
      </c>
    </row>
    <row r="1540" spans="1:8" ht="76.5" x14ac:dyDescent="0.25">
      <c r="A1540" s="125" t="s">
        <v>398</v>
      </c>
      <c r="B1540" s="115" t="s">
        <v>9</v>
      </c>
      <c r="C1540" s="115">
        <v>96562</v>
      </c>
      <c r="D1540" s="127" t="str">
        <f>IF(A1540="COMPOSIÇÃO",VLOOKUP(C1540,'SINAPI_COMPOSIÇÕES 062020'!A:B,2,FALSE),VLOOKUP(C1540,'SINAPI_INSUMOS 062020'!A:B,2,FALSE))</f>
        <v>SUPORTE PARA ELETROCALHA LISA OU PERFURADA EM AÇO GALVANIZADO, LARGURA 200 OU 400 MM E ALTURA 50 MM, ESPAÇADO A CADA 1,5 M, EM PERFILADO DE SEÇÃO 38X76 MM, POR METRO DE ELETRECOLHA FIXADA. AF_07/2017</v>
      </c>
      <c r="E1540" s="126" t="str">
        <f>IF(A1540="COMPOSIÇÃO",VLOOKUP(C1540,'SINAPI_COMPOSIÇÕES 062020'!A:C,3,FALSE),VLOOKUP(C1540,'SINAPI_INSUMOS 062020'!A:C,3,FALSE))</f>
        <v>M</v>
      </c>
      <c r="F1540" s="74">
        <v>1</v>
      </c>
      <c r="G1540" s="128">
        <f>IF(A1540="COMPOSIÇÃO",VLOOKUP(C1540,'SINAPI_COMPOSIÇÕES 062020'!A:D,4,FALSE),VLOOKUP(C1540,'SINAPI_INSUMOS 062020'!A:D,4,FALSE))</f>
        <v>32.299999999999997</v>
      </c>
      <c r="H1540" s="75">
        <f t="shared" si="115"/>
        <v>32.299999999999997</v>
      </c>
    </row>
    <row r="1541" spans="1:8" ht="38.25" x14ac:dyDescent="0.25">
      <c r="A1541" s="125" t="s">
        <v>400</v>
      </c>
      <c r="B1541" s="115" t="s">
        <v>9</v>
      </c>
      <c r="C1541" s="115">
        <v>11953</v>
      </c>
      <c r="D1541" s="127" t="str">
        <f>IF(A1541="COMPOSIÇÃO",VLOOKUP(C1541,'SINAPI_COMPOSIÇÕES 062020'!A:B,2,FALSE),VLOOKUP(C1541,'SINAPI_INSUMOS 062020'!A:B,2,FALSE))</f>
        <v>PARAFUSO FRANCES ZINCADO, DIAMETRO 1/2'', COMPRIMENTO 2'', COM PORCA E ARRUELA</v>
      </c>
      <c r="E1541" s="126" t="str">
        <f>IF(A1541="COMPOSIÇÃO",VLOOKUP(C1541,'SINAPI_COMPOSIÇÕES 062020'!A:C,3,FALSE),VLOOKUP(C1541,'SINAPI_INSUMOS 062020'!A:C,3,FALSE))</f>
        <v xml:space="preserve">UN    </v>
      </c>
      <c r="F1541" s="74">
        <v>16.8</v>
      </c>
      <c r="G1541" s="128">
        <f>IF(A1541="COMPOSIÇÃO",VLOOKUP(C1541,'SINAPI_COMPOSIÇÕES 062020'!A:D,4,FALSE),VLOOKUP(C1541,'SINAPI_INSUMOS 062020'!A:D,4,FALSE))</f>
        <v>2.25</v>
      </c>
      <c r="H1541" s="75">
        <f t="shared" si="115"/>
        <v>37.799999999999997</v>
      </c>
    </row>
    <row r="1542" spans="1:8" ht="13.5" thickBot="1" x14ac:dyDescent="0.3">
      <c r="A1542" s="267" t="str">
        <f>CONCATENATE("TOTAL DO ÍTEM - ",A1531)</f>
        <v>TOTAL DO ÍTEM - MPMT-03397</v>
      </c>
      <c r="B1542" s="268"/>
      <c r="C1542" s="268"/>
      <c r="D1542" s="268"/>
      <c r="E1542" s="268"/>
      <c r="F1542" s="268"/>
      <c r="G1542" s="269"/>
      <c r="H1542" s="188">
        <f>TRUNC(SUM(H1535:H1541),2)</f>
        <v>119.16</v>
      </c>
    </row>
    <row r="1543" spans="1:8" ht="13.5" thickBot="1" x14ac:dyDescent="0.3">
      <c r="A1543" s="299" t="s">
        <v>12444</v>
      </c>
      <c r="B1543" s="300"/>
      <c r="C1543" s="300"/>
      <c r="D1543" s="300"/>
      <c r="E1543" s="300"/>
      <c r="F1543" s="300"/>
      <c r="G1543" s="300"/>
      <c r="H1543" s="301"/>
    </row>
    <row r="1544" spans="1:8" x14ac:dyDescent="0.25">
      <c r="A1544" s="196"/>
      <c r="B1544" s="292" t="s">
        <v>11962</v>
      </c>
      <c r="C1544" s="292"/>
      <c r="D1544" s="292"/>
      <c r="E1544" s="292"/>
      <c r="F1544" s="292"/>
      <c r="G1544" s="292"/>
      <c r="H1544" s="197" t="s">
        <v>11963</v>
      </c>
    </row>
    <row r="1545" spans="1:8" ht="13.5" thickBot="1" x14ac:dyDescent="0.3">
      <c r="A1545" s="215" t="s">
        <v>11960</v>
      </c>
      <c r="B1545" s="308" t="s">
        <v>12445</v>
      </c>
      <c r="C1545" s="308"/>
      <c r="D1545" s="308"/>
      <c r="E1545" s="308"/>
      <c r="F1545" s="308"/>
      <c r="G1545" s="308"/>
      <c r="H1545" s="216" t="s">
        <v>16</v>
      </c>
    </row>
    <row r="1546" spans="1:8" ht="25.5" x14ac:dyDescent="0.25">
      <c r="A1546" s="213" t="s">
        <v>11965</v>
      </c>
      <c r="B1546" s="241" t="s">
        <v>11966</v>
      </c>
      <c r="C1546" s="241" t="s">
        <v>11967</v>
      </c>
      <c r="D1546" s="241" t="s">
        <v>11968</v>
      </c>
      <c r="E1546" s="294" t="s">
        <v>11969</v>
      </c>
      <c r="F1546" s="294"/>
      <c r="G1546" s="241" t="s">
        <v>4</v>
      </c>
      <c r="H1546" s="214" t="s">
        <v>11970</v>
      </c>
    </row>
    <row r="1547" spans="1:8" x14ac:dyDescent="0.25">
      <c r="A1547" s="205">
        <v>43671</v>
      </c>
      <c r="B1547" s="206" t="s">
        <v>12446</v>
      </c>
      <c r="C1547" s="206" t="s">
        <v>12419</v>
      </c>
      <c r="D1547" s="206" t="s">
        <v>12447</v>
      </c>
      <c r="E1547" s="306"/>
      <c r="F1547" s="306"/>
      <c r="G1547" s="115" t="s">
        <v>16</v>
      </c>
      <c r="H1547" s="218">
        <f>74.56/3</f>
        <v>24.853333333333335</v>
      </c>
    </row>
    <row r="1548" spans="1:8" x14ac:dyDescent="0.25">
      <c r="A1548" s="205">
        <v>43663</v>
      </c>
      <c r="B1548" s="206" t="s">
        <v>12422</v>
      </c>
      <c r="C1548" s="206" t="s">
        <v>12448</v>
      </c>
      <c r="D1548" s="206" t="s">
        <v>12423</v>
      </c>
      <c r="E1548" s="295" t="s">
        <v>12449</v>
      </c>
      <c r="F1548" s="295"/>
      <c r="G1548" s="115" t="s">
        <v>16</v>
      </c>
      <c r="H1548" s="208">
        <f>77.2/3</f>
        <v>25.733333333333334</v>
      </c>
    </row>
    <row r="1549" spans="1:8" x14ac:dyDescent="0.25">
      <c r="A1549" s="205">
        <v>43668</v>
      </c>
      <c r="B1549" s="206" t="s">
        <v>12424</v>
      </c>
      <c r="C1549" s="206" t="s">
        <v>12450</v>
      </c>
      <c r="D1549" s="206" t="s">
        <v>12425</v>
      </c>
      <c r="E1549" s="295" t="s">
        <v>12451</v>
      </c>
      <c r="F1549" s="295"/>
      <c r="G1549" s="115" t="s">
        <v>16</v>
      </c>
      <c r="H1549" s="208">
        <f>56.44/3</f>
        <v>18.813333333333333</v>
      </c>
    </row>
    <row r="1550" spans="1:8" ht="13.5" thickBot="1" x14ac:dyDescent="0.3">
      <c r="A1550" s="296" t="s">
        <v>11981</v>
      </c>
      <c r="B1550" s="297"/>
      <c r="C1550" s="297"/>
      <c r="D1550" s="297"/>
      <c r="E1550" s="297"/>
      <c r="F1550" s="297"/>
      <c r="G1550" s="298"/>
      <c r="H1550" s="188">
        <f>TRUNC(MEDIAN(H1547:H1549),2)</f>
        <v>24.85</v>
      </c>
    </row>
    <row r="1551" spans="1:8" ht="13.5" thickBot="1" x14ac:dyDescent="0.3">
      <c r="A1551" s="215" t="s">
        <v>11960</v>
      </c>
      <c r="B1551" s="308" t="s">
        <v>12452</v>
      </c>
      <c r="C1551" s="308"/>
      <c r="D1551" s="308"/>
      <c r="E1551" s="308"/>
      <c r="F1551" s="308"/>
      <c r="G1551" s="308"/>
      <c r="H1551" s="216" t="s">
        <v>16</v>
      </c>
    </row>
    <row r="1552" spans="1:8" ht="25.5" x14ac:dyDescent="0.25">
      <c r="A1552" s="213" t="s">
        <v>11965</v>
      </c>
      <c r="B1552" s="241" t="s">
        <v>11966</v>
      </c>
      <c r="C1552" s="241" t="s">
        <v>11967</v>
      </c>
      <c r="D1552" s="241" t="s">
        <v>11968</v>
      </c>
      <c r="E1552" s="294" t="s">
        <v>11969</v>
      </c>
      <c r="F1552" s="294"/>
      <c r="G1552" s="241" t="s">
        <v>4</v>
      </c>
      <c r="H1552" s="214" t="s">
        <v>11970</v>
      </c>
    </row>
    <row r="1553" spans="1:8" x14ac:dyDescent="0.25">
      <c r="A1553" s="205">
        <v>43671</v>
      </c>
      <c r="B1553" s="206" t="s">
        <v>12446</v>
      </c>
      <c r="C1553" s="206" t="s">
        <v>12419</v>
      </c>
      <c r="D1553" s="206" t="s">
        <v>12447</v>
      </c>
      <c r="E1553" s="306"/>
      <c r="F1553" s="306"/>
      <c r="G1553" s="115" t="s">
        <v>16</v>
      </c>
      <c r="H1553" s="218">
        <f>21.83/3</f>
        <v>7.2766666666666664</v>
      </c>
    </row>
    <row r="1554" spans="1:8" x14ac:dyDescent="0.25">
      <c r="A1554" s="205">
        <v>43663</v>
      </c>
      <c r="B1554" s="206" t="s">
        <v>12422</v>
      </c>
      <c r="C1554" s="206" t="s">
        <v>12448</v>
      </c>
      <c r="D1554" s="206" t="s">
        <v>12423</v>
      </c>
      <c r="E1554" s="295" t="s">
        <v>12449</v>
      </c>
      <c r="F1554" s="295"/>
      <c r="G1554" s="115" t="s">
        <v>16</v>
      </c>
      <c r="H1554" s="208">
        <f>17.3/3</f>
        <v>5.7666666666666666</v>
      </c>
    </row>
    <row r="1555" spans="1:8" x14ac:dyDescent="0.25">
      <c r="A1555" s="205">
        <v>43668</v>
      </c>
      <c r="B1555" s="206" t="s">
        <v>12424</v>
      </c>
      <c r="C1555" s="206" t="s">
        <v>12450</v>
      </c>
      <c r="D1555" s="206" t="s">
        <v>12425</v>
      </c>
      <c r="E1555" s="295" t="s">
        <v>12451</v>
      </c>
      <c r="F1555" s="295"/>
      <c r="G1555" s="115" t="s">
        <v>16</v>
      </c>
      <c r="H1555" s="208">
        <f>19.275/3</f>
        <v>6.4249999999999998</v>
      </c>
    </row>
    <row r="1556" spans="1:8" ht="13.5" thickBot="1" x14ac:dyDescent="0.3">
      <c r="A1556" s="296" t="s">
        <v>11981</v>
      </c>
      <c r="B1556" s="297"/>
      <c r="C1556" s="297"/>
      <c r="D1556" s="297"/>
      <c r="E1556" s="297"/>
      <c r="F1556" s="297"/>
      <c r="G1556" s="298"/>
      <c r="H1556" s="188">
        <f>TRUNC(MEDIAN(H1553:H1555),2)</f>
        <v>6.42</v>
      </c>
    </row>
    <row r="1557" spans="1:8" ht="13.5" thickBot="1" x14ac:dyDescent="0.3">
      <c r="A1557" s="215" t="s">
        <v>11960</v>
      </c>
      <c r="B1557" s="308" t="s">
        <v>12453</v>
      </c>
      <c r="C1557" s="308"/>
      <c r="D1557" s="308"/>
      <c r="E1557" s="308"/>
      <c r="F1557" s="308"/>
      <c r="G1557" s="308"/>
      <c r="H1557" s="216" t="s">
        <v>4</v>
      </c>
    </row>
    <row r="1558" spans="1:8" ht="25.5" x14ac:dyDescent="0.25">
      <c r="A1558" s="213" t="s">
        <v>11965</v>
      </c>
      <c r="B1558" s="241" t="s">
        <v>11966</v>
      </c>
      <c r="C1558" s="241" t="s">
        <v>11967</v>
      </c>
      <c r="D1558" s="241" t="s">
        <v>11968</v>
      </c>
      <c r="E1558" s="294" t="s">
        <v>11969</v>
      </c>
      <c r="F1558" s="294"/>
      <c r="G1558" s="241" t="s">
        <v>4</v>
      </c>
      <c r="H1558" s="214" t="s">
        <v>11970</v>
      </c>
    </row>
    <row r="1559" spans="1:8" x14ac:dyDescent="0.25">
      <c r="A1559" s="205">
        <v>43671</v>
      </c>
      <c r="B1559" s="206" t="s">
        <v>12446</v>
      </c>
      <c r="C1559" s="206" t="s">
        <v>12419</v>
      </c>
      <c r="D1559" s="206" t="s">
        <v>12447</v>
      </c>
      <c r="E1559" s="295"/>
      <c r="F1559" s="295"/>
      <c r="G1559" s="115" t="s">
        <v>16</v>
      </c>
      <c r="H1559" s="218">
        <v>1.1399999999999999</v>
      </c>
    </row>
    <row r="1560" spans="1:8" x14ac:dyDescent="0.25">
      <c r="A1560" s="205">
        <v>43663</v>
      </c>
      <c r="B1560" s="206" t="s">
        <v>12422</v>
      </c>
      <c r="C1560" s="206" t="s">
        <v>12448</v>
      </c>
      <c r="D1560" s="206" t="s">
        <v>12423</v>
      </c>
      <c r="E1560" s="295" t="s">
        <v>12449</v>
      </c>
      <c r="F1560" s="295"/>
      <c r="G1560" s="115" t="s">
        <v>4</v>
      </c>
      <c r="H1560" s="208">
        <v>0.7</v>
      </c>
    </row>
    <row r="1561" spans="1:8" x14ac:dyDescent="0.25">
      <c r="A1561" s="205">
        <v>43668</v>
      </c>
      <c r="B1561" s="206" t="s">
        <v>12424</v>
      </c>
      <c r="C1561" s="206" t="s">
        <v>12450</v>
      </c>
      <c r="D1561" s="206" t="s">
        <v>12425</v>
      </c>
      <c r="E1561" s="295" t="s">
        <v>12451</v>
      </c>
      <c r="F1561" s="295"/>
      <c r="G1561" s="115" t="s">
        <v>4</v>
      </c>
      <c r="H1561" s="208">
        <f>7.56</f>
        <v>7.56</v>
      </c>
    </row>
    <row r="1562" spans="1:8" ht="13.5" thickBot="1" x14ac:dyDescent="0.3">
      <c r="A1562" s="296" t="s">
        <v>11981</v>
      </c>
      <c r="B1562" s="297"/>
      <c r="C1562" s="297"/>
      <c r="D1562" s="297"/>
      <c r="E1562" s="297"/>
      <c r="F1562" s="297"/>
      <c r="G1562" s="298"/>
      <c r="H1562" s="188">
        <f>TRUNC(MEDIAN(H1559:H1561),2)</f>
        <v>1.1399999999999999</v>
      </c>
    </row>
    <row r="1563" spans="1:8" ht="13.5" thickBot="1" x14ac:dyDescent="0.3"/>
    <row r="1564" spans="1:8" ht="25.5" x14ac:dyDescent="0.25">
      <c r="A1564" s="120" t="s">
        <v>90</v>
      </c>
      <c r="B1564" s="286" t="s">
        <v>91</v>
      </c>
      <c r="C1564" s="287"/>
      <c r="D1564" s="287"/>
      <c r="E1564" s="287"/>
      <c r="F1564" s="287"/>
      <c r="G1564" s="288"/>
      <c r="H1564" s="121" t="s">
        <v>4</v>
      </c>
    </row>
    <row r="1565" spans="1:8" ht="13.5" thickBot="1" x14ac:dyDescent="0.3">
      <c r="A1565" s="113" t="s">
        <v>12454</v>
      </c>
      <c r="B1565" s="289" t="s">
        <v>12455</v>
      </c>
      <c r="C1565" s="290"/>
      <c r="D1565" s="290"/>
      <c r="E1565" s="290"/>
      <c r="F1565" s="290"/>
      <c r="G1565" s="291"/>
      <c r="H1565" s="114" t="s">
        <v>16</v>
      </c>
    </row>
    <row r="1566" spans="1:8" x14ac:dyDescent="0.25">
      <c r="A1566" s="273" t="s">
        <v>13834</v>
      </c>
      <c r="B1566" s="275" t="s">
        <v>92</v>
      </c>
      <c r="C1566" s="276"/>
      <c r="D1566" s="185" t="s">
        <v>12456</v>
      </c>
      <c r="E1566" s="239" t="s">
        <v>93</v>
      </c>
      <c r="F1566" s="186">
        <v>0</v>
      </c>
      <c r="G1566" s="277" t="s">
        <v>94</v>
      </c>
      <c r="H1566" s="278"/>
    </row>
    <row r="1567" spans="1:8" x14ac:dyDescent="0.25">
      <c r="A1567" s="274"/>
      <c r="B1567" s="281" t="s">
        <v>95</v>
      </c>
      <c r="C1567" s="282"/>
      <c r="D1567" s="187">
        <v>43388</v>
      </c>
      <c r="E1567" s="240" t="s">
        <v>96</v>
      </c>
      <c r="F1567" s="187">
        <v>43388</v>
      </c>
      <c r="G1567" s="279"/>
      <c r="H1567" s="280"/>
    </row>
    <row r="1568" spans="1:8" x14ac:dyDescent="0.25">
      <c r="A1568" s="122" t="s">
        <v>11885</v>
      </c>
      <c r="B1568" s="123" t="s">
        <v>97</v>
      </c>
      <c r="C1568" s="123" t="s">
        <v>98</v>
      </c>
      <c r="D1568" s="123" t="s">
        <v>3</v>
      </c>
      <c r="E1568" s="123" t="s">
        <v>4</v>
      </c>
      <c r="F1568" s="123" t="s">
        <v>99</v>
      </c>
      <c r="G1568" s="123" t="s">
        <v>100</v>
      </c>
      <c r="H1568" s="124" t="s">
        <v>101</v>
      </c>
    </row>
    <row r="1569" spans="1:8" ht="25.5" x14ac:dyDescent="0.25">
      <c r="A1569" s="125" t="s">
        <v>398</v>
      </c>
      <c r="B1569" s="115" t="s">
        <v>9</v>
      </c>
      <c r="C1569" s="115">
        <v>88264</v>
      </c>
      <c r="D1569" s="127" t="str">
        <f>IF(A1569="COMPOSIÇÃO",VLOOKUP(C1569,'SINAPI_COMPOSIÇÕES 062020'!A:B,2,FALSE),VLOOKUP(C1569,'SINAPI_INSUMOS 062020'!A:B,2,FALSE))</f>
        <v>ELETRICISTA COM ENCARGOS COMPLEMENTARES</v>
      </c>
      <c r="E1569" s="126" t="str">
        <f>IF(A1569="COMPOSIÇÃO",VLOOKUP(C1569,'SINAPI_COMPOSIÇÕES 062020'!A:C,3,FALSE),VLOOKUP(C1569,'SINAPI_INSUMOS 062020'!A:C,3,FALSE))</f>
        <v>H</v>
      </c>
      <c r="F1569" s="74">
        <f>0.063+0.126+0.069</f>
        <v>0.25800000000000001</v>
      </c>
      <c r="G1569" s="128">
        <f>IF(A1569="COMPOSIÇÃO",VLOOKUP(C1569,'SINAPI_COMPOSIÇÕES 062020'!A:D,4,FALSE),VLOOKUP(C1569,'SINAPI_INSUMOS 062020'!A:D,4,FALSE))</f>
        <v>18.38</v>
      </c>
      <c r="H1569" s="75">
        <f t="shared" ref="H1569:H1570" si="116">TRUNC(G1569*F1569,2)</f>
        <v>4.74</v>
      </c>
    </row>
    <row r="1570" spans="1:8" ht="25.5" x14ac:dyDescent="0.25">
      <c r="A1570" s="125" t="s">
        <v>398</v>
      </c>
      <c r="B1570" s="115" t="s">
        <v>9</v>
      </c>
      <c r="C1570" s="115">
        <v>88247</v>
      </c>
      <c r="D1570" s="127" t="str">
        <f>IF(A1570="COMPOSIÇÃO",VLOOKUP(C1570,'SINAPI_COMPOSIÇÕES 062020'!A:B,2,FALSE),VLOOKUP(C1570,'SINAPI_INSUMOS 062020'!A:B,2,FALSE))</f>
        <v>AUXILIAR DE ELETRICISTA COM ENCARGOS COMPLEMENTARES</v>
      </c>
      <c r="E1570" s="126" t="str">
        <f>IF(A1570="COMPOSIÇÃO",VLOOKUP(C1570,'SINAPI_COMPOSIÇÕES 062020'!A:C,3,FALSE),VLOOKUP(C1570,'SINAPI_INSUMOS 062020'!A:C,3,FALSE))</f>
        <v>H</v>
      </c>
      <c r="F1570" s="74">
        <f>0.063+0.126+0.01</f>
        <v>0.19900000000000001</v>
      </c>
      <c r="G1570" s="128">
        <f>IF(A1570="COMPOSIÇÃO",VLOOKUP(C1570,'SINAPI_COMPOSIÇÕES 062020'!A:D,4,FALSE),VLOOKUP(C1570,'SINAPI_INSUMOS 062020'!A:D,4,FALSE))</f>
        <v>14.33</v>
      </c>
      <c r="H1570" s="75">
        <f t="shared" si="116"/>
        <v>2.85</v>
      </c>
    </row>
    <row r="1571" spans="1:8" ht="38.25" x14ac:dyDescent="0.25">
      <c r="A1571" s="125" t="s">
        <v>11958</v>
      </c>
      <c r="B1571" s="115" t="s">
        <v>11959</v>
      </c>
      <c r="C1571" s="115" t="s">
        <v>11960</v>
      </c>
      <c r="D1571" s="194" t="str">
        <f>B1579</f>
        <v>ELETROCALHA LISA OU PERFURADA EM CHAPA DE AÇO GALVANIZADO, LARGURA 50 MM E ALTURA 50 MM</v>
      </c>
      <c r="E1571" s="115" t="str">
        <f>H1579</f>
        <v>M</v>
      </c>
      <c r="F1571" s="74">
        <v>1</v>
      </c>
      <c r="G1571" s="195">
        <f>H1584</f>
        <v>7.83</v>
      </c>
      <c r="H1571" s="75">
        <f t="shared" ref="H1571:H1575" si="117">TRUNC(G1571*F1571,2)</f>
        <v>7.83</v>
      </c>
    </row>
    <row r="1572" spans="1:8" ht="51" x14ac:dyDescent="0.25">
      <c r="A1572" s="125" t="s">
        <v>11958</v>
      </c>
      <c r="B1572" s="115" t="s">
        <v>11959</v>
      </c>
      <c r="C1572" s="115" t="s">
        <v>11960</v>
      </c>
      <c r="D1572" s="194" t="str">
        <f>B1585</f>
        <v>TAMPA PARA ELETROCALHA LISA OU PERFURADA EM CHAPA DE AÇO GALVANIZADO, LARGURA 50 MM E ALTURA 50 MM</v>
      </c>
      <c r="E1572" s="115" t="str">
        <f>H1585</f>
        <v>M</v>
      </c>
      <c r="F1572" s="74">
        <v>1</v>
      </c>
      <c r="G1572" s="195">
        <f>H1590</f>
        <v>4.43</v>
      </c>
      <c r="H1572" s="75">
        <f t="shared" si="117"/>
        <v>4.43</v>
      </c>
    </row>
    <row r="1573" spans="1:8" ht="25.5" x14ac:dyDescent="0.25">
      <c r="A1573" s="125" t="s">
        <v>11958</v>
      </c>
      <c r="B1573" s="115" t="s">
        <v>11959</v>
      </c>
      <c r="C1573" s="115" t="s">
        <v>11960</v>
      </c>
      <c r="D1573" s="194" t="str">
        <f>B1591</f>
        <v>PERFIL EMENDA PARA ELETROCALHA 50X50MM</v>
      </c>
      <c r="E1573" s="115" t="str">
        <f>H1591</f>
        <v>UND</v>
      </c>
      <c r="F1573" s="74">
        <v>0.33300000000000002</v>
      </c>
      <c r="G1573" s="195">
        <f>H1596</f>
        <v>1.72</v>
      </c>
      <c r="H1573" s="75">
        <f t="shared" si="117"/>
        <v>0.56999999999999995</v>
      </c>
    </row>
    <row r="1574" spans="1:8" ht="38.25" x14ac:dyDescent="0.25">
      <c r="A1574" s="125" t="s">
        <v>11958</v>
      </c>
      <c r="B1574" s="115" t="s">
        <v>11959</v>
      </c>
      <c r="C1574" s="115" t="s">
        <v>11960</v>
      </c>
      <c r="D1574" s="194" t="str">
        <f>B1597</f>
        <v>SUPORTE TIPO GANCHO/BALANÇO/SUSPENSÃO PARA ELETROCALHA 50X50MM</v>
      </c>
      <c r="E1574" s="115" t="str">
        <f>H1597</f>
        <v>UND</v>
      </c>
      <c r="F1574" s="74">
        <v>1</v>
      </c>
      <c r="G1574" s="195">
        <f>H1602</f>
        <v>2.82</v>
      </c>
      <c r="H1574" s="75">
        <f t="shared" si="117"/>
        <v>2.82</v>
      </c>
    </row>
    <row r="1575" spans="1:8" ht="38.25" x14ac:dyDescent="0.25">
      <c r="A1575" s="125" t="s">
        <v>400</v>
      </c>
      <c r="B1575" s="115" t="s">
        <v>9</v>
      </c>
      <c r="C1575" s="115">
        <v>11953</v>
      </c>
      <c r="D1575" s="127" t="str">
        <f>IF(A1575="COMPOSIÇÃO",VLOOKUP(C1575,'SINAPI_COMPOSIÇÕES 062020'!A:B,2,FALSE),VLOOKUP(C1575,'SINAPI_INSUMOS 062020'!A:B,2,FALSE))</f>
        <v>PARAFUSO FRANCES ZINCADO, DIAMETRO 1/2'', COMPRIMENTO 2'', COM PORCA E ARRUELA</v>
      </c>
      <c r="E1575" s="126" t="str">
        <f>IF(A1575="COMPOSIÇÃO",VLOOKUP(C1575,'SINAPI_COMPOSIÇÕES 062020'!A:C,3,FALSE),VLOOKUP(C1575,'SINAPI_INSUMOS 062020'!A:C,3,FALSE))</f>
        <v xml:space="preserve">UN    </v>
      </c>
      <c r="F1575" s="74">
        <v>16.8</v>
      </c>
      <c r="G1575" s="128">
        <f>IF(A1575="COMPOSIÇÃO",VLOOKUP(C1575,'SINAPI_COMPOSIÇÕES 062020'!A:D,4,FALSE),VLOOKUP(C1575,'SINAPI_INSUMOS 062020'!A:D,4,FALSE))</f>
        <v>2.25</v>
      </c>
      <c r="H1575" s="75">
        <f t="shared" si="117"/>
        <v>37.799999999999997</v>
      </c>
    </row>
    <row r="1576" spans="1:8" ht="13.5" thickBot="1" x14ac:dyDescent="0.3">
      <c r="A1576" s="267" t="str">
        <f>CONCATENATE("TOTAL DO ÍTEM - ",A1565)</f>
        <v>TOTAL DO ÍTEM - MPMT-03286</v>
      </c>
      <c r="B1576" s="268"/>
      <c r="C1576" s="268"/>
      <c r="D1576" s="268"/>
      <c r="E1576" s="268"/>
      <c r="F1576" s="268"/>
      <c r="G1576" s="269"/>
      <c r="H1576" s="188">
        <f>TRUNC(SUM(H1569:H1575),2)</f>
        <v>61.04</v>
      </c>
    </row>
    <row r="1577" spans="1:8" ht="13.5" thickBot="1" x14ac:dyDescent="0.3">
      <c r="A1577" s="299" t="s">
        <v>12457</v>
      </c>
      <c r="B1577" s="300"/>
      <c r="C1577" s="300"/>
      <c r="D1577" s="300"/>
      <c r="E1577" s="300"/>
      <c r="F1577" s="300"/>
      <c r="G1577" s="300"/>
      <c r="H1577" s="301"/>
    </row>
    <row r="1578" spans="1:8" x14ac:dyDescent="0.25">
      <c r="A1578" s="196"/>
      <c r="B1578" s="292" t="s">
        <v>11962</v>
      </c>
      <c r="C1578" s="292"/>
      <c r="D1578" s="292"/>
      <c r="E1578" s="292"/>
      <c r="F1578" s="292"/>
      <c r="G1578" s="292"/>
      <c r="H1578" s="197" t="s">
        <v>11963</v>
      </c>
    </row>
    <row r="1579" spans="1:8" ht="13.5" thickBot="1" x14ac:dyDescent="0.3">
      <c r="A1579" s="215" t="s">
        <v>11960</v>
      </c>
      <c r="B1579" s="308" t="s">
        <v>12458</v>
      </c>
      <c r="C1579" s="308"/>
      <c r="D1579" s="308"/>
      <c r="E1579" s="308"/>
      <c r="F1579" s="308"/>
      <c r="G1579" s="308"/>
      <c r="H1579" s="216" t="s">
        <v>16</v>
      </c>
    </row>
    <row r="1580" spans="1:8" ht="25.5" x14ac:dyDescent="0.25">
      <c r="A1580" s="213" t="s">
        <v>11965</v>
      </c>
      <c r="B1580" s="241" t="s">
        <v>11966</v>
      </c>
      <c r="C1580" s="241" t="s">
        <v>11967</v>
      </c>
      <c r="D1580" s="241" t="s">
        <v>11968</v>
      </c>
      <c r="E1580" s="294" t="s">
        <v>11969</v>
      </c>
      <c r="F1580" s="294"/>
      <c r="G1580" s="241" t="s">
        <v>4</v>
      </c>
      <c r="H1580" s="214" t="s">
        <v>11970</v>
      </c>
    </row>
    <row r="1581" spans="1:8" x14ac:dyDescent="0.25">
      <c r="A1581" s="205">
        <v>43388</v>
      </c>
      <c r="B1581" s="206" t="s">
        <v>12429</v>
      </c>
      <c r="C1581" s="206" t="s">
        <v>12430</v>
      </c>
      <c r="D1581" s="206" t="s">
        <v>12431</v>
      </c>
      <c r="E1581" s="306" t="s">
        <v>12432</v>
      </c>
      <c r="F1581" s="306"/>
      <c r="G1581" s="115" t="s">
        <v>16</v>
      </c>
      <c r="H1581" s="218">
        <f>27.99/3</f>
        <v>9.33</v>
      </c>
    </row>
    <row r="1582" spans="1:8" x14ac:dyDescent="0.25">
      <c r="A1582" s="205">
        <v>43388</v>
      </c>
      <c r="B1582" s="206" t="s">
        <v>12433</v>
      </c>
      <c r="C1582" s="206" t="s">
        <v>12434</v>
      </c>
      <c r="D1582" s="206" t="s">
        <v>12435</v>
      </c>
      <c r="E1582" s="295" t="s">
        <v>12436</v>
      </c>
      <c r="F1582" s="295"/>
      <c r="G1582" s="115" t="s">
        <v>16</v>
      </c>
      <c r="H1582" s="208">
        <f>19.86/3</f>
        <v>6.62</v>
      </c>
    </row>
    <row r="1583" spans="1:8" x14ac:dyDescent="0.25">
      <c r="A1583" s="205">
        <v>43376</v>
      </c>
      <c r="B1583" s="206" t="s">
        <v>12437</v>
      </c>
      <c r="C1583" s="206" t="s">
        <v>12438</v>
      </c>
      <c r="D1583" s="206" t="s">
        <v>12439</v>
      </c>
      <c r="E1583" s="295" t="s">
        <v>12440</v>
      </c>
      <c r="F1583" s="295"/>
      <c r="G1583" s="115" t="s">
        <v>16</v>
      </c>
      <c r="H1583" s="208">
        <f>23.49/3</f>
        <v>7.8299999999999992</v>
      </c>
    </row>
    <row r="1584" spans="1:8" ht="13.5" thickBot="1" x14ac:dyDescent="0.3">
      <c r="A1584" s="296" t="s">
        <v>11981</v>
      </c>
      <c r="B1584" s="297"/>
      <c r="C1584" s="297"/>
      <c r="D1584" s="297"/>
      <c r="E1584" s="297"/>
      <c r="F1584" s="297"/>
      <c r="G1584" s="298"/>
      <c r="H1584" s="188">
        <f>TRUNC(MEDIAN(H1581:H1583),2)</f>
        <v>7.83</v>
      </c>
    </row>
    <row r="1585" spans="1:8" ht="13.5" thickBot="1" x14ac:dyDescent="0.3">
      <c r="A1585" s="215" t="s">
        <v>11960</v>
      </c>
      <c r="B1585" s="308" t="s">
        <v>12459</v>
      </c>
      <c r="C1585" s="308"/>
      <c r="D1585" s="308"/>
      <c r="E1585" s="308"/>
      <c r="F1585" s="308"/>
      <c r="G1585" s="308"/>
      <c r="H1585" s="216" t="s">
        <v>16</v>
      </c>
    </row>
    <row r="1586" spans="1:8" ht="25.5" x14ac:dyDescent="0.25">
      <c r="A1586" s="213" t="s">
        <v>11965</v>
      </c>
      <c r="B1586" s="241" t="s">
        <v>11966</v>
      </c>
      <c r="C1586" s="241" t="s">
        <v>11967</v>
      </c>
      <c r="D1586" s="241" t="s">
        <v>11968</v>
      </c>
      <c r="E1586" s="294" t="s">
        <v>11969</v>
      </c>
      <c r="F1586" s="294"/>
      <c r="G1586" s="241" t="s">
        <v>4</v>
      </c>
      <c r="H1586" s="214" t="s">
        <v>11970</v>
      </c>
    </row>
    <row r="1587" spans="1:8" x14ac:dyDescent="0.25">
      <c r="A1587" s="205">
        <v>43388</v>
      </c>
      <c r="B1587" s="206" t="s">
        <v>12429</v>
      </c>
      <c r="C1587" s="206" t="s">
        <v>12430</v>
      </c>
      <c r="D1587" s="206" t="s">
        <v>12431</v>
      </c>
      <c r="E1587" s="306" t="s">
        <v>12432</v>
      </c>
      <c r="F1587" s="306"/>
      <c r="G1587" s="115" t="s">
        <v>16</v>
      </c>
      <c r="H1587" s="218">
        <f>17.95/3</f>
        <v>5.9833333333333334</v>
      </c>
    </row>
    <row r="1588" spans="1:8" x14ac:dyDescent="0.25">
      <c r="A1588" s="205">
        <v>43388</v>
      </c>
      <c r="B1588" s="206" t="s">
        <v>12433</v>
      </c>
      <c r="C1588" s="206" t="s">
        <v>12434</v>
      </c>
      <c r="D1588" s="206" t="s">
        <v>12435</v>
      </c>
      <c r="E1588" s="295" t="s">
        <v>12436</v>
      </c>
      <c r="F1588" s="295"/>
      <c r="G1588" s="115" t="s">
        <v>16</v>
      </c>
      <c r="H1588" s="208">
        <f>13.3/3</f>
        <v>4.4333333333333336</v>
      </c>
    </row>
    <row r="1589" spans="1:8" x14ac:dyDescent="0.25">
      <c r="A1589" s="205">
        <v>43376</v>
      </c>
      <c r="B1589" s="206" t="s">
        <v>12437</v>
      </c>
      <c r="C1589" s="206" t="s">
        <v>12438</v>
      </c>
      <c r="D1589" s="206" t="s">
        <v>12439</v>
      </c>
      <c r="E1589" s="295" t="s">
        <v>12440</v>
      </c>
      <c r="F1589" s="295"/>
      <c r="G1589" s="115" t="s">
        <v>16</v>
      </c>
      <c r="H1589" s="208">
        <f>11.35/3</f>
        <v>3.7833333333333332</v>
      </c>
    </row>
    <row r="1590" spans="1:8" ht="13.5" thickBot="1" x14ac:dyDescent="0.3">
      <c r="A1590" s="296" t="s">
        <v>11981</v>
      </c>
      <c r="B1590" s="297"/>
      <c r="C1590" s="297"/>
      <c r="D1590" s="297"/>
      <c r="E1590" s="297"/>
      <c r="F1590" s="297"/>
      <c r="G1590" s="298"/>
      <c r="H1590" s="188">
        <f>TRUNC(MEDIAN(H1587:H1589),2)</f>
        <v>4.43</v>
      </c>
    </row>
    <row r="1591" spans="1:8" ht="13.5" thickBot="1" x14ac:dyDescent="0.3">
      <c r="A1591" s="215" t="s">
        <v>11960</v>
      </c>
      <c r="B1591" s="308" t="s">
        <v>12460</v>
      </c>
      <c r="C1591" s="308"/>
      <c r="D1591" s="308"/>
      <c r="E1591" s="308"/>
      <c r="F1591" s="308"/>
      <c r="G1591" s="308"/>
      <c r="H1591" s="216" t="s">
        <v>4</v>
      </c>
    </row>
    <row r="1592" spans="1:8" ht="25.5" x14ac:dyDescent="0.25">
      <c r="A1592" s="213" t="s">
        <v>11965</v>
      </c>
      <c r="B1592" s="241" t="s">
        <v>11966</v>
      </c>
      <c r="C1592" s="241" t="s">
        <v>11967</v>
      </c>
      <c r="D1592" s="241" t="s">
        <v>11968</v>
      </c>
      <c r="E1592" s="294" t="s">
        <v>11969</v>
      </c>
      <c r="F1592" s="294"/>
      <c r="G1592" s="241" t="s">
        <v>4</v>
      </c>
      <c r="H1592" s="214" t="s">
        <v>11970</v>
      </c>
    </row>
    <row r="1593" spans="1:8" x14ac:dyDescent="0.25">
      <c r="A1593" s="205">
        <v>43388</v>
      </c>
      <c r="B1593" s="206" t="s">
        <v>12429</v>
      </c>
      <c r="C1593" s="206" t="s">
        <v>12430</v>
      </c>
      <c r="D1593" s="206" t="s">
        <v>12431</v>
      </c>
      <c r="E1593" s="306" t="s">
        <v>12432</v>
      </c>
      <c r="F1593" s="306"/>
      <c r="G1593" s="115" t="s">
        <v>4</v>
      </c>
      <c r="H1593" s="218">
        <v>5.49</v>
      </c>
    </row>
    <row r="1594" spans="1:8" x14ac:dyDescent="0.25">
      <c r="A1594" s="205">
        <v>43388</v>
      </c>
      <c r="B1594" s="206" t="s">
        <v>12433</v>
      </c>
      <c r="C1594" s="206" t="s">
        <v>12434</v>
      </c>
      <c r="D1594" s="206" t="s">
        <v>12435</v>
      </c>
      <c r="E1594" s="295" t="s">
        <v>12436</v>
      </c>
      <c r="F1594" s="295"/>
      <c r="G1594" s="115" t="s">
        <v>4</v>
      </c>
      <c r="H1594" s="208">
        <v>1.05</v>
      </c>
    </row>
    <row r="1595" spans="1:8" x14ac:dyDescent="0.25">
      <c r="A1595" s="205">
        <v>43376</v>
      </c>
      <c r="B1595" s="206" t="s">
        <v>12437</v>
      </c>
      <c r="C1595" s="206" t="s">
        <v>12438</v>
      </c>
      <c r="D1595" s="206" t="s">
        <v>12439</v>
      </c>
      <c r="E1595" s="295" t="s">
        <v>12440</v>
      </c>
      <c r="F1595" s="295"/>
      <c r="G1595" s="115" t="s">
        <v>4</v>
      </c>
      <c r="H1595" s="208">
        <v>1.72</v>
      </c>
    </row>
    <row r="1596" spans="1:8" ht="13.5" thickBot="1" x14ac:dyDescent="0.3">
      <c r="A1596" s="296" t="s">
        <v>11981</v>
      </c>
      <c r="B1596" s="297"/>
      <c r="C1596" s="297"/>
      <c r="D1596" s="297"/>
      <c r="E1596" s="297"/>
      <c r="F1596" s="297"/>
      <c r="G1596" s="298"/>
      <c r="H1596" s="188">
        <f>TRUNC(MEDIAN(H1593:H1595),2)</f>
        <v>1.72</v>
      </c>
    </row>
    <row r="1597" spans="1:8" ht="13.5" thickBot="1" x14ac:dyDescent="0.3">
      <c r="A1597" s="215" t="s">
        <v>11960</v>
      </c>
      <c r="B1597" s="308" t="s">
        <v>12461</v>
      </c>
      <c r="C1597" s="308"/>
      <c r="D1597" s="308"/>
      <c r="E1597" s="308"/>
      <c r="F1597" s="308"/>
      <c r="G1597" s="308"/>
      <c r="H1597" s="216" t="s">
        <v>4</v>
      </c>
    </row>
    <row r="1598" spans="1:8" ht="25.5" x14ac:dyDescent="0.25">
      <c r="A1598" s="213" t="s">
        <v>11965</v>
      </c>
      <c r="B1598" s="241" t="s">
        <v>11966</v>
      </c>
      <c r="C1598" s="241" t="s">
        <v>11967</v>
      </c>
      <c r="D1598" s="241" t="s">
        <v>11968</v>
      </c>
      <c r="E1598" s="294" t="s">
        <v>11969</v>
      </c>
      <c r="F1598" s="294"/>
      <c r="G1598" s="241" t="s">
        <v>4</v>
      </c>
      <c r="H1598" s="214" t="s">
        <v>11970</v>
      </c>
    </row>
    <row r="1599" spans="1:8" x14ac:dyDescent="0.25">
      <c r="A1599" s="205">
        <v>43388</v>
      </c>
      <c r="B1599" s="206" t="s">
        <v>12429</v>
      </c>
      <c r="C1599" s="206" t="s">
        <v>12430</v>
      </c>
      <c r="D1599" s="206" t="s">
        <v>12431</v>
      </c>
      <c r="E1599" s="306" t="s">
        <v>12432</v>
      </c>
      <c r="F1599" s="306"/>
      <c r="G1599" s="115" t="s">
        <v>4</v>
      </c>
      <c r="H1599" s="218">
        <v>4.99</v>
      </c>
    </row>
    <row r="1600" spans="1:8" x14ac:dyDescent="0.25">
      <c r="A1600" s="205">
        <v>43388</v>
      </c>
      <c r="B1600" s="206" t="s">
        <v>12433</v>
      </c>
      <c r="C1600" s="206" t="s">
        <v>12434</v>
      </c>
      <c r="D1600" s="206" t="s">
        <v>12435</v>
      </c>
      <c r="E1600" s="295" t="s">
        <v>12436</v>
      </c>
      <c r="F1600" s="295"/>
      <c r="G1600" s="115" t="s">
        <v>4</v>
      </c>
      <c r="H1600" s="208">
        <v>1.33</v>
      </c>
    </row>
    <row r="1601" spans="1:8" x14ac:dyDescent="0.25">
      <c r="A1601" s="205">
        <v>43376</v>
      </c>
      <c r="B1601" s="206" t="s">
        <v>12437</v>
      </c>
      <c r="C1601" s="206" t="s">
        <v>12438</v>
      </c>
      <c r="D1601" s="206" t="s">
        <v>12439</v>
      </c>
      <c r="E1601" s="295" t="s">
        <v>12440</v>
      </c>
      <c r="F1601" s="295"/>
      <c r="G1601" s="115" t="s">
        <v>4</v>
      </c>
      <c r="H1601" s="208">
        <v>2.82</v>
      </c>
    </row>
    <row r="1602" spans="1:8" ht="13.5" thickBot="1" x14ac:dyDescent="0.3">
      <c r="A1602" s="296" t="s">
        <v>11981</v>
      </c>
      <c r="B1602" s="297"/>
      <c r="C1602" s="297"/>
      <c r="D1602" s="297"/>
      <c r="E1602" s="297"/>
      <c r="F1602" s="297"/>
      <c r="G1602" s="298"/>
      <c r="H1602" s="188">
        <f>TRUNC(MEDIAN(H1599:H1601),2)</f>
        <v>2.82</v>
      </c>
    </row>
    <row r="1603" spans="1:8" ht="13.5" thickBot="1" x14ac:dyDescent="0.3"/>
    <row r="1604" spans="1:8" ht="25.5" x14ac:dyDescent="0.25">
      <c r="A1604" s="120" t="s">
        <v>90</v>
      </c>
      <c r="B1604" s="286" t="s">
        <v>91</v>
      </c>
      <c r="C1604" s="287"/>
      <c r="D1604" s="287"/>
      <c r="E1604" s="287"/>
      <c r="F1604" s="287"/>
      <c r="G1604" s="288"/>
      <c r="H1604" s="121" t="s">
        <v>4</v>
      </c>
    </row>
    <row r="1605" spans="1:8" ht="13.5" thickBot="1" x14ac:dyDescent="0.3">
      <c r="A1605" s="113" t="s">
        <v>12462</v>
      </c>
      <c r="B1605" s="289" t="s">
        <v>12463</v>
      </c>
      <c r="C1605" s="290"/>
      <c r="D1605" s="290"/>
      <c r="E1605" s="290"/>
      <c r="F1605" s="290"/>
      <c r="G1605" s="291"/>
      <c r="H1605" s="114" t="s">
        <v>16</v>
      </c>
    </row>
    <row r="1606" spans="1:8" x14ac:dyDescent="0.25">
      <c r="A1606" s="273" t="s">
        <v>13834</v>
      </c>
      <c r="B1606" s="275" t="s">
        <v>92</v>
      </c>
      <c r="C1606" s="276"/>
      <c r="D1606" s="185" t="s">
        <v>12464</v>
      </c>
      <c r="E1606" s="239" t="s">
        <v>93</v>
      </c>
      <c r="F1606" s="186">
        <v>0</v>
      </c>
      <c r="G1606" s="277" t="s">
        <v>94</v>
      </c>
      <c r="H1606" s="278"/>
    </row>
    <row r="1607" spans="1:8" x14ac:dyDescent="0.25">
      <c r="A1607" s="274"/>
      <c r="B1607" s="281" t="s">
        <v>95</v>
      </c>
      <c r="C1607" s="282"/>
      <c r="D1607" s="187">
        <v>42845</v>
      </c>
      <c r="E1607" s="240" t="s">
        <v>96</v>
      </c>
      <c r="F1607" s="187">
        <v>42845</v>
      </c>
      <c r="G1607" s="279"/>
      <c r="H1607" s="280"/>
    </row>
    <row r="1608" spans="1:8" x14ac:dyDescent="0.25">
      <c r="A1608" s="122" t="s">
        <v>11885</v>
      </c>
      <c r="B1608" s="123" t="s">
        <v>97</v>
      </c>
      <c r="C1608" s="123" t="s">
        <v>98</v>
      </c>
      <c r="D1608" s="123" t="s">
        <v>3</v>
      </c>
      <c r="E1608" s="123" t="s">
        <v>4</v>
      </c>
      <c r="F1608" s="123" t="s">
        <v>99</v>
      </c>
      <c r="G1608" s="123" t="s">
        <v>100</v>
      </c>
      <c r="H1608" s="124" t="s">
        <v>101</v>
      </c>
    </row>
    <row r="1609" spans="1:8" ht="25.5" x14ac:dyDescent="0.25">
      <c r="A1609" s="125" t="s">
        <v>398</v>
      </c>
      <c r="B1609" s="115" t="s">
        <v>9</v>
      </c>
      <c r="C1609" s="115">
        <v>88247</v>
      </c>
      <c r="D1609" s="127" t="str">
        <f>IF(A1609="COMPOSIÇÃO",VLOOKUP(C1609,'SINAPI_COMPOSIÇÕES 062020'!A:B,2,FALSE),VLOOKUP(C1609,'SINAPI_INSUMOS 062020'!A:B,2,FALSE))</f>
        <v>AUXILIAR DE ELETRICISTA COM ENCARGOS COMPLEMENTARES</v>
      </c>
      <c r="E1609" s="126" t="str">
        <f>IF(A1609="COMPOSIÇÃO",VLOOKUP(C1609,'SINAPI_COMPOSIÇÕES 062020'!A:C,3,FALSE),VLOOKUP(C1609,'SINAPI_INSUMOS 062020'!A:C,3,FALSE))</f>
        <v>H</v>
      </c>
      <c r="F1609" s="74">
        <v>0.2</v>
      </c>
      <c r="G1609" s="128">
        <f>IF(A1609="COMPOSIÇÃO",VLOOKUP(C1609,'SINAPI_COMPOSIÇÕES 062020'!A:D,4,FALSE),VLOOKUP(C1609,'SINAPI_INSUMOS 062020'!A:D,4,FALSE))</f>
        <v>14.33</v>
      </c>
      <c r="H1609" s="75">
        <f t="shared" ref="H1609:H1610" si="118">TRUNC(G1609*F1609,2)</f>
        <v>2.86</v>
      </c>
    </row>
    <row r="1610" spans="1:8" ht="25.5" x14ac:dyDescent="0.25">
      <c r="A1610" s="125" t="s">
        <v>398</v>
      </c>
      <c r="B1610" s="115" t="s">
        <v>9</v>
      </c>
      <c r="C1610" s="115">
        <v>88264</v>
      </c>
      <c r="D1610" s="127" t="str">
        <f>IF(A1610="COMPOSIÇÃO",VLOOKUP(C1610,'SINAPI_COMPOSIÇÕES 062020'!A:B,2,FALSE),VLOOKUP(C1610,'SINAPI_INSUMOS 062020'!A:B,2,FALSE))</f>
        <v>ELETRICISTA COM ENCARGOS COMPLEMENTARES</v>
      </c>
      <c r="E1610" s="126" t="str">
        <f>IF(A1610="COMPOSIÇÃO",VLOOKUP(C1610,'SINAPI_COMPOSIÇÕES 062020'!A:C,3,FALSE),VLOOKUP(C1610,'SINAPI_INSUMOS 062020'!A:C,3,FALSE))</f>
        <v>H</v>
      </c>
      <c r="F1610" s="74">
        <v>0.2</v>
      </c>
      <c r="G1610" s="128">
        <f>IF(A1610="COMPOSIÇÃO",VLOOKUP(C1610,'SINAPI_COMPOSIÇÕES 062020'!A:D,4,FALSE),VLOOKUP(C1610,'SINAPI_INSUMOS 062020'!A:D,4,FALSE))</f>
        <v>18.38</v>
      </c>
      <c r="H1610" s="75">
        <f t="shared" si="118"/>
        <v>3.67</v>
      </c>
    </row>
    <row r="1611" spans="1:8" ht="25.5" x14ac:dyDescent="0.25">
      <c r="A1611" s="125" t="s">
        <v>11958</v>
      </c>
      <c r="B1611" s="115" t="s">
        <v>11959</v>
      </c>
      <c r="C1611" s="115" t="s">
        <v>11960</v>
      </c>
      <c r="D1611" s="194" t="str">
        <f>B1616</f>
        <v>CANALETA DUPLA, EM ALUMINIO, D 25MM, REF. DUTOTEC</v>
      </c>
      <c r="E1611" s="115" t="str">
        <f>H1616</f>
        <v>M</v>
      </c>
      <c r="F1611" s="74">
        <v>1</v>
      </c>
      <c r="G1611" s="195">
        <f>H1620</f>
        <v>58.540000000000006</v>
      </c>
      <c r="H1611" s="75">
        <f>TRUNC(G1611*F1611,2)</f>
        <v>58.54</v>
      </c>
    </row>
    <row r="1612" spans="1:8" ht="38.25" x14ac:dyDescent="0.25">
      <c r="A1612" s="125" t="s">
        <v>11958</v>
      </c>
      <c r="B1612" s="115" t="s">
        <v>11959</v>
      </c>
      <c r="C1612" s="115" t="s">
        <v>11960</v>
      </c>
      <c r="D1612" s="194" t="str">
        <f>B1621</f>
        <v>TAMPA PARA CANALETA DUPLA, EM ALUMINIO, D 25MM, COM RANHURA LONGITUDINAL, REF. DUTOTEC</v>
      </c>
      <c r="E1612" s="115" t="str">
        <f>H1621</f>
        <v>M</v>
      </c>
      <c r="F1612" s="74">
        <v>1</v>
      </c>
      <c r="G1612" s="195">
        <f>H1625</f>
        <v>31.073333333333334</v>
      </c>
      <c r="H1612" s="75">
        <f>TRUNC(G1612*F1612,2)</f>
        <v>31.07</v>
      </c>
    </row>
    <row r="1613" spans="1:8" ht="13.5" thickBot="1" x14ac:dyDescent="0.3">
      <c r="A1613" s="267" t="str">
        <f>CONCATENATE("TOTAL DO ÍTEM - ",A1605)</f>
        <v>TOTAL DO ÍTEM - MPMT-03018</v>
      </c>
      <c r="B1613" s="268"/>
      <c r="C1613" s="268"/>
      <c r="D1613" s="268"/>
      <c r="E1613" s="268"/>
      <c r="F1613" s="268"/>
      <c r="G1613" s="269"/>
      <c r="H1613" s="188">
        <f>TRUNC(SUM(H1609:H1612),2)</f>
        <v>96.14</v>
      </c>
    </row>
    <row r="1614" spans="1:8" ht="13.5" thickBot="1" x14ac:dyDescent="0.3">
      <c r="A1614" s="299" t="s">
        <v>12465</v>
      </c>
      <c r="B1614" s="300"/>
      <c r="C1614" s="300"/>
      <c r="D1614" s="300"/>
      <c r="E1614" s="300"/>
      <c r="F1614" s="300"/>
      <c r="G1614" s="300"/>
      <c r="H1614" s="301"/>
    </row>
    <row r="1615" spans="1:8" x14ac:dyDescent="0.25">
      <c r="A1615" s="196"/>
      <c r="B1615" s="292" t="s">
        <v>11962</v>
      </c>
      <c r="C1615" s="292"/>
      <c r="D1615" s="292"/>
      <c r="E1615" s="292"/>
      <c r="F1615" s="292"/>
      <c r="G1615" s="292"/>
      <c r="H1615" s="197" t="s">
        <v>11963</v>
      </c>
    </row>
    <row r="1616" spans="1:8" ht="13.5" thickBot="1" x14ac:dyDescent="0.3">
      <c r="A1616" s="215" t="s">
        <v>11960</v>
      </c>
      <c r="B1616" s="308" t="s">
        <v>12466</v>
      </c>
      <c r="C1616" s="308"/>
      <c r="D1616" s="308"/>
      <c r="E1616" s="308"/>
      <c r="F1616" s="308"/>
      <c r="G1616" s="308"/>
      <c r="H1616" s="216" t="s">
        <v>16</v>
      </c>
    </row>
    <row r="1617" spans="1:8" ht="25.5" x14ac:dyDescent="0.25">
      <c r="A1617" s="198" t="s">
        <v>11965</v>
      </c>
      <c r="B1617" s="242" t="s">
        <v>11966</v>
      </c>
      <c r="C1617" s="242" t="s">
        <v>11967</v>
      </c>
      <c r="D1617" s="242" t="s">
        <v>11968</v>
      </c>
      <c r="E1617" s="305" t="s">
        <v>11969</v>
      </c>
      <c r="F1617" s="305"/>
      <c r="G1617" s="242" t="s">
        <v>4</v>
      </c>
      <c r="H1617" s="199" t="s">
        <v>11970</v>
      </c>
    </row>
    <row r="1618" spans="1:8" x14ac:dyDescent="0.25">
      <c r="A1618" s="200">
        <v>42842</v>
      </c>
      <c r="B1618" s="201" t="s">
        <v>12467</v>
      </c>
      <c r="C1618" s="201" t="s">
        <v>12468</v>
      </c>
      <c r="D1618" s="201" t="s">
        <v>12469</v>
      </c>
      <c r="E1618" s="306" t="s">
        <v>12470</v>
      </c>
      <c r="F1618" s="306"/>
      <c r="G1618" s="203" t="s">
        <v>16</v>
      </c>
      <c r="H1618" s="204">
        <f>166.75/3</f>
        <v>55.583333333333336</v>
      </c>
    </row>
    <row r="1619" spans="1:8" x14ac:dyDescent="0.25">
      <c r="A1619" s="205">
        <v>42843</v>
      </c>
      <c r="B1619" s="206" t="s">
        <v>12471</v>
      </c>
      <c r="C1619" s="206" t="s">
        <v>12472</v>
      </c>
      <c r="D1619" s="206" t="s">
        <v>12473</v>
      </c>
      <c r="E1619" s="295" t="s">
        <v>12474</v>
      </c>
      <c r="F1619" s="295"/>
      <c r="G1619" s="115" t="s">
        <v>16</v>
      </c>
      <c r="H1619" s="208">
        <f>184.49/3</f>
        <v>61.49666666666667</v>
      </c>
    </row>
    <row r="1620" spans="1:8" ht="13.5" thickBot="1" x14ac:dyDescent="0.3">
      <c r="A1620" s="296" t="s">
        <v>12476</v>
      </c>
      <c r="B1620" s="297"/>
      <c r="C1620" s="297"/>
      <c r="D1620" s="297"/>
      <c r="E1620" s="297"/>
      <c r="F1620" s="297"/>
      <c r="G1620" s="298"/>
      <c r="H1620" s="188">
        <f>AVERAGE(H1618:H1619)</f>
        <v>58.540000000000006</v>
      </c>
    </row>
    <row r="1621" spans="1:8" ht="13.5" thickBot="1" x14ac:dyDescent="0.3">
      <c r="A1621" s="215" t="s">
        <v>11960</v>
      </c>
      <c r="B1621" s="308" t="s">
        <v>12475</v>
      </c>
      <c r="C1621" s="308"/>
      <c r="D1621" s="308"/>
      <c r="E1621" s="308"/>
      <c r="F1621" s="308"/>
      <c r="G1621" s="308"/>
      <c r="H1621" s="216" t="s">
        <v>16</v>
      </c>
    </row>
    <row r="1622" spans="1:8" ht="25.5" x14ac:dyDescent="0.25">
      <c r="A1622" s="198" t="s">
        <v>11965</v>
      </c>
      <c r="B1622" s="242" t="s">
        <v>11966</v>
      </c>
      <c r="C1622" s="242" t="s">
        <v>11967</v>
      </c>
      <c r="D1622" s="242" t="s">
        <v>11968</v>
      </c>
      <c r="E1622" s="305" t="s">
        <v>11969</v>
      </c>
      <c r="F1622" s="305"/>
      <c r="G1622" s="242" t="s">
        <v>4</v>
      </c>
      <c r="H1622" s="199" t="s">
        <v>11970</v>
      </c>
    </row>
    <row r="1623" spans="1:8" x14ac:dyDescent="0.25">
      <c r="A1623" s="200">
        <v>42842</v>
      </c>
      <c r="B1623" s="201" t="s">
        <v>12467</v>
      </c>
      <c r="C1623" s="201" t="s">
        <v>12468</v>
      </c>
      <c r="D1623" s="201" t="s">
        <v>12469</v>
      </c>
      <c r="E1623" s="306" t="s">
        <v>12470</v>
      </c>
      <c r="F1623" s="306"/>
      <c r="G1623" s="203" t="s">
        <v>16</v>
      </c>
      <c r="H1623" s="204">
        <f>84.19/3</f>
        <v>28.063333333333333</v>
      </c>
    </row>
    <row r="1624" spans="1:8" x14ac:dyDescent="0.25">
      <c r="A1624" s="205">
        <v>42843</v>
      </c>
      <c r="B1624" s="206" t="s">
        <v>12471</v>
      </c>
      <c r="C1624" s="206" t="s">
        <v>12472</v>
      </c>
      <c r="D1624" s="206" t="s">
        <v>12473</v>
      </c>
      <c r="E1624" s="295" t="s">
        <v>12474</v>
      </c>
      <c r="F1624" s="295"/>
      <c r="G1624" s="115" t="s">
        <v>16</v>
      </c>
      <c r="H1624" s="208">
        <f>102.25/3</f>
        <v>34.083333333333336</v>
      </c>
    </row>
    <row r="1625" spans="1:8" ht="13.5" thickBot="1" x14ac:dyDescent="0.3">
      <c r="A1625" s="296" t="s">
        <v>12476</v>
      </c>
      <c r="B1625" s="297"/>
      <c r="C1625" s="297"/>
      <c r="D1625" s="297"/>
      <c r="E1625" s="297"/>
      <c r="F1625" s="297"/>
      <c r="G1625" s="298"/>
      <c r="H1625" s="188">
        <f>AVERAGE(H1623:H1624)</f>
        <v>31.073333333333334</v>
      </c>
    </row>
    <row r="1626" spans="1:8" ht="13.5" thickBot="1" x14ac:dyDescent="0.3"/>
    <row r="1627" spans="1:8" ht="25.5" x14ac:dyDescent="0.25">
      <c r="A1627" s="120" t="s">
        <v>90</v>
      </c>
      <c r="B1627" s="286" t="s">
        <v>91</v>
      </c>
      <c r="C1627" s="287"/>
      <c r="D1627" s="287"/>
      <c r="E1627" s="287"/>
      <c r="F1627" s="287"/>
      <c r="G1627" s="288"/>
      <c r="H1627" s="121" t="s">
        <v>4</v>
      </c>
    </row>
    <row r="1628" spans="1:8" ht="13.5" thickBot="1" x14ac:dyDescent="0.3">
      <c r="A1628" s="113" t="s">
        <v>12477</v>
      </c>
      <c r="B1628" s="289" t="s">
        <v>12489</v>
      </c>
      <c r="C1628" s="290"/>
      <c r="D1628" s="290"/>
      <c r="E1628" s="290"/>
      <c r="F1628" s="290"/>
      <c r="G1628" s="291"/>
      <c r="H1628" s="114" t="s">
        <v>4</v>
      </c>
    </row>
    <row r="1629" spans="1:8" x14ac:dyDescent="0.25">
      <c r="A1629" s="273" t="s">
        <v>13834</v>
      </c>
      <c r="B1629" s="309" t="s">
        <v>92</v>
      </c>
      <c r="C1629" s="310"/>
      <c r="D1629" s="185" t="s">
        <v>12478</v>
      </c>
      <c r="E1629" s="239" t="s">
        <v>93</v>
      </c>
      <c r="F1629" s="186">
        <v>0</v>
      </c>
      <c r="G1629" s="311" t="s">
        <v>94</v>
      </c>
      <c r="H1629" s="312"/>
    </row>
    <row r="1630" spans="1:8" x14ac:dyDescent="0.25">
      <c r="A1630" s="274"/>
      <c r="B1630" s="281" t="s">
        <v>95</v>
      </c>
      <c r="C1630" s="282"/>
      <c r="D1630" s="230">
        <v>43878</v>
      </c>
      <c r="E1630" s="240" t="s">
        <v>96</v>
      </c>
      <c r="F1630" s="230">
        <v>43878</v>
      </c>
      <c r="G1630" s="279"/>
      <c r="H1630" s="280"/>
    </row>
    <row r="1631" spans="1:8" x14ac:dyDescent="0.25">
      <c r="A1631" s="122" t="s">
        <v>11885</v>
      </c>
      <c r="B1631" s="123" t="s">
        <v>97</v>
      </c>
      <c r="C1631" s="123" t="s">
        <v>98</v>
      </c>
      <c r="D1631" s="123" t="s">
        <v>3</v>
      </c>
      <c r="E1631" s="123" t="s">
        <v>4</v>
      </c>
      <c r="F1631" s="123" t="s">
        <v>99</v>
      </c>
      <c r="G1631" s="123" t="s">
        <v>100</v>
      </c>
      <c r="H1631" s="124" t="s">
        <v>101</v>
      </c>
    </row>
    <row r="1632" spans="1:8" ht="25.5" x14ac:dyDescent="0.25">
      <c r="A1632" s="125" t="s">
        <v>398</v>
      </c>
      <c r="B1632" s="115" t="s">
        <v>9</v>
      </c>
      <c r="C1632" s="115">
        <v>88247</v>
      </c>
      <c r="D1632" s="127" t="str">
        <f>IF(A1632="COMPOSIÇÃO",VLOOKUP(C1632,'SINAPI_COMPOSIÇÕES 062020'!A:B,2,FALSE),VLOOKUP(C1632,'SINAPI_INSUMOS 062020'!A:B,2,FALSE))</f>
        <v>AUXILIAR DE ELETRICISTA COM ENCARGOS COMPLEMENTARES</v>
      </c>
      <c r="E1632" s="126" t="str">
        <f>IF(A1632="COMPOSIÇÃO",VLOOKUP(C1632,'SINAPI_COMPOSIÇÕES 062020'!A:C,3,FALSE),VLOOKUP(C1632,'SINAPI_INSUMOS 062020'!A:C,3,FALSE))</f>
        <v>H</v>
      </c>
      <c r="F1632" s="233">
        <v>0.21299999999999999</v>
      </c>
      <c r="G1632" s="128">
        <f>IF(A1632="COMPOSIÇÃO",VLOOKUP(C1632,'SINAPI_COMPOSIÇÕES 062020'!A:D,4,FALSE),VLOOKUP(C1632,'SINAPI_INSUMOS 062020'!A:D,4,FALSE))</f>
        <v>14.33</v>
      </c>
      <c r="H1632" s="75">
        <f t="shared" ref="H1632:H1633" si="119">TRUNC(G1632*F1632,2)</f>
        <v>3.05</v>
      </c>
    </row>
    <row r="1633" spans="1:8" ht="25.5" x14ac:dyDescent="0.25">
      <c r="A1633" s="125" t="s">
        <v>398</v>
      </c>
      <c r="B1633" s="115" t="s">
        <v>9</v>
      </c>
      <c r="C1633" s="115">
        <v>88264</v>
      </c>
      <c r="D1633" s="127" t="str">
        <f>IF(A1633="COMPOSIÇÃO",VLOOKUP(C1633,'SINAPI_COMPOSIÇÕES 062020'!A:B,2,FALSE),VLOOKUP(C1633,'SINAPI_INSUMOS 062020'!A:B,2,FALSE))</f>
        <v>ELETRICISTA COM ENCARGOS COMPLEMENTARES</v>
      </c>
      <c r="E1633" s="126" t="str">
        <f>IF(A1633="COMPOSIÇÃO",VLOOKUP(C1633,'SINAPI_COMPOSIÇÕES 062020'!A:C,3,FALSE),VLOOKUP(C1633,'SINAPI_INSUMOS 062020'!A:C,3,FALSE))</f>
        <v>H</v>
      </c>
      <c r="F1633" s="233">
        <v>0.21299999999999999</v>
      </c>
      <c r="G1633" s="128">
        <f>IF(A1633="COMPOSIÇÃO",VLOOKUP(C1633,'SINAPI_COMPOSIÇÕES 062020'!A:D,4,FALSE),VLOOKUP(C1633,'SINAPI_INSUMOS 062020'!A:D,4,FALSE))</f>
        <v>18.38</v>
      </c>
      <c r="H1633" s="75">
        <f t="shared" si="119"/>
        <v>3.91</v>
      </c>
    </row>
    <row r="1634" spans="1:8" ht="38.25" x14ac:dyDescent="0.25">
      <c r="A1634" s="125" t="s">
        <v>11959</v>
      </c>
      <c r="B1634" s="115" t="s">
        <v>11958</v>
      </c>
      <c r="C1634" s="115" t="s">
        <v>11960</v>
      </c>
      <c r="D1634" s="194" t="str">
        <f>B1641</f>
        <v>CAIXA SOBREPOR PARA SISTEMA DE CANALETA, REF. DUTOTEC DT-64444.10 OU EQUIVALENTE</v>
      </c>
      <c r="E1634" s="115" t="str">
        <f>H1641</f>
        <v>UND</v>
      </c>
      <c r="F1634" s="233">
        <v>1</v>
      </c>
      <c r="G1634" s="195">
        <f>H1644</f>
        <v>17.86</v>
      </c>
      <c r="H1634" s="222">
        <f t="shared" ref="H1634:H1637" si="120">G1634*F1634</f>
        <v>17.86</v>
      </c>
    </row>
    <row r="1635" spans="1:8" ht="25.5" x14ac:dyDescent="0.25">
      <c r="A1635" s="125" t="s">
        <v>11959</v>
      </c>
      <c r="B1635" s="115" t="s">
        <v>11958</v>
      </c>
      <c r="C1635" s="115" t="s">
        <v>11960</v>
      </c>
      <c r="D1635" s="194" t="str">
        <f>B1645</f>
        <v>MÓDULO RJ45, REF. DUTOTEC DX-99240.00 OU EQUIVALENTE</v>
      </c>
      <c r="E1635" s="115" t="str">
        <f>H1645</f>
        <v>UND</v>
      </c>
      <c r="F1635" s="233">
        <v>1</v>
      </c>
      <c r="G1635" s="195">
        <f>H1648</f>
        <v>3.84</v>
      </c>
      <c r="H1635" s="222">
        <f t="shared" si="120"/>
        <v>3.84</v>
      </c>
    </row>
    <row r="1636" spans="1:8" x14ac:dyDescent="0.25">
      <c r="A1636" s="125" t="s">
        <v>400</v>
      </c>
      <c r="B1636" s="115" t="s">
        <v>9</v>
      </c>
      <c r="C1636" s="115">
        <v>39601</v>
      </c>
      <c r="D1636" s="127" t="str">
        <f>IF(A1636="COMPOSIÇÃO",VLOOKUP(C1636,'SINAPI_COMPOSIÇÕES 062020'!A:B,2,FALSE),VLOOKUP(C1636,'SINAPI_INSUMOS 062020'!A:B,2,FALSE))</f>
        <v>CONECTOR FEMEA RJ - 45, CATEGORIA 6</v>
      </c>
      <c r="E1636" s="126" t="str">
        <f>IF(A1636="COMPOSIÇÃO",VLOOKUP(C1636,'SINAPI_COMPOSIÇÕES 062020'!A:C,3,FALSE),VLOOKUP(C1636,'SINAPI_INSUMOS 062020'!A:C,3,FALSE))</f>
        <v xml:space="preserve">UN    </v>
      </c>
      <c r="F1636" s="233">
        <v>1</v>
      </c>
      <c r="G1636" s="128">
        <f>IF(A1636="COMPOSIÇÃO",VLOOKUP(C1636,'SINAPI_COMPOSIÇÕES 062020'!A:D,4,FALSE),VLOOKUP(C1636,'SINAPI_INSUMOS 062020'!A:D,4,FALSE))</f>
        <v>14.25</v>
      </c>
      <c r="H1636" s="75">
        <f t="shared" ref="H1636" si="121">TRUNC(G1636*F1636,2)</f>
        <v>14.25</v>
      </c>
    </row>
    <row r="1637" spans="1:8" ht="25.5" x14ac:dyDescent="0.25">
      <c r="A1637" s="125" t="s">
        <v>11959</v>
      </c>
      <c r="B1637" s="115" t="s">
        <v>11958</v>
      </c>
      <c r="C1637" s="115" t="s">
        <v>11960</v>
      </c>
      <c r="D1637" s="194" t="str">
        <f>B1649</f>
        <v>MÓDULO CEGO, REF. DUTOTEC DX-99200.00 OU EQUIVALENTE</v>
      </c>
      <c r="E1637" s="115" t="str">
        <f>H1649</f>
        <v>UND</v>
      </c>
      <c r="F1637" s="233">
        <v>2</v>
      </c>
      <c r="G1637" s="195">
        <f>H1652</f>
        <v>3.08</v>
      </c>
      <c r="H1637" s="222">
        <f t="shared" si="120"/>
        <v>6.16</v>
      </c>
    </row>
    <row r="1638" spans="1:8" ht="13.5" thickBot="1" x14ac:dyDescent="0.3">
      <c r="A1638" s="267" t="str">
        <f>CONCATENATE("TOTAL DO ÍTEM - ",A1628)</f>
        <v>TOTAL DO ÍTEM - MPMT-05172</v>
      </c>
      <c r="B1638" s="268"/>
      <c r="C1638" s="268"/>
      <c r="D1638" s="268"/>
      <c r="E1638" s="268"/>
      <c r="F1638" s="268"/>
      <c r="G1638" s="269"/>
      <c r="H1638" s="188">
        <f>SUM(H1632:H1637)</f>
        <v>49.069999999999993</v>
      </c>
    </row>
    <row r="1639" spans="1:8" ht="13.5" thickBot="1" x14ac:dyDescent="0.3">
      <c r="A1639" s="299" t="s">
        <v>12482</v>
      </c>
      <c r="B1639" s="300"/>
      <c r="C1639" s="300"/>
      <c r="D1639" s="300"/>
      <c r="E1639" s="300"/>
      <c r="F1639" s="300"/>
      <c r="G1639" s="300"/>
      <c r="H1639" s="301"/>
    </row>
    <row r="1640" spans="1:8" ht="13.5" thickBot="1" x14ac:dyDescent="0.3">
      <c r="A1640" s="317" t="s">
        <v>12483</v>
      </c>
      <c r="B1640" s="318"/>
      <c r="C1640" s="318"/>
      <c r="D1640" s="318"/>
      <c r="E1640" s="318"/>
      <c r="F1640" s="318"/>
      <c r="G1640" s="318"/>
      <c r="H1640" s="319"/>
    </row>
    <row r="1641" spans="1:8" ht="13.5" thickBot="1" x14ac:dyDescent="0.3">
      <c r="A1641" s="234" t="s">
        <v>11960</v>
      </c>
      <c r="B1641" s="293" t="s">
        <v>12479</v>
      </c>
      <c r="C1641" s="293"/>
      <c r="D1641" s="293"/>
      <c r="E1641" s="293"/>
      <c r="F1641" s="293"/>
      <c r="G1641" s="293"/>
      <c r="H1641" s="235" t="s">
        <v>4</v>
      </c>
    </row>
    <row r="1642" spans="1:8" ht="25.5" x14ac:dyDescent="0.25">
      <c r="A1642" s="213" t="s">
        <v>11965</v>
      </c>
      <c r="B1642" s="241" t="s">
        <v>11966</v>
      </c>
      <c r="C1642" s="241" t="s">
        <v>11967</v>
      </c>
      <c r="D1642" s="241" t="s">
        <v>11968</v>
      </c>
      <c r="E1642" s="294" t="s">
        <v>11969</v>
      </c>
      <c r="F1642" s="294"/>
      <c r="G1642" s="241" t="s">
        <v>4</v>
      </c>
      <c r="H1642" s="214" t="s">
        <v>11970</v>
      </c>
    </row>
    <row r="1643" spans="1:8" x14ac:dyDescent="0.25">
      <c r="A1643" s="205">
        <v>43997</v>
      </c>
      <c r="B1643" s="206" t="s">
        <v>12484</v>
      </c>
      <c r="C1643" s="206" t="s">
        <v>12485</v>
      </c>
      <c r="D1643" s="236" t="s">
        <v>12486</v>
      </c>
      <c r="E1643" s="295" t="s">
        <v>12474</v>
      </c>
      <c r="F1643" s="295"/>
      <c r="G1643" s="115" t="s">
        <v>4</v>
      </c>
      <c r="H1643" s="218">
        <v>17.86</v>
      </c>
    </row>
    <row r="1644" spans="1:8" ht="13.5" thickBot="1" x14ac:dyDescent="0.3">
      <c r="A1644" s="296" t="s">
        <v>11981</v>
      </c>
      <c r="B1644" s="297"/>
      <c r="C1644" s="297"/>
      <c r="D1644" s="297"/>
      <c r="E1644" s="297"/>
      <c r="F1644" s="297"/>
      <c r="G1644" s="298"/>
      <c r="H1644" s="188">
        <f>TRUNC(MEDIAN(H1643:H1643),2)</f>
        <v>17.86</v>
      </c>
    </row>
    <row r="1645" spans="1:8" ht="13.5" thickBot="1" x14ac:dyDescent="0.3">
      <c r="A1645" s="234" t="s">
        <v>11960</v>
      </c>
      <c r="B1645" s="293" t="s">
        <v>12480</v>
      </c>
      <c r="C1645" s="293"/>
      <c r="D1645" s="293"/>
      <c r="E1645" s="293"/>
      <c r="F1645" s="293"/>
      <c r="G1645" s="293"/>
      <c r="H1645" s="235" t="s">
        <v>4</v>
      </c>
    </row>
    <row r="1646" spans="1:8" ht="25.5" x14ac:dyDescent="0.25">
      <c r="A1646" s="213" t="s">
        <v>11965</v>
      </c>
      <c r="B1646" s="241" t="s">
        <v>11966</v>
      </c>
      <c r="C1646" s="241" t="s">
        <v>11967</v>
      </c>
      <c r="D1646" s="241" t="s">
        <v>11968</v>
      </c>
      <c r="E1646" s="294" t="s">
        <v>11969</v>
      </c>
      <c r="F1646" s="294"/>
      <c r="G1646" s="241" t="s">
        <v>4</v>
      </c>
      <c r="H1646" s="214" t="s">
        <v>11970</v>
      </c>
    </row>
    <row r="1647" spans="1:8" x14ac:dyDescent="0.25">
      <c r="A1647" s="205">
        <v>43997</v>
      </c>
      <c r="B1647" s="206" t="s">
        <v>12484</v>
      </c>
      <c r="C1647" s="206" t="s">
        <v>12485</v>
      </c>
      <c r="D1647" s="236" t="s">
        <v>12486</v>
      </c>
      <c r="E1647" s="295" t="s">
        <v>12474</v>
      </c>
      <c r="F1647" s="295"/>
      <c r="G1647" s="115" t="s">
        <v>4</v>
      </c>
      <c r="H1647" s="218">
        <v>3.84</v>
      </c>
    </row>
    <row r="1648" spans="1:8" ht="13.5" thickBot="1" x14ac:dyDescent="0.3">
      <c r="A1648" s="296" t="s">
        <v>11981</v>
      </c>
      <c r="B1648" s="297"/>
      <c r="C1648" s="297"/>
      <c r="D1648" s="297"/>
      <c r="E1648" s="297"/>
      <c r="F1648" s="297"/>
      <c r="G1648" s="298"/>
      <c r="H1648" s="188">
        <f>TRUNC(MEDIAN(H1647:H1647),2)</f>
        <v>3.84</v>
      </c>
    </row>
    <row r="1649" spans="1:8" ht="13.5" thickBot="1" x14ac:dyDescent="0.3">
      <c r="A1649" s="234" t="s">
        <v>11960</v>
      </c>
      <c r="B1649" s="293" t="s">
        <v>12481</v>
      </c>
      <c r="C1649" s="293"/>
      <c r="D1649" s="293"/>
      <c r="E1649" s="293"/>
      <c r="F1649" s="293"/>
      <c r="G1649" s="293"/>
      <c r="H1649" s="235" t="s">
        <v>4</v>
      </c>
    </row>
    <row r="1650" spans="1:8" ht="25.5" x14ac:dyDescent="0.25">
      <c r="A1650" s="213" t="s">
        <v>11965</v>
      </c>
      <c r="B1650" s="241" t="s">
        <v>11966</v>
      </c>
      <c r="C1650" s="241" t="s">
        <v>11967</v>
      </c>
      <c r="D1650" s="241" t="s">
        <v>11968</v>
      </c>
      <c r="E1650" s="294" t="s">
        <v>11969</v>
      </c>
      <c r="F1650" s="294"/>
      <c r="G1650" s="241" t="s">
        <v>4</v>
      </c>
      <c r="H1650" s="214" t="s">
        <v>11970</v>
      </c>
    </row>
    <row r="1651" spans="1:8" x14ac:dyDescent="0.25">
      <c r="A1651" s="205">
        <v>43997</v>
      </c>
      <c r="B1651" s="206" t="s">
        <v>12484</v>
      </c>
      <c r="C1651" s="206" t="s">
        <v>12485</v>
      </c>
      <c r="D1651" s="236" t="s">
        <v>12486</v>
      </c>
      <c r="E1651" s="295" t="s">
        <v>12474</v>
      </c>
      <c r="F1651" s="295"/>
      <c r="G1651" s="115" t="s">
        <v>4</v>
      </c>
      <c r="H1651" s="218">
        <v>3.08</v>
      </c>
    </row>
    <row r="1652" spans="1:8" ht="13.5" thickBot="1" x14ac:dyDescent="0.3">
      <c r="A1652" s="296" t="s">
        <v>11981</v>
      </c>
      <c r="B1652" s="297"/>
      <c r="C1652" s="297"/>
      <c r="D1652" s="297"/>
      <c r="E1652" s="297"/>
      <c r="F1652" s="297"/>
      <c r="G1652" s="298"/>
      <c r="H1652" s="188">
        <f>TRUNC(MEDIAN(H1651:H1651),2)</f>
        <v>3.08</v>
      </c>
    </row>
    <row r="1653" spans="1:8" ht="13.5" thickBot="1" x14ac:dyDescent="0.3">
      <c r="A1653" s="189"/>
      <c r="B1653" s="189"/>
      <c r="C1653" s="189"/>
      <c r="D1653" s="190"/>
      <c r="E1653" s="189"/>
      <c r="F1653" s="191"/>
      <c r="G1653" s="191"/>
      <c r="H1653" s="191"/>
    </row>
    <row r="1654" spans="1:8" ht="25.5" x14ac:dyDescent="0.25">
      <c r="A1654" s="120" t="s">
        <v>90</v>
      </c>
      <c r="B1654" s="286" t="s">
        <v>91</v>
      </c>
      <c r="C1654" s="287"/>
      <c r="D1654" s="287"/>
      <c r="E1654" s="287"/>
      <c r="F1654" s="287"/>
      <c r="G1654" s="288"/>
      <c r="H1654" s="121" t="s">
        <v>4</v>
      </c>
    </row>
    <row r="1655" spans="1:8" ht="13.5" thickBot="1" x14ac:dyDescent="0.3">
      <c r="A1655" s="113" t="s">
        <v>12487</v>
      </c>
      <c r="B1655" s="289" t="s">
        <v>12488</v>
      </c>
      <c r="C1655" s="290"/>
      <c r="D1655" s="290"/>
      <c r="E1655" s="290"/>
      <c r="F1655" s="290"/>
      <c r="G1655" s="291"/>
      <c r="H1655" s="114" t="s">
        <v>4</v>
      </c>
    </row>
    <row r="1656" spans="1:8" x14ac:dyDescent="0.25">
      <c r="A1656" s="273" t="s">
        <v>13834</v>
      </c>
      <c r="B1656" s="309" t="s">
        <v>92</v>
      </c>
      <c r="C1656" s="310"/>
      <c r="D1656" s="185" t="s">
        <v>12478</v>
      </c>
      <c r="E1656" s="239" t="s">
        <v>93</v>
      </c>
      <c r="F1656" s="186">
        <v>0</v>
      </c>
      <c r="G1656" s="311" t="s">
        <v>94</v>
      </c>
      <c r="H1656" s="312"/>
    </row>
    <row r="1657" spans="1:8" x14ac:dyDescent="0.25">
      <c r="A1657" s="274"/>
      <c r="B1657" s="281" t="s">
        <v>95</v>
      </c>
      <c r="C1657" s="282"/>
      <c r="D1657" s="230">
        <v>43878</v>
      </c>
      <c r="E1657" s="240" t="s">
        <v>96</v>
      </c>
      <c r="F1657" s="230">
        <v>43878</v>
      </c>
      <c r="G1657" s="279"/>
      <c r="H1657" s="280"/>
    </row>
    <row r="1658" spans="1:8" x14ac:dyDescent="0.25">
      <c r="A1658" s="122" t="s">
        <v>11885</v>
      </c>
      <c r="B1658" s="123" t="s">
        <v>97</v>
      </c>
      <c r="C1658" s="123" t="s">
        <v>98</v>
      </c>
      <c r="D1658" s="123" t="s">
        <v>3</v>
      </c>
      <c r="E1658" s="123" t="s">
        <v>4</v>
      </c>
      <c r="F1658" s="123" t="s">
        <v>99</v>
      </c>
      <c r="G1658" s="123" t="s">
        <v>100</v>
      </c>
      <c r="H1658" s="124" t="s">
        <v>101</v>
      </c>
    </row>
    <row r="1659" spans="1:8" ht="25.5" x14ac:dyDescent="0.25">
      <c r="A1659" s="125" t="s">
        <v>398</v>
      </c>
      <c r="B1659" s="115" t="s">
        <v>9</v>
      </c>
      <c r="C1659" s="115">
        <v>88247</v>
      </c>
      <c r="D1659" s="127" t="str">
        <f>IF(A1659="COMPOSIÇÃO",VLOOKUP(C1659,'SINAPI_COMPOSIÇÕES 062020'!A:B,2,FALSE),VLOOKUP(C1659,'SINAPI_INSUMOS 062020'!A:B,2,FALSE))</f>
        <v>AUXILIAR DE ELETRICISTA COM ENCARGOS COMPLEMENTARES</v>
      </c>
      <c r="E1659" s="126" t="str">
        <f>IF(A1659="COMPOSIÇÃO",VLOOKUP(C1659,'SINAPI_COMPOSIÇÕES 062020'!A:C,3,FALSE),VLOOKUP(C1659,'SINAPI_INSUMOS 062020'!A:C,3,FALSE))</f>
        <v>H</v>
      </c>
      <c r="F1659" s="233">
        <v>0.21299999999999999</v>
      </c>
      <c r="G1659" s="128">
        <f>IF(A1659="COMPOSIÇÃO",VLOOKUP(C1659,'SINAPI_COMPOSIÇÕES 062020'!A:D,4,FALSE),VLOOKUP(C1659,'SINAPI_INSUMOS 062020'!A:D,4,FALSE))</f>
        <v>14.33</v>
      </c>
      <c r="H1659" s="75">
        <f t="shared" ref="H1659:H1660" si="122">TRUNC(G1659*F1659,2)</f>
        <v>3.05</v>
      </c>
    </row>
    <row r="1660" spans="1:8" ht="25.5" x14ac:dyDescent="0.25">
      <c r="A1660" s="125" t="s">
        <v>398</v>
      </c>
      <c r="B1660" s="115" t="s">
        <v>9</v>
      </c>
      <c r="C1660" s="115">
        <v>88264</v>
      </c>
      <c r="D1660" s="127" t="str">
        <f>IF(A1660="COMPOSIÇÃO",VLOOKUP(C1660,'SINAPI_COMPOSIÇÕES 062020'!A:B,2,FALSE),VLOOKUP(C1660,'SINAPI_INSUMOS 062020'!A:B,2,FALSE))</f>
        <v>ELETRICISTA COM ENCARGOS COMPLEMENTARES</v>
      </c>
      <c r="E1660" s="126" t="str">
        <f>IF(A1660="COMPOSIÇÃO",VLOOKUP(C1660,'SINAPI_COMPOSIÇÕES 062020'!A:C,3,FALSE),VLOOKUP(C1660,'SINAPI_INSUMOS 062020'!A:C,3,FALSE))</f>
        <v>H</v>
      </c>
      <c r="F1660" s="233">
        <v>0.21299999999999999</v>
      </c>
      <c r="G1660" s="128">
        <f>IF(A1660="COMPOSIÇÃO",VLOOKUP(C1660,'SINAPI_COMPOSIÇÕES 062020'!A:D,4,FALSE),VLOOKUP(C1660,'SINAPI_INSUMOS 062020'!A:D,4,FALSE))</f>
        <v>18.38</v>
      </c>
      <c r="H1660" s="75">
        <f t="shared" si="122"/>
        <v>3.91</v>
      </c>
    </row>
    <row r="1661" spans="1:8" ht="38.25" x14ac:dyDescent="0.25">
      <c r="A1661" s="125" t="s">
        <v>11959</v>
      </c>
      <c r="B1661" s="115" t="s">
        <v>11958</v>
      </c>
      <c r="C1661" s="115" t="s">
        <v>11960</v>
      </c>
      <c r="D1661" s="194" t="str">
        <f>B1668</f>
        <v>CAIXA SOBREPOR PARA SISTEMA DE CANALETA, REF. DUTOTEC DT-64444.10 OU EQUIVALENTE</v>
      </c>
      <c r="E1661" s="115" t="str">
        <f>H1668</f>
        <v>UND</v>
      </c>
      <c r="F1661" s="233">
        <v>1</v>
      </c>
      <c r="G1661" s="195">
        <f>H1671</f>
        <v>17.86</v>
      </c>
      <c r="H1661" s="222">
        <f t="shared" ref="H1661:H1664" si="123">G1661*F1661</f>
        <v>17.86</v>
      </c>
    </row>
    <row r="1662" spans="1:8" ht="25.5" x14ac:dyDescent="0.25">
      <c r="A1662" s="125" t="s">
        <v>11959</v>
      </c>
      <c r="B1662" s="115" t="s">
        <v>11958</v>
      </c>
      <c r="C1662" s="115" t="s">
        <v>11960</v>
      </c>
      <c r="D1662" s="194" t="str">
        <f>B1672</f>
        <v>MÓDULO RJ45, REF. DUTOTEC DX-99240.00 OU EQUIVALENTE</v>
      </c>
      <c r="E1662" s="115" t="str">
        <f>H1672</f>
        <v>UND</v>
      </c>
      <c r="F1662" s="233">
        <v>2</v>
      </c>
      <c r="G1662" s="195">
        <f>H1675</f>
        <v>3.84</v>
      </c>
      <c r="H1662" s="222">
        <f t="shared" si="123"/>
        <v>7.68</v>
      </c>
    </row>
    <row r="1663" spans="1:8" x14ac:dyDescent="0.25">
      <c r="A1663" s="125" t="s">
        <v>400</v>
      </c>
      <c r="B1663" s="115" t="s">
        <v>9</v>
      </c>
      <c r="C1663" s="115">
        <v>39601</v>
      </c>
      <c r="D1663" s="127" t="str">
        <f>IF(A1663="COMPOSIÇÃO",VLOOKUP(C1663,'SINAPI_COMPOSIÇÕES 062020'!A:B,2,FALSE),VLOOKUP(C1663,'SINAPI_INSUMOS 062020'!A:B,2,FALSE))</f>
        <v>CONECTOR FEMEA RJ - 45, CATEGORIA 6</v>
      </c>
      <c r="E1663" s="126" t="str">
        <f>IF(A1663="COMPOSIÇÃO",VLOOKUP(C1663,'SINAPI_COMPOSIÇÕES 062020'!A:C,3,FALSE),VLOOKUP(C1663,'SINAPI_INSUMOS 062020'!A:C,3,FALSE))</f>
        <v xml:space="preserve">UN    </v>
      </c>
      <c r="F1663" s="233">
        <v>2</v>
      </c>
      <c r="G1663" s="128">
        <f>IF(A1663="COMPOSIÇÃO",VLOOKUP(C1663,'SINAPI_COMPOSIÇÕES 062020'!A:D,4,FALSE),VLOOKUP(C1663,'SINAPI_INSUMOS 062020'!A:D,4,FALSE))</f>
        <v>14.25</v>
      </c>
      <c r="H1663" s="75">
        <f t="shared" ref="H1663" si="124">TRUNC(G1663*F1663,2)</f>
        <v>28.5</v>
      </c>
    </row>
    <row r="1664" spans="1:8" ht="25.5" x14ac:dyDescent="0.25">
      <c r="A1664" s="125" t="s">
        <v>11959</v>
      </c>
      <c r="B1664" s="115" t="s">
        <v>11958</v>
      </c>
      <c r="C1664" s="115" t="s">
        <v>11960</v>
      </c>
      <c r="D1664" s="194" t="str">
        <f>B1676</f>
        <v>MÓDULO CEGO, REF. DUTOTEC DX-99200.00 OU EQUIVALENTE</v>
      </c>
      <c r="E1664" s="115" t="str">
        <f>H1676</f>
        <v>UND</v>
      </c>
      <c r="F1664" s="233">
        <v>1</v>
      </c>
      <c r="G1664" s="195">
        <f>H1679</f>
        <v>3.08</v>
      </c>
      <c r="H1664" s="222">
        <f t="shared" si="123"/>
        <v>3.08</v>
      </c>
    </row>
    <row r="1665" spans="1:8" ht="13.5" thickBot="1" x14ac:dyDescent="0.3">
      <c r="A1665" s="267" t="str">
        <f>CONCATENATE("TOTAL DO ÍTEM - ",A1655)</f>
        <v>TOTAL DO ÍTEM - MPMT-05173</v>
      </c>
      <c r="B1665" s="268"/>
      <c r="C1665" s="268"/>
      <c r="D1665" s="268"/>
      <c r="E1665" s="268"/>
      <c r="F1665" s="268"/>
      <c r="G1665" s="269"/>
      <c r="H1665" s="188">
        <f>SUM(H1659:H1664)</f>
        <v>64.08</v>
      </c>
    </row>
    <row r="1666" spans="1:8" ht="13.5" thickBot="1" x14ac:dyDescent="0.3">
      <c r="A1666" s="299" t="s">
        <v>12482</v>
      </c>
      <c r="B1666" s="300"/>
      <c r="C1666" s="300"/>
      <c r="D1666" s="300"/>
      <c r="E1666" s="300"/>
      <c r="F1666" s="300"/>
      <c r="G1666" s="300"/>
      <c r="H1666" s="301"/>
    </row>
    <row r="1667" spans="1:8" ht="13.5" thickBot="1" x14ac:dyDescent="0.3">
      <c r="A1667" s="317" t="s">
        <v>12483</v>
      </c>
      <c r="B1667" s="318"/>
      <c r="C1667" s="318"/>
      <c r="D1667" s="318"/>
      <c r="E1667" s="318"/>
      <c r="F1667" s="318"/>
      <c r="G1667" s="318"/>
      <c r="H1667" s="319"/>
    </row>
    <row r="1668" spans="1:8" ht="13.5" thickBot="1" x14ac:dyDescent="0.3">
      <c r="A1668" s="234" t="s">
        <v>11960</v>
      </c>
      <c r="B1668" s="293" t="s">
        <v>12479</v>
      </c>
      <c r="C1668" s="293"/>
      <c r="D1668" s="293"/>
      <c r="E1668" s="293"/>
      <c r="F1668" s="293"/>
      <c r="G1668" s="293"/>
      <c r="H1668" s="235" t="s">
        <v>4</v>
      </c>
    </row>
    <row r="1669" spans="1:8" ht="25.5" x14ac:dyDescent="0.25">
      <c r="A1669" s="213" t="s">
        <v>11965</v>
      </c>
      <c r="B1669" s="241" t="s">
        <v>11966</v>
      </c>
      <c r="C1669" s="241" t="s">
        <v>11967</v>
      </c>
      <c r="D1669" s="241" t="s">
        <v>11968</v>
      </c>
      <c r="E1669" s="294" t="s">
        <v>11969</v>
      </c>
      <c r="F1669" s="294"/>
      <c r="G1669" s="241" t="s">
        <v>4</v>
      </c>
      <c r="H1669" s="214" t="s">
        <v>11970</v>
      </c>
    </row>
    <row r="1670" spans="1:8" x14ac:dyDescent="0.25">
      <c r="A1670" s="205">
        <v>43997</v>
      </c>
      <c r="B1670" s="206" t="s">
        <v>12484</v>
      </c>
      <c r="C1670" s="206" t="s">
        <v>12485</v>
      </c>
      <c r="D1670" s="236" t="s">
        <v>12486</v>
      </c>
      <c r="E1670" s="295" t="s">
        <v>12474</v>
      </c>
      <c r="F1670" s="295"/>
      <c r="G1670" s="115" t="s">
        <v>4</v>
      </c>
      <c r="H1670" s="218">
        <v>17.86</v>
      </c>
    </row>
    <row r="1671" spans="1:8" ht="13.5" thickBot="1" x14ac:dyDescent="0.3">
      <c r="A1671" s="296" t="s">
        <v>11981</v>
      </c>
      <c r="B1671" s="297"/>
      <c r="C1671" s="297"/>
      <c r="D1671" s="297"/>
      <c r="E1671" s="297"/>
      <c r="F1671" s="297"/>
      <c r="G1671" s="298"/>
      <c r="H1671" s="188">
        <f>TRUNC(MEDIAN(H1670:H1670),2)</f>
        <v>17.86</v>
      </c>
    </row>
    <row r="1672" spans="1:8" ht="13.5" thickBot="1" x14ac:dyDescent="0.3">
      <c r="A1672" s="234" t="s">
        <v>11960</v>
      </c>
      <c r="B1672" s="293" t="s">
        <v>12480</v>
      </c>
      <c r="C1672" s="293"/>
      <c r="D1672" s="293"/>
      <c r="E1672" s="293"/>
      <c r="F1672" s="293"/>
      <c r="G1672" s="293"/>
      <c r="H1672" s="235" t="s">
        <v>4</v>
      </c>
    </row>
    <row r="1673" spans="1:8" ht="25.5" x14ac:dyDescent="0.25">
      <c r="A1673" s="213" t="s">
        <v>11965</v>
      </c>
      <c r="B1673" s="241" t="s">
        <v>11966</v>
      </c>
      <c r="C1673" s="241" t="s">
        <v>11967</v>
      </c>
      <c r="D1673" s="241" t="s">
        <v>11968</v>
      </c>
      <c r="E1673" s="294" t="s">
        <v>11969</v>
      </c>
      <c r="F1673" s="294"/>
      <c r="G1673" s="241" t="s">
        <v>4</v>
      </c>
      <c r="H1673" s="214" t="s">
        <v>11970</v>
      </c>
    </row>
    <row r="1674" spans="1:8" x14ac:dyDescent="0.25">
      <c r="A1674" s="205">
        <v>43997</v>
      </c>
      <c r="B1674" s="206" t="s">
        <v>12484</v>
      </c>
      <c r="C1674" s="206" t="s">
        <v>12485</v>
      </c>
      <c r="D1674" s="236" t="s">
        <v>12486</v>
      </c>
      <c r="E1674" s="295" t="s">
        <v>12474</v>
      </c>
      <c r="F1674" s="295"/>
      <c r="G1674" s="115" t="s">
        <v>4</v>
      </c>
      <c r="H1674" s="218">
        <v>3.84</v>
      </c>
    </row>
    <row r="1675" spans="1:8" ht="13.5" thickBot="1" x14ac:dyDescent="0.3">
      <c r="A1675" s="296" t="s">
        <v>11981</v>
      </c>
      <c r="B1675" s="297"/>
      <c r="C1675" s="297"/>
      <c r="D1675" s="297"/>
      <c r="E1675" s="297"/>
      <c r="F1675" s="297"/>
      <c r="G1675" s="298"/>
      <c r="H1675" s="188">
        <f>TRUNC(MEDIAN(H1674:H1674),2)</f>
        <v>3.84</v>
      </c>
    </row>
    <row r="1676" spans="1:8" ht="13.5" thickBot="1" x14ac:dyDescent="0.3">
      <c r="A1676" s="234" t="s">
        <v>11960</v>
      </c>
      <c r="B1676" s="293" t="s">
        <v>12481</v>
      </c>
      <c r="C1676" s="293"/>
      <c r="D1676" s="293"/>
      <c r="E1676" s="293"/>
      <c r="F1676" s="293"/>
      <c r="G1676" s="293"/>
      <c r="H1676" s="235" t="s">
        <v>4</v>
      </c>
    </row>
    <row r="1677" spans="1:8" ht="25.5" x14ac:dyDescent="0.25">
      <c r="A1677" s="213" t="s">
        <v>11965</v>
      </c>
      <c r="B1677" s="241" t="s">
        <v>11966</v>
      </c>
      <c r="C1677" s="241" t="s">
        <v>11967</v>
      </c>
      <c r="D1677" s="241" t="s">
        <v>11968</v>
      </c>
      <c r="E1677" s="294" t="s">
        <v>11969</v>
      </c>
      <c r="F1677" s="294"/>
      <c r="G1677" s="241" t="s">
        <v>4</v>
      </c>
      <c r="H1677" s="214" t="s">
        <v>11970</v>
      </c>
    </row>
    <row r="1678" spans="1:8" x14ac:dyDescent="0.25">
      <c r="A1678" s="205">
        <v>43997</v>
      </c>
      <c r="B1678" s="206" t="s">
        <v>12484</v>
      </c>
      <c r="C1678" s="206" t="s">
        <v>12485</v>
      </c>
      <c r="D1678" s="236" t="s">
        <v>12486</v>
      </c>
      <c r="E1678" s="295" t="s">
        <v>12474</v>
      </c>
      <c r="F1678" s="295"/>
      <c r="G1678" s="115" t="s">
        <v>4</v>
      </c>
      <c r="H1678" s="218">
        <v>3.08</v>
      </c>
    </row>
    <row r="1679" spans="1:8" ht="13.5" thickBot="1" x14ac:dyDescent="0.3">
      <c r="A1679" s="296" t="s">
        <v>11981</v>
      </c>
      <c r="B1679" s="297"/>
      <c r="C1679" s="297"/>
      <c r="D1679" s="297"/>
      <c r="E1679" s="297"/>
      <c r="F1679" s="297"/>
      <c r="G1679" s="298"/>
      <c r="H1679" s="188">
        <f>TRUNC(MEDIAN(H1678:H1678),2)</f>
        <v>3.08</v>
      </c>
    </row>
    <row r="1680" spans="1:8" ht="13.5" thickBot="1" x14ac:dyDescent="0.3"/>
    <row r="1681" spans="1:8" ht="25.5" x14ac:dyDescent="0.25">
      <c r="A1681" s="120" t="s">
        <v>90</v>
      </c>
      <c r="B1681" s="286" t="s">
        <v>91</v>
      </c>
      <c r="C1681" s="287"/>
      <c r="D1681" s="287"/>
      <c r="E1681" s="287"/>
      <c r="F1681" s="287"/>
      <c r="G1681" s="288"/>
      <c r="H1681" s="121" t="s">
        <v>4</v>
      </c>
    </row>
    <row r="1682" spans="1:8" ht="13.5" thickBot="1" x14ac:dyDescent="0.3">
      <c r="A1682" s="113" t="s">
        <v>12490</v>
      </c>
      <c r="B1682" s="289" t="s">
        <v>12491</v>
      </c>
      <c r="C1682" s="290"/>
      <c r="D1682" s="290"/>
      <c r="E1682" s="290"/>
      <c r="F1682" s="290"/>
      <c r="G1682" s="291"/>
      <c r="H1682" s="114" t="s">
        <v>4</v>
      </c>
    </row>
    <row r="1683" spans="1:8" x14ac:dyDescent="0.25">
      <c r="A1683" s="273" t="s">
        <v>13834</v>
      </c>
      <c r="B1683" s="309" t="s">
        <v>92</v>
      </c>
      <c r="C1683" s="310"/>
      <c r="D1683" s="185" t="s">
        <v>12478</v>
      </c>
      <c r="E1683" s="239" t="s">
        <v>93</v>
      </c>
      <c r="F1683" s="186">
        <v>0</v>
      </c>
      <c r="G1683" s="311" t="s">
        <v>94</v>
      </c>
      <c r="H1683" s="312"/>
    </row>
    <row r="1684" spans="1:8" x14ac:dyDescent="0.25">
      <c r="A1684" s="274"/>
      <c r="B1684" s="281" t="s">
        <v>95</v>
      </c>
      <c r="C1684" s="282"/>
      <c r="D1684" s="230">
        <v>43878</v>
      </c>
      <c r="E1684" s="240" t="s">
        <v>96</v>
      </c>
      <c r="F1684" s="230">
        <v>43878</v>
      </c>
      <c r="G1684" s="279"/>
      <c r="H1684" s="280"/>
    </row>
    <row r="1685" spans="1:8" x14ac:dyDescent="0.25">
      <c r="A1685" s="122" t="s">
        <v>11885</v>
      </c>
      <c r="B1685" s="123" t="s">
        <v>97</v>
      </c>
      <c r="C1685" s="123" t="s">
        <v>98</v>
      </c>
      <c r="D1685" s="123" t="s">
        <v>3</v>
      </c>
      <c r="E1685" s="123" t="s">
        <v>4</v>
      </c>
      <c r="F1685" s="123" t="s">
        <v>99</v>
      </c>
      <c r="G1685" s="123" t="s">
        <v>100</v>
      </c>
      <c r="H1685" s="124" t="s">
        <v>101</v>
      </c>
    </row>
    <row r="1686" spans="1:8" ht="25.5" x14ac:dyDescent="0.25">
      <c r="A1686" s="125" t="s">
        <v>398</v>
      </c>
      <c r="B1686" s="115" t="s">
        <v>9</v>
      </c>
      <c r="C1686" s="115">
        <v>88247</v>
      </c>
      <c r="D1686" s="127" t="str">
        <f>IF(A1686="COMPOSIÇÃO",VLOOKUP(C1686,'SINAPI_COMPOSIÇÕES 062020'!A:B,2,FALSE),VLOOKUP(C1686,'SINAPI_INSUMOS 062020'!A:B,2,FALSE))</f>
        <v>AUXILIAR DE ELETRICISTA COM ENCARGOS COMPLEMENTARES</v>
      </c>
      <c r="E1686" s="126" t="str">
        <f>IF(A1686="COMPOSIÇÃO",VLOOKUP(C1686,'SINAPI_COMPOSIÇÕES 062020'!A:C,3,FALSE),VLOOKUP(C1686,'SINAPI_INSUMOS 062020'!A:C,3,FALSE))</f>
        <v>H</v>
      </c>
      <c r="F1686" s="233">
        <v>0.21299999999999999</v>
      </c>
      <c r="G1686" s="128">
        <f>IF(A1686="COMPOSIÇÃO",VLOOKUP(C1686,'SINAPI_COMPOSIÇÕES 062020'!A:D,4,FALSE),VLOOKUP(C1686,'SINAPI_INSUMOS 062020'!A:D,4,FALSE))</f>
        <v>14.33</v>
      </c>
      <c r="H1686" s="75">
        <f t="shared" ref="H1686:H1687" si="125">TRUNC(G1686*F1686,2)</f>
        <v>3.05</v>
      </c>
    </row>
    <row r="1687" spans="1:8" ht="25.5" x14ac:dyDescent="0.25">
      <c r="A1687" s="125" t="s">
        <v>398</v>
      </c>
      <c r="B1687" s="115" t="s">
        <v>9</v>
      </c>
      <c r="C1687" s="115">
        <v>88264</v>
      </c>
      <c r="D1687" s="127" t="str">
        <f>IF(A1687="COMPOSIÇÃO",VLOOKUP(C1687,'SINAPI_COMPOSIÇÕES 062020'!A:B,2,FALSE),VLOOKUP(C1687,'SINAPI_INSUMOS 062020'!A:B,2,FALSE))</f>
        <v>ELETRICISTA COM ENCARGOS COMPLEMENTARES</v>
      </c>
      <c r="E1687" s="126" t="str">
        <f>IF(A1687="COMPOSIÇÃO",VLOOKUP(C1687,'SINAPI_COMPOSIÇÕES 062020'!A:C,3,FALSE),VLOOKUP(C1687,'SINAPI_INSUMOS 062020'!A:C,3,FALSE))</f>
        <v>H</v>
      </c>
      <c r="F1687" s="233">
        <v>0.21299999999999999</v>
      </c>
      <c r="G1687" s="128">
        <f>IF(A1687="COMPOSIÇÃO",VLOOKUP(C1687,'SINAPI_COMPOSIÇÕES 062020'!A:D,4,FALSE),VLOOKUP(C1687,'SINAPI_INSUMOS 062020'!A:D,4,FALSE))</f>
        <v>18.38</v>
      </c>
      <c r="H1687" s="75">
        <f t="shared" si="125"/>
        <v>3.91</v>
      </c>
    </row>
    <row r="1688" spans="1:8" ht="38.25" x14ac:dyDescent="0.25">
      <c r="A1688" s="125" t="s">
        <v>11959</v>
      </c>
      <c r="B1688" s="115" t="s">
        <v>11958</v>
      </c>
      <c r="C1688" s="115" t="s">
        <v>11960</v>
      </c>
      <c r="D1688" s="194" t="str">
        <f>B1694</f>
        <v>CAIXA SOBREPOR PARA SISTEMA DE CANALETA, REF. DUTOTEC DT-64444.10 OU EQUIVALENTE</v>
      </c>
      <c r="E1688" s="115" t="str">
        <f>H1694</f>
        <v>UND</v>
      </c>
      <c r="F1688" s="233">
        <v>1</v>
      </c>
      <c r="G1688" s="195">
        <f>H1697</f>
        <v>17.86</v>
      </c>
      <c r="H1688" s="222">
        <f t="shared" ref="H1688:H1689" si="126">G1688*F1688</f>
        <v>17.86</v>
      </c>
    </row>
    <row r="1689" spans="1:8" ht="25.5" x14ac:dyDescent="0.25">
      <c r="A1689" s="125" t="s">
        <v>11959</v>
      </c>
      <c r="B1689" s="115" t="s">
        <v>11958</v>
      </c>
      <c r="C1689" s="115" t="s">
        <v>11960</v>
      </c>
      <c r="D1689" s="194" t="str">
        <f>B1698</f>
        <v>MÓDULO RJ45, REF. DUTOTEC DX-99240.00 OU EQUIVALENTE</v>
      </c>
      <c r="E1689" s="115" t="str">
        <f>H1698</f>
        <v>UND</v>
      </c>
      <c r="F1689" s="233">
        <v>3</v>
      </c>
      <c r="G1689" s="195">
        <f>H1701</f>
        <v>3.84</v>
      </c>
      <c r="H1689" s="222">
        <f t="shared" si="126"/>
        <v>11.52</v>
      </c>
    </row>
    <row r="1690" spans="1:8" x14ac:dyDescent="0.25">
      <c r="A1690" s="125" t="s">
        <v>400</v>
      </c>
      <c r="B1690" s="115" t="s">
        <v>9</v>
      </c>
      <c r="C1690" s="115">
        <v>39601</v>
      </c>
      <c r="D1690" s="127" t="str">
        <f>IF(A1690="COMPOSIÇÃO",VLOOKUP(C1690,'SINAPI_COMPOSIÇÕES 062020'!A:B,2,FALSE),VLOOKUP(C1690,'SINAPI_INSUMOS 062020'!A:B,2,FALSE))</f>
        <v>CONECTOR FEMEA RJ - 45, CATEGORIA 6</v>
      </c>
      <c r="E1690" s="126" t="str">
        <f>IF(A1690="COMPOSIÇÃO",VLOOKUP(C1690,'SINAPI_COMPOSIÇÕES 062020'!A:C,3,FALSE),VLOOKUP(C1690,'SINAPI_INSUMOS 062020'!A:C,3,FALSE))</f>
        <v xml:space="preserve">UN    </v>
      </c>
      <c r="F1690" s="233">
        <v>3</v>
      </c>
      <c r="G1690" s="128">
        <f>IF(A1690="COMPOSIÇÃO",VLOOKUP(C1690,'SINAPI_COMPOSIÇÕES 062020'!A:D,4,FALSE),VLOOKUP(C1690,'SINAPI_INSUMOS 062020'!A:D,4,FALSE))</f>
        <v>14.25</v>
      </c>
      <c r="H1690" s="75">
        <f t="shared" ref="H1690" si="127">TRUNC(G1690*F1690,2)</f>
        <v>42.75</v>
      </c>
    </row>
    <row r="1691" spans="1:8" ht="13.5" thickBot="1" x14ac:dyDescent="0.3">
      <c r="A1691" s="267" t="str">
        <f>CONCATENATE("TOTAL DO ÍTEM - ",A1682)</f>
        <v>TOTAL DO ÍTEM - MPMT-05190</v>
      </c>
      <c r="B1691" s="268"/>
      <c r="C1691" s="268"/>
      <c r="D1691" s="268"/>
      <c r="E1691" s="268"/>
      <c r="F1691" s="268"/>
      <c r="G1691" s="269"/>
      <c r="H1691" s="188">
        <f>SUM(H1686:H1690)</f>
        <v>79.09</v>
      </c>
    </row>
    <row r="1692" spans="1:8" ht="13.5" thickBot="1" x14ac:dyDescent="0.3">
      <c r="A1692" s="299" t="s">
        <v>12482</v>
      </c>
      <c r="B1692" s="300"/>
      <c r="C1692" s="300"/>
      <c r="D1692" s="300"/>
      <c r="E1692" s="300"/>
      <c r="F1692" s="300"/>
      <c r="G1692" s="300"/>
      <c r="H1692" s="301"/>
    </row>
    <row r="1693" spans="1:8" ht="13.5" thickBot="1" x14ac:dyDescent="0.3">
      <c r="A1693" s="317" t="s">
        <v>12483</v>
      </c>
      <c r="B1693" s="318"/>
      <c r="C1693" s="318"/>
      <c r="D1693" s="318"/>
      <c r="E1693" s="318"/>
      <c r="F1693" s="318"/>
      <c r="G1693" s="318"/>
      <c r="H1693" s="319"/>
    </row>
    <row r="1694" spans="1:8" ht="13.5" thickBot="1" x14ac:dyDescent="0.3">
      <c r="A1694" s="234" t="s">
        <v>11960</v>
      </c>
      <c r="B1694" s="293" t="s">
        <v>12479</v>
      </c>
      <c r="C1694" s="293"/>
      <c r="D1694" s="293"/>
      <c r="E1694" s="293"/>
      <c r="F1694" s="293"/>
      <c r="G1694" s="293"/>
      <c r="H1694" s="235" t="s">
        <v>4</v>
      </c>
    </row>
    <row r="1695" spans="1:8" ht="25.5" x14ac:dyDescent="0.25">
      <c r="A1695" s="213" t="s">
        <v>11965</v>
      </c>
      <c r="B1695" s="241" t="s">
        <v>11966</v>
      </c>
      <c r="C1695" s="241" t="s">
        <v>11967</v>
      </c>
      <c r="D1695" s="241" t="s">
        <v>11968</v>
      </c>
      <c r="E1695" s="294" t="s">
        <v>11969</v>
      </c>
      <c r="F1695" s="294"/>
      <c r="G1695" s="241" t="s">
        <v>4</v>
      </c>
      <c r="H1695" s="214" t="s">
        <v>11970</v>
      </c>
    </row>
    <row r="1696" spans="1:8" x14ac:dyDescent="0.25">
      <c r="A1696" s="205">
        <v>43997</v>
      </c>
      <c r="B1696" s="206" t="s">
        <v>12484</v>
      </c>
      <c r="C1696" s="206" t="s">
        <v>12485</v>
      </c>
      <c r="D1696" s="236" t="s">
        <v>12486</v>
      </c>
      <c r="E1696" s="295" t="s">
        <v>12474</v>
      </c>
      <c r="F1696" s="295"/>
      <c r="G1696" s="115" t="s">
        <v>4</v>
      </c>
      <c r="H1696" s="218">
        <v>17.86</v>
      </c>
    </row>
    <row r="1697" spans="1:8" ht="13.5" thickBot="1" x14ac:dyDescent="0.3">
      <c r="A1697" s="296" t="s">
        <v>11981</v>
      </c>
      <c r="B1697" s="297"/>
      <c r="C1697" s="297"/>
      <c r="D1697" s="297"/>
      <c r="E1697" s="297"/>
      <c r="F1697" s="297"/>
      <c r="G1697" s="298"/>
      <c r="H1697" s="188">
        <f>TRUNC(MEDIAN(H1696:H1696),2)</f>
        <v>17.86</v>
      </c>
    </row>
    <row r="1698" spans="1:8" ht="13.5" thickBot="1" x14ac:dyDescent="0.3">
      <c r="A1698" s="234" t="s">
        <v>11960</v>
      </c>
      <c r="B1698" s="293" t="s">
        <v>12480</v>
      </c>
      <c r="C1698" s="293"/>
      <c r="D1698" s="293"/>
      <c r="E1698" s="293"/>
      <c r="F1698" s="293"/>
      <c r="G1698" s="293"/>
      <c r="H1698" s="235" t="s">
        <v>4</v>
      </c>
    </row>
    <row r="1699" spans="1:8" ht="25.5" x14ac:dyDescent="0.25">
      <c r="A1699" s="213" t="s">
        <v>11965</v>
      </c>
      <c r="B1699" s="241" t="s">
        <v>11966</v>
      </c>
      <c r="C1699" s="241" t="s">
        <v>11967</v>
      </c>
      <c r="D1699" s="241" t="s">
        <v>11968</v>
      </c>
      <c r="E1699" s="294" t="s">
        <v>11969</v>
      </c>
      <c r="F1699" s="294"/>
      <c r="G1699" s="241" t="s">
        <v>4</v>
      </c>
      <c r="H1699" s="214" t="s">
        <v>11970</v>
      </c>
    </row>
    <row r="1700" spans="1:8" x14ac:dyDescent="0.25">
      <c r="A1700" s="205">
        <v>43997</v>
      </c>
      <c r="B1700" s="206" t="s">
        <v>12484</v>
      </c>
      <c r="C1700" s="206" t="s">
        <v>12485</v>
      </c>
      <c r="D1700" s="236" t="s">
        <v>12486</v>
      </c>
      <c r="E1700" s="295" t="s">
        <v>12474</v>
      </c>
      <c r="F1700" s="295"/>
      <c r="G1700" s="115" t="s">
        <v>4</v>
      </c>
      <c r="H1700" s="218">
        <v>3.84</v>
      </c>
    </row>
    <row r="1701" spans="1:8" ht="13.5" thickBot="1" x14ac:dyDescent="0.3">
      <c r="A1701" s="296" t="s">
        <v>11981</v>
      </c>
      <c r="B1701" s="297"/>
      <c r="C1701" s="297"/>
      <c r="D1701" s="297"/>
      <c r="E1701" s="297"/>
      <c r="F1701" s="297"/>
      <c r="G1701" s="298"/>
      <c r="H1701" s="188">
        <f>TRUNC(MEDIAN(H1700:H1700),2)</f>
        <v>3.84</v>
      </c>
    </row>
    <row r="1702" spans="1:8" ht="13.5" thickBot="1" x14ac:dyDescent="0.3"/>
    <row r="1703" spans="1:8" ht="25.5" x14ac:dyDescent="0.25">
      <c r="A1703" s="120" t="s">
        <v>90</v>
      </c>
      <c r="B1703" s="286" t="s">
        <v>91</v>
      </c>
      <c r="C1703" s="287"/>
      <c r="D1703" s="287"/>
      <c r="E1703" s="287"/>
      <c r="F1703" s="287"/>
      <c r="G1703" s="288"/>
      <c r="H1703" s="121" t="s">
        <v>4</v>
      </c>
    </row>
    <row r="1704" spans="1:8" ht="13.5" thickBot="1" x14ac:dyDescent="0.3">
      <c r="A1704" s="113" t="s">
        <v>12492</v>
      </c>
      <c r="B1704" s="289" t="s">
        <v>12493</v>
      </c>
      <c r="C1704" s="290"/>
      <c r="D1704" s="290"/>
      <c r="E1704" s="290"/>
      <c r="F1704" s="290"/>
      <c r="G1704" s="291"/>
      <c r="H1704" s="114" t="s">
        <v>4</v>
      </c>
    </row>
    <row r="1705" spans="1:8" x14ac:dyDescent="0.25">
      <c r="A1705" s="273" t="s">
        <v>13834</v>
      </c>
      <c r="B1705" s="275" t="s">
        <v>92</v>
      </c>
      <c r="C1705" s="276"/>
      <c r="D1705" s="185" t="s">
        <v>398</v>
      </c>
      <c r="E1705" s="239" t="s">
        <v>93</v>
      </c>
      <c r="F1705" s="186">
        <v>0</v>
      </c>
      <c r="G1705" s="277" t="s">
        <v>94</v>
      </c>
      <c r="H1705" s="278"/>
    </row>
    <row r="1706" spans="1:8" x14ac:dyDescent="0.25">
      <c r="A1706" s="274"/>
      <c r="B1706" s="281" t="s">
        <v>95</v>
      </c>
      <c r="C1706" s="282"/>
      <c r="D1706" s="187">
        <v>42954</v>
      </c>
      <c r="E1706" s="240" t="s">
        <v>96</v>
      </c>
      <c r="F1706" s="187">
        <v>42954</v>
      </c>
      <c r="G1706" s="279"/>
      <c r="H1706" s="280"/>
    </row>
    <row r="1707" spans="1:8" x14ac:dyDescent="0.25">
      <c r="A1707" s="122" t="s">
        <v>11885</v>
      </c>
      <c r="B1707" s="123" t="s">
        <v>97</v>
      </c>
      <c r="C1707" s="123" t="s">
        <v>98</v>
      </c>
      <c r="D1707" s="123" t="s">
        <v>3</v>
      </c>
      <c r="E1707" s="123" t="s">
        <v>4</v>
      </c>
      <c r="F1707" s="123" t="s">
        <v>99</v>
      </c>
      <c r="G1707" s="123" t="s">
        <v>100</v>
      </c>
      <c r="H1707" s="124" t="s">
        <v>101</v>
      </c>
    </row>
    <row r="1708" spans="1:8" ht="25.5" x14ac:dyDescent="0.25">
      <c r="A1708" s="125" t="s">
        <v>398</v>
      </c>
      <c r="B1708" s="115" t="s">
        <v>9</v>
      </c>
      <c r="C1708" s="115">
        <v>88264</v>
      </c>
      <c r="D1708" s="127" t="str">
        <f>IF(A1708="COMPOSIÇÃO",VLOOKUP(C1708,'SINAPI_COMPOSIÇÕES 062020'!A:B,2,FALSE),VLOOKUP(C1708,'SINAPI_INSUMOS 062020'!A:B,2,FALSE))</f>
        <v>ELETRICISTA COM ENCARGOS COMPLEMENTARES</v>
      </c>
      <c r="E1708" s="126" t="str">
        <f>IF(A1708="COMPOSIÇÃO",VLOOKUP(C1708,'SINAPI_COMPOSIÇÕES 062020'!A:C,3,FALSE),VLOOKUP(C1708,'SINAPI_INSUMOS 062020'!A:C,3,FALSE))</f>
        <v>H</v>
      </c>
      <c r="F1708" s="74">
        <v>0.2</v>
      </c>
      <c r="G1708" s="128">
        <f>IF(A1708="COMPOSIÇÃO",VLOOKUP(C1708,'SINAPI_COMPOSIÇÕES 062020'!A:D,4,FALSE),VLOOKUP(C1708,'SINAPI_INSUMOS 062020'!A:D,4,FALSE))</f>
        <v>18.38</v>
      </c>
      <c r="H1708" s="75">
        <f t="shared" ref="H1708:H1709" si="128">TRUNC(G1708*F1708,2)</f>
        <v>3.67</v>
      </c>
    </row>
    <row r="1709" spans="1:8" ht="25.5" x14ac:dyDescent="0.25">
      <c r="A1709" s="125" t="s">
        <v>398</v>
      </c>
      <c r="B1709" s="115" t="s">
        <v>9</v>
      </c>
      <c r="C1709" s="115">
        <v>88247</v>
      </c>
      <c r="D1709" s="127" t="str">
        <f>IF(A1709="COMPOSIÇÃO",VLOOKUP(C1709,'SINAPI_COMPOSIÇÕES 062020'!A:B,2,FALSE),VLOOKUP(C1709,'SINAPI_INSUMOS 062020'!A:B,2,FALSE))</f>
        <v>AUXILIAR DE ELETRICISTA COM ENCARGOS COMPLEMENTARES</v>
      </c>
      <c r="E1709" s="126" t="str">
        <f>IF(A1709="COMPOSIÇÃO",VLOOKUP(C1709,'SINAPI_COMPOSIÇÕES 062020'!A:C,3,FALSE),VLOOKUP(C1709,'SINAPI_INSUMOS 062020'!A:C,3,FALSE))</f>
        <v>H</v>
      </c>
      <c r="F1709" s="74">
        <v>0.2</v>
      </c>
      <c r="G1709" s="128">
        <f>IF(A1709="COMPOSIÇÃO",VLOOKUP(C1709,'SINAPI_COMPOSIÇÕES 062020'!A:D,4,FALSE),VLOOKUP(C1709,'SINAPI_INSUMOS 062020'!A:D,4,FALSE))</f>
        <v>14.33</v>
      </c>
      <c r="H1709" s="75">
        <f t="shared" si="128"/>
        <v>2.86</v>
      </c>
    </row>
    <row r="1710" spans="1:8" ht="25.5" x14ac:dyDescent="0.25">
      <c r="A1710" s="125" t="s">
        <v>11958</v>
      </c>
      <c r="B1710" s="115" t="s">
        <v>11959</v>
      </c>
      <c r="C1710" s="115" t="s">
        <v>11960</v>
      </c>
      <c r="D1710" s="194" t="str">
        <f>B1714</f>
        <v>CURVA  VERTICAL INTERNA, MOD. REF.: DT 38041.30</v>
      </c>
      <c r="E1710" s="115" t="str">
        <f>H1714</f>
        <v>M</v>
      </c>
      <c r="F1710" s="74">
        <v>1</v>
      </c>
      <c r="G1710" s="195">
        <f>H1719</f>
        <v>23.31</v>
      </c>
      <c r="H1710" s="75">
        <f>TRUNC(G1710*F1710,2)</f>
        <v>23.31</v>
      </c>
    </row>
    <row r="1711" spans="1:8" ht="13.5" thickBot="1" x14ac:dyDescent="0.3">
      <c r="A1711" s="267" t="str">
        <f>CONCATENATE("TOTAL DO ÍTEM - ",A1704)</f>
        <v>TOTAL DO ÍTEM - MPMT-03113</v>
      </c>
      <c r="B1711" s="268"/>
      <c r="C1711" s="268"/>
      <c r="D1711" s="268"/>
      <c r="E1711" s="268"/>
      <c r="F1711" s="268"/>
      <c r="G1711" s="269"/>
      <c r="H1711" s="188">
        <f>TRUNC(SUM(H1708:H1710),2)</f>
        <v>29.84</v>
      </c>
    </row>
    <row r="1712" spans="1:8" ht="13.5" thickBot="1" x14ac:dyDescent="0.3">
      <c r="A1712" s="299" t="s">
        <v>12494</v>
      </c>
      <c r="B1712" s="300"/>
      <c r="C1712" s="300"/>
      <c r="D1712" s="300"/>
      <c r="E1712" s="300"/>
      <c r="F1712" s="300"/>
      <c r="G1712" s="300"/>
      <c r="H1712" s="301"/>
    </row>
    <row r="1713" spans="1:8" x14ac:dyDescent="0.25">
      <c r="A1713" s="196"/>
      <c r="B1713" s="292" t="s">
        <v>11962</v>
      </c>
      <c r="C1713" s="292"/>
      <c r="D1713" s="292"/>
      <c r="E1713" s="292"/>
      <c r="F1713" s="292"/>
      <c r="G1713" s="292"/>
      <c r="H1713" s="197" t="s">
        <v>11963</v>
      </c>
    </row>
    <row r="1714" spans="1:8" ht="13.5" thickBot="1" x14ac:dyDescent="0.3">
      <c r="A1714" s="234" t="s">
        <v>11960</v>
      </c>
      <c r="B1714" s="293" t="s">
        <v>12495</v>
      </c>
      <c r="C1714" s="293"/>
      <c r="D1714" s="293"/>
      <c r="E1714" s="293"/>
      <c r="F1714" s="293"/>
      <c r="G1714" s="293"/>
      <c r="H1714" s="235" t="s">
        <v>16</v>
      </c>
    </row>
    <row r="1715" spans="1:8" ht="25.5" x14ac:dyDescent="0.25">
      <c r="A1715" s="213" t="s">
        <v>11965</v>
      </c>
      <c r="B1715" s="241" t="s">
        <v>11966</v>
      </c>
      <c r="C1715" s="241" t="s">
        <v>11967</v>
      </c>
      <c r="D1715" s="241" t="s">
        <v>11968</v>
      </c>
      <c r="E1715" s="294" t="s">
        <v>11969</v>
      </c>
      <c r="F1715" s="294"/>
      <c r="G1715" s="241" t="s">
        <v>4</v>
      </c>
      <c r="H1715" s="214" t="s">
        <v>11970</v>
      </c>
    </row>
    <row r="1716" spans="1:8" x14ac:dyDescent="0.25">
      <c r="A1716" s="205">
        <v>42952</v>
      </c>
      <c r="B1716" s="206" t="s">
        <v>12496</v>
      </c>
      <c r="C1716" s="206" t="s">
        <v>12497</v>
      </c>
      <c r="D1716" s="206" t="s">
        <v>12473</v>
      </c>
      <c r="E1716" s="295" t="s">
        <v>12474</v>
      </c>
      <c r="F1716" s="295"/>
      <c r="G1716" s="115" t="s">
        <v>4</v>
      </c>
      <c r="H1716" s="218">
        <v>28.08</v>
      </c>
    </row>
    <row r="1717" spans="1:8" x14ac:dyDescent="0.25">
      <c r="A1717" s="205">
        <v>42955</v>
      </c>
      <c r="B1717" s="206" t="s">
        <v>12498</v>
      </c>
      <c r="C1717" s="206" t="s">
        <v>12499</v>
      </c>
      <c r="D1717" s="206" t="s">
        <v>12500</v>
      </c>
      <c r="E1717" s="295" t="s">
        <v>12501</v>
      </c>
      <c r="F1717" s="295"/>
      <c r="G1717" s="115" t="s">
        <v>4</v>
      </c>
      <c r="H1717" s="208">
        <v>23.31</v>
      </c>
    </row>
    <row r="1718" spans="1:8" x14ac:dyDescent="0.25">
      <c r="A1718" s="205">
        <v>42955</v>
      </c>
      <c r="B1718" s="206" t="s">
        <v>12502</v>
      </c>
      <c r="C1718" s="206" t="s">
        <v>12503</v>
      </c>
      <c r="D1718" s="206" t="s">
        <v>12504</v>
      </c>
      <c r="E1718" s="295" t="s">
        <v>12505</v>
      </c>
      <c r="F1718" s="295"/>
      <c r="G1718" s="115" t="s">
        <v>4</v>
      </c>
      <c r="H1718" s="208">
        <v>13.9</v>
      </c>
    </row>
    <row r="1719" spans="1:8" ht="13.5" thickBot="1" x14ac:dyDescent="0.3">
      <c r="A1719" s="296" t="s">
        <v>11981</v>
      </c>
      <c r="B1719" s="297"/>
      <c r="C1719" s="297"/>
      <c r="D1719" s="297"/>
      <c r="E1719" s="297"/>
      <c r="F1719" s="297"/>
      <c r="G1719" s="298"/>
      <c r="H1719" s="188">
        <f>TRUNC(MEDIAN(H1716:H1718),2)</f>
        <v>23.31</v>
      </c>
    </row>
    <row r="1720" spans="1:8" ht="13.5" thickBot="1" x14ac:dyDescent="0.3"/>
    <row r="1721" spans="1:8" ht="25.5" x14ac:dyDescent="0.25">
      <c r="A1721" s="120" t="s">
        <v>90</v>
      </c>
      <c r="B1721" s="286" t="s">
        <v>91</v>
      </c>
      <c r="C1721" s="287"/>
      <c r="D1721" s="287"/>
      <c r="E1721" s="287"/>
      <c r="F1721" s="287"/>
      <c r="G1721" s="288"/>
      <c r="H1721" s="121" t="s">
        <v>4</v>
      </c>
    </row>
    <row r="1722" spans="1:8" ht="13.5" thickBot="1" x14ac:dyDescent="0.3">
      <c r="A1722" s="113" t="s">
        <v>12506</v>
      </c>
      <c r="B1722" s="289" t="s">
        <v>12507</v>
      </c>
      <c r="C1722" s="290"/>
      <c r="D1722" s="290"/>
      <c r="E1722" s="290"/>
      <c r="F1722" s="290"/>
      <c r="G1722" s="291"/>
      <c r="H1722" s="114" t="s">
        <v>4</v>
      </c>
    </row>
    <row r="1723" spans="1:8" x14ac:dyDescent="0.25">
      <c r="A1723" s="273" t="s">
        <v>13834</v>
      </c>
      <c r="B1723" s="275" t="s">
        <v>92</v>
      </c>
      <c r="C1723" s="276"/>
      <c r="D1723" s="185" t="s">
        <v>12508</v>
      </c>
      <c r="E1723" s="239" t="s">
        <v>93</v>
      </c>
      <c r="F1723" s="186">
        <v>0</v>
      </c>
      <c r="G1723" s="277" t="s">
        <v>94</v>
      </c>
      <c r="H1723" s="278"/>
    </row>
    <row r="1724" spans="1:8" x14ac:dyDescent="0.25">
      <c r="A1724" s="274"/>
      <c r="B1724" s="281" t="s">
        <v>95</v>
      </c>
      <c r="C1724" s="282"/>
      <c r="D1724" s="187">
        <v>42845</v>
      </c>
      <c r="E1724" s="240" t="s">
        <v>96</v>
      </c>
      <c r="F1724" s="187">
        <v>42845</v>
      </c>
      <c r="G1724" s="279"/>
      <c r="H1724" s="280"/>
    </row>
    <row r="1725" spans="1:8" x14ac:dyDescent="0.25">
      <c r="A1725" s="122" t="s">
        <v>11885</v>
      </c>
      <c r="B1725" s="123" t="s">
        <v>97</v>
      </c>
      <c r="C1725" s="123" t="s">
        <v>98</v>
      </c>
      <c r="D1725" s="123" t="s">
        <v>3</v>
      </c>
      <c r="E1725" s="123" t="s">
        <v>4</v>
      </c>
      <c r="F1725" s="123" t="s">
        <v>99</v>
      </c>
      <c r="G1725" s="123" t="s">
        <v>100</v>
      </c>
      <c r="H1725" s="124" t="s">
        <v>101</v>
      </c>
    </row>
    <row r="1726" spans="1:8" ht="25.5" x14ac:dyDescent="0.25">
      <c r="A1726" s="125" t="s">
        <v>398</v>
      </c>
      <c r="B1726" s="115" t="s">
        <v>9</v>
      </c>
      <c r="C1726" s="115">
        <v>88247</v>
      </c>
      <c r="D1726" s="127" t="str">
        <f>IF(A1726="COMPOSIÇÃO",VLOOKUP(C1726,'SINAPI_COMPOSIÇÕES 062020'!A:B,2,FALSE),VLOOKUP(C1726,'SINAPI_INSUMOS 062020'!A:B,2,FALSE))</f>
        <v>AUXILIAR DE ELETRICISTA COM ENCARGOS COMPLEMENTARES</v>
      </c>
      <c r="E1726" s="126" t="str">
        <f>IF(A1726="COMPOSIÇÃO",VLOOKUP(C1726,'SINAPI_COMPOSIÇÕES 062020'!A:C,3,FALSE),VLOOKUP(C1726,'SINAPI_INSUMOS 062020'!A:C,3,FALSE))</f>
        <v>H</v>
      </c>
      <c r="F1726" s="74">
        <v>0.4</v>
      </c>
      <c r="G1726" s="128">
        <f>IF(A1726="COMPOSIÇÃO",VLOOKUP(C1726,'SINAPI_COMPOSIÇÕES 062020'!A:D,4,FALSE),VLOOKUP(C1726,'SINAPI_INSUMOS 062020'!A:D,4,FALSE))</f>
        <v>14.33</v>
      </c>
      <c r="H1726" s="75">
        <f t="shared" ref="H1726:H1727" si="129">TRUNC(G1726*F1726,2)</f>
        <v>5.73</v>
      </c>
    </row>
    <row r="1727" spans="1:8" ht="25.5" x14ac:dyDescent="0.25">
      <c r="A1727" s="125" t="s">
        <v>398</v>
      </c>
      <c r="B1727" s="115" t="s">
        <v>9</v>
      </c>
      <c r="C1727" s="115">
        <v>88264</v>
      </c>
      <c r="D1727" s="127" t="str">
        <f>IF(A1727="COMPOSIÇÃO",VLOOKUP(C1727,'SINAPI_COMPOSIÇÕES 062020'!A:B,2,FALSE),VLOOKUP(C1727,'SINAPI_INSUMOS 062020'!A:B,2,FALSE))</f>
        <v>ELETRICISTA COM ENCARGOS COMPLEMENTARES</v>
      </c>
      <c r="E1727" s="126" t="str">
        <f>IF(A1727="COMPOSIÇÃO",VLOOKUP(C1727,'SINAPI_COMPOSIÇÕES 062020'!A:C,3,FALSE),VLOOKUP(C1727,'SINAPI_INSUMOS 062020'!A:C,3,FALSE))</f>
        <v>H</v>
      </c>
      <c r="F1727" s="74">
        <v>0.4</v>
      </c>
      <c r="G1727" s="128">
        <f>IF(A1727="COMPOSIÇÃO",VLOOKUP(C1727,'SINAPI_COMPOSIÇÕES 062020'!A:D,4,FALSE),VLOOKUP(C1727,'SINAPI_INSUMOS 062020'!A:D,4,FALSE))</f>
        <v>18.38</v>
      </c>
      <c r="H1727" s="75">
        <f t="shared" si="129"/>
        <v>7.35</v>
      </c>
    </row>
    <row r="1728" spans="1:8" ht="38.25" x14ac:dyDescent="0.25">
      <c r="A1728" s="125" t="s">
        <v>11958</v>
      </c>
      <c r="B1728" s="115" t="s">
        <v>11959</v>
      </c>
      <c r="C1728" s="115" t="s">
        <v>11960</v>
      </c>
      <c r="D1728" s="194" t="str">
        <f>B1732</f>
        <v>ADAPTADOR PARA CANALETA/ELETRODUTO 3"X3/4", 3 ENTRADAS, PARA CANALETA D=25MM METALICA. REF. DUTOTEC</v>
      </c>
      <c r="E1728" s="115" t="s">
        <v>4</v>
      </c>
      <c r="F1728" s="74">
        <v>1</v>
      </c>
      <c r="G1728" s="195">
        <f>H1736</f>
        <v>26.83</v>
      </c>
      <c r="H1728" s="75">
        <f>TRUNC(G1728*F1728,2)</f>
        <v>26.83</v>
      </c>
    </row>
    <row r="1729" spans="1:8" ht="13.5" thickBot="1" x14ac:dyDescent="0.3">
      <c r="A1729" s="267" t="str">
        <f>CONCATENATE("TOTAL DO ÍTEM - ",A1722)</f>
        <v>TOTAL DO ÍTEM - MPMT-03020</v>
      </c>
      <c r="B1729" s="268"/>
      <c r="C1729" s="268"/>
      <c r="D1729" s="268"/>
      <c r="E1729" s="268"/>
      <c r="F1729" s="268"/>
      <c r="G1729" s="269"/>
      <c r="H1729" s="188">
        <f>TRUNC(SUM(H1726:H1728),2)</f>
        <v>39.909999999999997</v>
      </c>
    </row>
    <row r="1730" spans="1:8" ht="13.5" thickBot="1" x14ac:dyDescent="0.3">
      <c r="A1730" s="299" t="s">
        <v>12509</v>
      </c>
      <c r="B1730" s="300"/>
      <c r="C1730" s="300"/>
      <c r="D1730" s="300"/>
      <c r="E1730" s="300"/>
      <c r="F1730" s="300"/>
      <c r="G1730" s="300"/>
      <c r="H1730" s="301"/>
    </row>
    <row r="1731" spans="1:8" x14ac:dyDescent="0.25">
      <c r="A1731" s="196"/>
      <c r="B1731" s="292" t="s">
        <v>11962</v>
      </c>
      <c r="C1731" s="292"/>
      <c r="D1731" s="292"/>
      <c r="E1731" s="292"/>
      <c r="F1731" s="292"/>
      <c r="G1731" s="292"/>
      <c r="H1731" s="197" t="s">
        <v>11963</v>
      </c>
    </row>
    <row r="1732" spans="1:8" ht="13.5" thickBot="1" x14ac:dyDescent="0.3">
      <c r="A1732" s="234" t="s">
        <v>11960</v>
      </c>
      <c r="B1732" s="293" t="s">
        <v>12510</v>
      </c>
      <c r="C1732" s="293"/>
      <c r="D1732" s="293"/>
      <c r="E1732" s="293"/>
      <c r="F1732" s="293"/>
      <c r="G1732" s="293"/>
      <c r="H1732" s="235" t="s">
        <v>4</v>
      </c>
    </row>
    <row r="1733" spans="1:8" ht="25.5" x14ac:dyDescent="0.25">
      <c r="A1733" s="198" t="s">
        <v>11965</v>
      </c>
      <c r="B1733" s="242" t="s">
        <v>11966</v>
      </c>
      <c r="C1733" s="242" t="s">
        <v>11967</v>
      </c>
      <c r="D1733" s="242" t="s">
        <v>11968</v>
      </c>
      <c r="E1733" s="305" t="s">
        <v>11969</v>
      </c>
      <c r="F1733" s="305"/>
      <c r="G1733" s="242" t="s">
        <v>4</v>
      </c>
      <c r="H1733" s="199" t="s">
        <v>11970</v>
      </c>
    </row>
    <row r="1734" spans="1:8" x14ac:dyDescent="0.25">
      <c r="A1734" s="200">
        <v>42842</v>
      </c>
      <c r="B1734" s="201" t="s">
        <v>12467</v>
      </c>
      <c r="C1734" s="201" t="s">
        <v>12468</v>
      </c>
      <c r="D1734" s="201" t="s">
        <v>12469</v>
      </c>
      <c r="E1734" s="306" t="s">
        <v>12470</v>
      </c>
      <c r="F1734" s="306"/>
      <c r="G1734" s="203" t="s">
        <v>4</v>
      </c>
      <c r="H1734" s="204">
        <v>26.83</v>
      </c>
    </row>
    <row r="1735" spans="1:8" x14ac:dyDescent="0.25">
      <c r="A1735" s="205">
        <v>42843</v>
      </c>
      <c r="B1735" s="206" t="s">
        <v>12471</v>
      </c>
      <c r="C1735" s="206" t="s">
        <v>12472</v>
      </c>
      <c r="D1735" s="206" t="s">
        <v>12473</v>
      </c>
      <c r="E1735" s="295" t="s">
        <v>12474</v>
      </c>
      <c r="F1735" s="295"/>
      <c r="G1735" s="115" t="s">
        <v>4</v>
      </c>
      <c r="H1735" s="208">
        <v>30.15</v>
      </c>
    </row>
    <row r="1736" spans="1:8" ht="13.5" thickBot="1" x14ac:dyDescent="0.3">
      <c r="A1736" s="296" t="s">
        <v>12511</v>
      </c>
      <c r="B1736" s="297"/>
      <c r="C1736" s="297"/>
      <c r="D1736" s="297"/>
      <c r="E1736" s="297"/>
      <c r="F1736" s="297"/>
      <c r="G1736" s="298"/>
      <c r="H1736" s="188">
        <v>26.83</v>
      </c>
    </row>
    <row r="1737" spans="1:8" ht="13.5" thickBot="1" x14ac:dyDescent="0.3"/>
    <row r="1738" spans="1:8" ht="25.5" x14ac:dyDescent="0.25">
      <c r="A1738" s="120" t="s">
        <v>90</v>
      </c>
      <c r="B1738" s="286" t="s">
        <v>91</v>
      </c>
      <c r="C1738" s="287"/>
      <c r="D1738" s="287"/>
      <c r="E1738" s="287"/>
      <c r="F1738" s="287"/>
      <c r="G1738" s="288"/>
      <c r="H1738" s="121" t="s">
        <v>4</v>
      </c>
    </row>
    <row r="1739" spans="1:8" ht="13.5" thickBot="1" x14ac:dyDescent="0.3">
      <c r="A1739" s="113" t="s">
        <v>12514</v>
      </c>
      <c r="B1739" s="289" t="s">
        <v>12515</v>
      </c>
      <c r="C1739" s="290"/>
      <c r="D1739" s="290"/>
      <c r="E1739" s="290"/>
      <c r="F1739" s="290"/>
      <c r="G1739" s="291"/>
      <c r="H1739" s="114" t="s">
        <v>8</v>
      </c>
    </row>
    <row r="1740" spans="1:8" x14ac:dyDescent="0.25">
      <c r="A1740" s="273" t="s">
        <v>13834</v>
      </c>
      <c r="B1740" s="275" t="s">
        <v>92</v>
      </c>
      <c r="C1740" s="276"/>
      <c r="D1740" s="185" t="s">
        <v>12516</v>
      </c>
      <c r="E1740" s="239" t="s">
        <v>93</v>
      </c>
      <c r="F1740" s="186">
        <v>0</v>
      </c>
      <c r="G1740" s="277" t="s">
        <v>94</v>
      </c>
      <c r="H1740" s="278"/>
    </row>
    <row r="1741" spans="1:8" x14ac:dyDescent="0.25">
      <c r="A1741" s="274"/>
      <c r="B1741" s="281" t="s">
        <v>95</v>
      </c>
      <c r="C1741" s="282"/>
      <c r="D1741" s="187">
        <v>43370</v>
      </c>
      <c r="E1741" s="240" t="s">
        <v>96</v>
      </c>
      <c r="F1741" s="187">
        <v>43370</v>
      </c>
      <c r="G1741" s="279"/>
      <c r="H1741" s="280"/>
    </row>
    <row r="1742" spans="1:8" x14ac:dyDescent="0.25">
      <c r="A1742" s="122" t="s">
        <v>11885</v>
      </c>
      <c r="B1742" s="123" t="s">
        <v>97</v>
      </c>
      <c r="C1742" s="123" t="s">
        <v>98</v>
      </c>
      <c r="D1742" s="123" t="s">
        <v>3</v>
      </c>
      <c r="E1742" s="123" t="s">
        <v>4</v>
      </c>
      <c r="F1742" s="123" t="s">
        <v>99</v>
      </c>
      <c r="G1742" s="123" t="s">
        <v>100</v>
      </c>
      <c r="H1742" s="124" t="s">
        <v>101</v>
      </c>
    </row>
    <row r="1743" spans="1:8" ht="25.5" x14ac:dyDescent="0.25">
      <c r="A1743" s="125" t="s">
        <v>398</v>
      </c>
      <c r="B1743" s="115" t="s">
        <v>9</v>
      </c>
      <c r="C1743" s="115">
        <v>88278</v>
      </c>
      <c r="D1743" s="127" t="str">
        <f>IF(A1743="COMPOSIÇÃO",VLOOKUP(C1743,'SINAPI_COMPOSIÇÕES 062020'!A:B,2,FALSE),VLOOKUP(C1743,'SINAPI_INSUMOS 062020'!A:B,2,FALSE))</f>
        <v>MONTADOR DE ESTRUTURA METÁLICA COM ENCARGOS COMPLEMENTARES</v>
      </c>
      <c r="E1743" s="126" t="str">
        <f>IF(A1743="COMPOSIÇÃO",VLOOKUP(C1743,'SINAPI_COMPOSIÇÕES 062020'!A:C,3,FALSE),VLOOKUP(C1743,'SINAPI_INSUMOS 062020'!A:C,3,FALSE))</f>
        <v>H</v>
      </c>
      <c r="F1743" s="74">
        <v>0.628</v>
      </c>
      <c r="G1743" s="128">
        <f>IF(A1743="COMPOSIÇÃO",VLOOKUP(C1743,'SINAPI_COMPOSIÇÕES 062020'!A:D,4,FALSE),VLOOKUP(C1743,'SINAPI_INSUMOS 062020'!A:D,4,FALSE))</f>
        <v>12.82</v>
      </c>
      <c r="H1743" s="75">
        <f t="shared" ref="H1743:H1753" si="130">TRUNC(G1743*F1743,2)</f>
        <v>8.0500000000000007</v>
      </c>
    </row>
    <row r="1744" spans="1:8" ht="25.5" x14ac:dyDescent="0.25">
      <c r="A1744" s="125" t="s">
        <v>398</v>
      </c>
      <c r="B1744" s="115" t="s">
        <v>9</v>
      </c>
      <c r="C1744" s="115">
        <v>88316</v>
      </c>
      <c r="D1744" s="127" t="str">
        <f>IF(A1744="COMPOSIÇÃO",VLOOKUP(C1744,'SINAPI_COMPOSIÇÕES 062020'!A:B,2,FALSE),VLOOKUP(C1744,'SINAPI_INSUMOS 062020'!A:B,2,FALSE))</f>
        <v>SERVENTE COM ENCARGOS COMPLEMENTARES</v>
      </c>
      <c r="E1744" s="126" t="str">
        <f>IF(A1744="COMPOSIÇÃO",VLOOKUP(C1744,'SINAPI_COMPOSIÇÕES 062020'!A:C,3,FALSE),VLOOKUP(C1744,'SINAPI_INSUMOS 062020'!A:C,3,FALSE))</f>
        <v>H</v>
      </c>
      <c r="F1744" s="74">
        <v>0.157</v>
      </c>
      <c r="G1744" s="128">
        <f>IF(A1744="COMPOSIÇÃO",VLOOKUP(C1744,'SINAPI_COMPOSIÇÕES 062020'!A:D,4,FALSE),VLOOKUP(C1744,'SINAPI_INSUMOS 062020'!A:D,4,FALSE))</f>
        <v>14.37</v>
      </c>
      <c r="H1744" s="75">
        <f t="shared" si="130"/>
        <v>2.25</v>
      </c>
    </row>
    <row r="1745" spans="1:8" ht="38.25" x14ac:dyDescent="0.25">
      <c r="A1745" s="125" t="s">
        <v>400</v>
      </c>
      <c r="B1745" s="115" t="s">
        <v>9</v>
      </c>
      <c r="C1745" s="115">
        <v>37586</v>
      </c>
      <c r="D1745" s="127" t="str">
        <f>IF(A1745="COMPOSIÇÃO",VLOOKUP(C1745,'SINAPI_COMPOSIÇÕES 062020'!A:B,2,FALSE),VLOOKUP(C1745,'SINAPI_INSUMOS 062020'!A:B,2,FALSE))</f>
        <v>PINO DE ACO COM ARRUELA CONICA, DIAMETRO ARRUELA = *23* MM E COMP HASTE = *27* MM (ACAO INDIRETA)</v>
      </c>
      <c r="E1745" s="126" t="str">
        <f>IF(A1745="COMPOSIÇÃO",VLOOKUP(C1745,'SINAPI_COMPOSIÇÕES 062020'!A:C,3,FALSE),VLOOKUP(C1745,'SINAPI_INSUMOS 062020'!A:C,3,FALSE))</f>
        <v xml:space="preserve">CENTO </v>
      </c>
      <c r="F1745" s="74">
        <v>2.9000000000000001E-2</v>
      </c>
      <c r="G1745" s="128">
        <f>IF(A1745="COMPOSIÇÃO",VLOOKUP(C1745,'SINAPI_COMPOSIÇÕES 062020'!A:D,4,FALSE),VLOOKUP(C1745,'SINAPI_INSUMOS 062020'!A:D,4,FALSE))</f>
        <v>39.700000000000003</v>
      </c>
      <c r="H1745" s="75">
        <f t="shared" si="130"/>
        <v>1.1499999999999999</v>
      </c>
    </row>
    <row r="1746" spans="1:8" ht="38.25" x14ac:dyDescent="0.25">
      <c r="A1746" s="125" t="s">
        <v>400</v>
      </c>
      <c r="B1746" s="115" t="s">
        <v>9</v>
      </c>
      <c r="C1746" s="115">
        <v>39417</v>
      </c>
      <c r="D1746" s="127" t="str">
        <f>IF(A1746="COMPOSIÇÃO",VLOOKUP(C1746,'SINAPI_COMPOSIÇÕES 062020'!A:B,2,FALSE),VLOOKUP(C1746,'SINAPI_INSUMOS 062020'!A:B,2,FALSE))</f>
        <v>CHAPA DE GESSO ACARTONADO, RESISTENTE A UMIDADE (RU), COR VERDE, E = 12,5 MM, 1200 X 2400 MM (L X C)</v>
      </c>
      <c r="E1746" s="126" t="str">
        <f>IF(A1746="COMPOSIÇÃO",VLOOKUP(C1746,'SINAPI_COMPOSIÇÕES 062020'!A:C,3,FALSE),VLOOKUP(C1746,'SINAPI_INSUMOS 062020'!A:C,3,FALSE))</f>
        <v xml:space="preserve">M2    </v>
      </c>
      <c r="F1746" s="74">
        <v>2.1059999999999999</v>
      </c>
      <c r="G1746" s="128">
        <f>IF(A1746="COMPOSIÇÃO",VLOOKUP(C1746,'SINAPI_COMPOSIÇÕES 062020'!A:D,4,FALSE),VLOOKUP(C1746,'SINAPI_INSUMOS 062020'!A:D,4,FALSE))</f>
        <v>29.9</v>
      </c>
      <c r="H1746" s="75">
        <f t="shared" si="130"/>
        <v>62.96</v>
      </c>
    </row>
    <row r="1747" spans="1:8" ht="38.25" x14ac:dyDescent="0.25">
      <c r="A1747" s="125" t="s">
        <v>400</v>
      </c>
      <c r="B1747" s="115" t="s">
        <v>9</v>
      </c>
      <c r="C1747" s="115">
        <v>39419</v>
      </c>
      <c r="D1747" s="127" t="str">
        <f>IF(A1747="COMPOSIÇÃO",VLOOKUP(C1747,'SINAPI_COMPOSIÇÕES 062020'!A:B,2,FALSE),VLOOKUP(C1747,'SINAPI_INSUMOS 062020'!A:B,2,FALSE))</f>
        <v>PERFIL GUIA, FORMATO U, EM ACO ZINCADO, PARA ESTRUTURA PAREDE DRYWALL, E = 0,5 MM, 70 X 3000 MM (L X C)</v>
      </c>
      <c r="E1747" s="126" t="str">
        <f>IF(A1747="COMPOSIÇÃO",VLOOKUP(C1747,'SINAPI_COMPOSIÇÕES 062020'!A:C,3,FALSE),VLOOKUP(C1747,'SINAPI_INSUMOS 062020'!A:C,3,FALSE))</f>
        <v xml:space="preserve">M     </v>
      </c>
      <c r="F1747" s="74">
        <v>0.9093</v>
      </c>
      <c r="G1747" s="128">
        <f>IF(A1747="COMPOSIÇÃO",VLOOKUP(C1747,'SINAPI_COMPOSIÇÕES 062020'!A:D,4,FALSE),VLOOKUP(C1747,'SINAPI_INSUMOS 062020'!A:D,4,FALSE))</f>
        <v>5.35</v>
      </c>
      <c r="H1747" s="75">
        <f t="shared" si="130"/>
        <v>4.8600000000000003</v>
      </c>
    </row>
    <row r="1748" spans="1:8" ht="38.25" x14ac:dyDescent="0.25">
      <c r="A1748" s="125" t="s">
        <v>400</v>
      </c>
      <c r="B1748" s="115" t="s">
        <v>9</v>
      </c>
      <c r="C1748" s="115">
        <v>39422</v>
      </c>
      <c r="D1748" s="127" t="str">
        <f>IF(A1748="COMPOSIÇÃO",VLOOKUP(C1748,'SINAPI_COMPOSIÇÕES 062020'!A:B,2,FALSE),VLOOKUP(C1748,'SINAPI_INSUMOS 062020'!A:B,2,FALSE))</f>
        <v>PERFIL MONTANTE, FORMATO C, EM ACO ZINCADO, PARA ESTRUTURA PAREDE DRYWALL, E = 0,5 MM, 70 X 3000 MM (L X C)</v>
      </c>
      <c r="E1748" s="126" t="str">
        <f>IF(A1748="COMPOSIÇÃO",VLOOKUP(C1748,'SINAPI_COMPOSIÇÕES 062020'!A:C,3,FALSE),VLOOKUP(C1748,'SINAPI_INSUMOS 062020'!A:C,3,FALSE))</f>
        <v xml:space="preserve">M     </v>
      </c>
      <c r="F1748" s="74">
        <v>2.8999000000000001</v>
      </c>
      <c r="G1748" s="128">
        <f>IF(A1748="COMPOSIÇÃO",VLOOKUP(C1748,'SINAPI_COMPOSIÇÕES 062020'!A:D,4,FALSE),VLOOKUP(C1748,'SINAPI_INSUMOS 062020'!A:D,4,FALSE))</f>
        <v>6.07</v>
      </c>
      <c r="H1748" s="75">
        <f t="shared" si="130"/>
        <v>17.600000000000001</v>
      </c>
    </row>
    <row r="1749" spans="1:8" ht="38.25" x14ac:dyDescent="0.25">
      <c r="A1749" s="125" t="s">
        <v>400</v>
      </c>
      <c r="B1749" s="115" t="s">
        <v>9</v>
      </c>
      <c r="C1749" s="115">
        <v>39431</v>
      </c>
      <c r="D1749" s="127" t="str">
        <f>IF(A1749="COMPOSIÇÃO",VLOOKUP(C1749,'SINAPI_COMPOSIÇÕES 062020'!A:B,2,FALSE),VLOOKUP(C1749,'SINAPI_INSUMOS 062020'!A:B,2,FALSE))</f>
        <v>FITA DE PAPEL MICROPERFURADO, 50 X 150 MM, PARA TRATAMENTO DE JUNTAS DE CHAPA DE GESSO PARA DRYWALL</v>
      </c>
      <c r="E1749" s="126" t="str">
        <f>IF(A1749="COMPOSIÇÃO",VLOOKUP(C1749,'SINAPI_COMPOSIÇÕES 062020'!A:C,3,FALSE),VLOOKUP(C1749,'SINAPI_INSUMOS 062020'!A:C,3,FALSE))</f>
        <v xml:space="preserve">M     </v>
      </c>
      <c r="F1749" s="74">
        <v>2.5026999999999999</v>
      </c>
      <c r="G1749" s="128">
        <f>IF(A1749="COMPOSIÇÃO",VLOOKUP(C1749,'SINAPI_COMPOSIÇÕES 062020'!A:D,4,FALSE),VLOOKUP(C1749,'SINAPI_INSUMOS 062020'!A:D,4,FALSE))</f>
        <v>0.23</v>
      </c>
      <c r="H1749" s="75">
        <f t="shared" si="130"/>
        <v>0.56999999999999995</v>
      </c>
    </row>
    <row r="1750" spans="1:8" ht="38.25" x14ac:dyDescent="0.25">
      <c r="A1750" s="125" t="s">
        <v>400</v>
      </c>
      <c r="B1750" s="115" t="s">
        <v>9</v>
      </c>
      <c r="C1750" s="115">
        <v>39432</v>
      </c>
      <c r="D1750" s="127" t="str">
        <f>IF(A1750="COMPOSIÇÃO",VLOOKUP(C1750,'SINAPI_COMPOSIÇÕES 062020'!A:B,2,FALSE),VLOOKUP(C1750,'SINAPI_INSUMOS 062020'!A:B,2,FALSE))</f>
        <v>FITA DE PAPEL REFORCADA COM LAMINA DE METAL PARA REFORCO DE CANTOS DE CHAPA DE GESSO PARA DRYWALL</v>
      </c>
      <c r="E1750" s="126" t="str">
        <f>IF(A1750="COMPOSIÇÃO",VLOOKUP(C1750,'SINAPI_COMPOSIÇÕES 062020'!A:C,3,FALSE),VLOOKUP(C1750,'SINAPI_INSUMOS 062020'!A:C,3,FALSE))</f>
        <v xml:space="preserve">M     </v>
      </c>
      <c r="F1750" s="74">
        <v>0.79249999999999998</v>
      </c>
      <c r="G1750" s="128">
        <f>IF(A1750="COMPOSIÇÃO",VLOOKUP(C1750,'SINAPI_COMPOSIÇÕES 062020'!A:D,4,FALSE),VLOOKUP(C1750,'SINAPI_INSUMOS 062020'!A:D,4,FALSE))</f>
        <v>2.96</v>
      </c>
      <c r="H1750" s="75">
        <f t="shared" si="130"/>
        <v>2.34</v>
      </c>
    </row>
    <row r="1751" spans="1:8" ht="51" x14ac:dyDescent="0.25">
      <c r="A1751" s="125" t="s">
        <v>400</v>
      </c>
      <c r="B1751" s="115" t="s">
        <v>9</v>
      </c>
      <c r="C1751" s="115">
        <v>39434</v>
      </c>
      <c r="D1751" s="127" t="str">
        <f>IF(A1751="COMPOSIÇÃO",VLOOKUP(C1751,'SINAPI_COMPOSIÇÕES 062020'!A:B,2,FALSE),VLOOKUP(C1751,'SINAPI_INSUMOS 062020'!A:B,2,FALSE))</f>
        <v>MASSA DE REJUNTE EM PO PARA DRYWALL, A BASE DE GESSO, SECAGEM RAPIDA, PARA TRATAMENTO DE JUNTAS DE CHAPA DE GESSO (COM ADICAO DE AGUA)</v>
      </c>
      <c r="E1751" s="126" t="str">
        <f>IF(A1751="COMPOSIÇÃO",VLOOKUP(C1751,'SINAPI_COMPOSIÇÕES 062020'!A:C,3,FALSE),VLOOKUP(C1751,'SINAPI_INSUMOS 062020'!A:C,3,FALSE))</f>
        <v xml:space="preserve">KG    </v>
      </c>
      <c r="F1751" s="74">
        <v>1.0327</v>
      </c>
      <c r="G1751" s="128">
        <f>IF(A1751="COMPOSIÇÃO",VLOOKUP(C1751,'SINAPI_COMPOSIÇÕES 062020'!A:D,4,FALSE),VLOOKUP(C1751,'SINAPI_INSUMOS 062020'!A:D,4,FALSE))</f>
        <v>3.97</v>
      </c>
      <c r="H1751" s="75">
        <f t="shared" si="130"/>
        <v>4.09</v>
      </c>
    </row>
    <row r="1752" spans="1:8" ht="38.25" x14ac:dyDescent="0.25">
      <c r="A1752" s="125" t="s">
        <v>400</v>
      </c>
      <c r="B1752" s="115" t="s">
        <v>9</v>
      </c>
      <c r="C1752" s="115">
        <v>39435</v>
      </c>
      <c r="D1752" s="127" t="str">
        <f>IF(A1752="COMPOSIÇÃO",VLOOKUP(C1752,'SINAPI_COMPOSIÇÕES 062020'!A:B,2,FALSE),VLOOKUP(C1752,'SINAPI_INSUMOS 062020'!A:B,2,FALSE))</f>
        <v>PARAFUSO DRY WALL, EM ACO FOSFATIZADO, CABECA TROMBETA E PONTA AGULHA (TA), COMPRIMENTO 25 MM</v>
      </c>
      <c r="E1752" s="126" t="str">
        <f>IF(A1752="COMPOSIÇÃO",VLOOKUP(C1752,'SINAPI_COMPOSIÇÕES 062020'!A:C,3,FALSE),VLOOKUP(C1752,'SINAPI_INSUMOS 062020'!A:C,3,FALSE))</f>
        <v xml:space="preserve">UN    </v>
      </c>
      <c r="F1752" s="74">
        <v>20.0077</v>
      </c>
      <c r="G1752" s="128">
        <f>IF(A1752="COMPOSIÇÃO",VLOOKUP(C1752,'SINAPI_COMPOSIÇÕES 062020'!A:D,4,FALSE),VLOOKUP(C1752,'SINAPI_INSUMOS 062020'!A:D,4,FALSE))</f>
        <v>7.0000000000000007E-2</v>
      </c>
      <c r="H1752" s="75">
        <f t="shared" si="130"/>
        <v>1.4</v>
      </c>
    </row>
    <row r="1753" spans="1:8" ht="38.25" x14ac:dyDescent="0.25">
      <c r="A1753" s="125" t="s">
        <v>400</v>
      </c>
      <c r="B1753" s="115" t="s">
        <v>9</v>
      </c>
      <c r="C1753" s="115">
        <v>39443</v>
      </c>
      <c r="D1753" s="127" t="str">
        <f>IF(A1753="COMPOSIÇÃO",VLOOKUP(C1753,'SINAPI_COMPOSIÇÕES 062020'!A:B,2,FALSE),VLOOKUP(C1753,'SINAPI_INSUMOS 062020'!A:B,2,FALSE))</f>
        <v>PARAFUSO DRY WALL, EM ACO ZINCADO, CABECA LENTILHA E PONTA BROCA (LB), LARGURA 4,2 MM, COMPRIMENTO 13 MM</v>
      </c>
      <c r="E1753" s="126" t="str">
        <f>IF(A1753="COMPOSIÇÃO",VLOOKUP(C1753,'SINAPI_COMPOSIÇÕES 062020'!A:C,3,FALSE),VLOOKUP(C1753,'SINAPI_INSUMOS 062020'!A:C,3,FALSE))</f>
        <v xml:space="preserve">UN    </v>
      </c>
      <c r="F1753" s="74">
        <v>0.91490000000000005</v>
      </c>
      <c r="G1753" s="128">
        <f>IF(A1753="COMPOSIÇÃO",VLOOKUP(C1753,'SINAPI_COMPOSIÇÕES 062020'!A:D,4,FALSE),VLOOKUP(C1753,'SINAPI_INSUMOS 062020'!A:D,4,FALSE))</f>
        <v>0.16</v>
      </c>
      <c r="H1753" s="75">
        <f t="shared" si="130"/>
        <v>0.14000000000000001</v>
      </c>
    </row>
    <row r="1754" spans="1:8" ht="13.5" thickBot="1" x14ac:dyDescent="0.3">
      <c r="A1754" s="267" t="str">
        <f>CONCATENATE("TOTAL DO ÍTEM - ",A1739)</f>
        <v>TOTAL DO ÍTEM - MPMT-02318</v>
      </c>
      <c r="B1754" s="268"/>
      <c r="C1754" s="268"/>
      <c r="D1754" s="268"/>
      <c r="E1754" s="268"/>
      <c r="F1754" s="268"/>
      <c r="G1754" s="269"/>
      <c r="H1754" s="188">
        <f>TRUNC(SUM(H1743:H1753),2)</f>
        <v>105.41</v>
      </c>
    </row>
    <row r="1755" spans="1:8" ht="13.5" thickBot="1" x14ac:dyDescent="0.3">
      <c r="A1755" s="302" t="s">
        <v>12517</v>
      </c>
      <c r="B1755" s="303"/>
      <c r="C1755" s="303"/>
      <c r="D1755" s="303"/>
      <c r="E1755" s="303"/>
      <c r="F1755" s="303"/>
      <c r="G1755" s="303"/>
      <c r="H1755" s="304"/>
    </row>
    <row r="1756" spans="1:8" ht="13.5" thickBot="1" x14ac:dyDescent="0.3">
      <c r="A1756" s="115"/>
      <c r="B1756" s="115"/>
      <c r="C1756" s="115"/>
      <c r="D1756" s="194"/>
      <c r="E1756" s="115"/>
      <c r="F1756" s="239"/>
      <c r="G1756" s="239"/>
      <c r="H1756" s="239"/>
    </row>
    <row r="1757" spans="1:8" ht="25.5" x14ac:dyDescent="0.25">
      <c r="A1757" s="120" t="s">
        <v>90</v>
      </c>
      <c r="B1757" s="286" t="s">
        <v>91</v>
      </c>
      <c r="C1757" s="287"/>
      <c r="D1757" s="287"/>
      <c r="E1757" s="287"/>
      <c r="F1757" s="287"/>
      <c r="G1757" s="288"/>
      <c r="H1757" s="121" t="s">
        <v>4</v>
      </c>
    </row>
    <row r="1758" spans="1:8" ht="13.5" thickBot="1" x14ac:dyDescent="0.3">
      <c r="A1758" s="113" t="s">
        <v>12518</v>
      </c>
      <c r="B1758" s="289" t="s">
        <v>12519</v>
      </c>
      <c r="C1758" s="290"/>
      <c r="D1758" s="290"/>
      <c r="E1758" s="290"/>
      <c r="F1758" s="290"/>
      <c r="G1758" s="291"/>
      <c r="H1758" s="114" t="s">
        <v>8</v>
      </c>
    </row>
    <row r="1759" spans="1:8" x14ac:dyDescent="0.25">
      <c r="A1759" s="273" t="s">
        <v>13834</v>
      </c>
      <c r="B1759" s="275" t="s">
        <v>92</v>
      </c>
      <c r="C1759" s="276"/>
      <c r="D1759" s="185" t="s">
        <v>12520</v>
      </c>
      <c r="E1759" s="239" t="s">
        <v>93</v>
      </c>
      <c r="F1759" s="186">
        <v>0</v>
      </c>
      <c r="G1759" s="277" t="s">
        <v>94</v>
      </c>
      <c r="H1759" s="278"/>
    </row>
    <row r="1760" spans="1:8" x14ac:dyDescent="0.25">
      <c r="A1760" s="274"/>
      <c r="B1760" s="281" t="s">
        <v>95</v>
      </c>
      <c r="C1760" s="282"/>
      <c r="D1760" s="187">
        <v>43367</v>
      </c>
      <c r="E1760" s="240" t="s">
        <v>96</v>
      </c>
      <c r="F1760" s="187">
        <v>43367</v>
      </c>
      <c r="G1760" s="279"/>
      <c r="H1760" s="280"/>
    </row>
    <row r="1761" spans="1:8" x14ac:dyDescent="0.25">
      <c r="A1761" s="122" t="s">
        <v>11885</v>
      </c>
      <c r="B1761" s="123" t="s">
        <v>97</v>
      </c>
      <c r="C1761" s="123" t="s">
        <v>98</v>
      </c>
      <c r="D1761" s="123" t="s">
        <v>3</v>
      </c>
      <c r="E1761" s="123" t="s">
        <v>4</v>
      </c>
      <c r="F1761" s="123" t="s">
        <v>99</v>
      </c>
      <c r="G1761" s="123" t="s">
        <v>100</v>
      </c>
      <c r="H1761" s="124" t="s">
        <v>101</v>
      </c>
    </row>
    <row r="1762" spans="1:8" ht="25.5" x14ac:dyDescent="0.25">
      <c r="A1762" s="125" t="s">
        <v>398</v>
      </c>
      <c r="B1762" s="115" t="s">
        <v>9</v>
      </c>
      <c r="C1762" s="115">
        <v>88278</v>
      </c>
      <c r="D1762" s="127" t="str">
        <f>IF(A1762="COMPOSIÇÃO",VLOOKUP(C1762,'SINAPI_COMPOSIÇÕES 062020'!A:B,2,FALSE),VLOOKUP(C1762,'SINAPI_INSUMOS 062020'!A:B,2,FALSE))</f>
        <v>MONTADOR DE ESTRUTURA METÁLICA COM ENCARGOS COMPLEMENTARES</v>
      </c>
      <c r="E1762" s="126" t="str">
        <f>IF(A1762="COMPOSIÇÃO",VLOOKUP(C1762,'SINAPI_COMPOSIÇÕES 062020'!A:C,3,FALSE),VLOOKUP(C1762,'SINAPI_INSUMOS 062020'!A:C,3,FALSE))</f>
        <v>H</v>
      </c>
      <c r="F1762" s="74">
        <v>0.54490000000000005</v>
      </c>
      <c r="G1762" s="128">
        <f>IF(A1762="COMPOSIÇÃO",VLOOKUP(C1762,'SINAPI_COMPOSIÇÕES 062020'!A:D,4,FALSE),VLOOKUP(C1762,'SINAPI_INSUMOS 062020'!A:D,4,FALSE))</f>
        <v>12.82</v>
      </c>
      <c r="H1762" s="75">
        <f t="shared" ref="H1762:H1772" si="131">TRUNC(G1762*F1762,2)</f>
        <v>6.98</v>
      </c>
    </row>
    <row r="1763" spans="1:8" ht="25.5" x14ac:dyDescent="0.25">
      <c r="A1763" s="125" t="s">
        <v>398</v>
      </c>
      <c r="B1763" s="115" t="s">
        <v>9</v>
      </c>
      <c r="C1763" s="115">
        <v>88316</v>
      </c>
      <c r="D1763" s="127" t="str">
        <f>IF(A1763="COMPOSIÇÃO",VLOOKUP(C1763,'SINAPI_COMPOSIÇÕES 062020'!A:B,2,FALSE),VLOOKUP(C1763,'SINAPI_INSUMOS 062020'!A:B,2,FALSE))</f>
        <v>SERVENTE COM ENCARGOS COMPLEMENTARES</v>
      </c>
      <c r="E1763" s="126" t="str">
        <f>IF(A1763="COMPOSIÇÃO",VLOOKUP(C1763,'SINAPI_COMPOSIÇÕES 062020'!A:C,3,FALSE),VLOOKUP(C1763,'SINAPI_INSUMOS 062020'!A:C,3,FALSE))</f>
        <v>H</v>
      </c>
      <c r="F1763" s="74">
        <v>0.13619999999999999</v>
      </c>
      <c r="G1763" s="128">
        <f>IF(A1763="COMPOSIÇÃO",VLOOKUP(C1763,'SINAPI_COMPOSIÇÕES 062020'!A:D,4,FALSE),VLOOKUP(C1763,'SINAPI_INSUMOS 062020'!A:D,4,FALSE))</f>
        <v>14.37</v>
      </c>
      <c r="H1763" s="75">
        <f t="shared" si="131"/>
        <v>1.95</v>
      </c>
    </row>
    <row r="1764" spans="1:8" ht="38.25" x14ac:dyDescent="0.25">
      <c r="A1764" s="125" t="s">
        <v>400</v>
      </c>
      <c r="B1764" s="115" t="s">
        <v>9</v>
      </c>
      <c r="C1764" s="115">
        <v>37586</v>
      </c>
      <c r="D1764" s="127" t="str">
        <f>IF(A1764="COMPOSIÇÃO",VLOOKUP(C1764,'SINAPI_COMPOSIÇÕES 062020'!A:B,2,FALSE),VLOOKUP(C1764,'SINAPI_INSUMOS 062020'!A:B,2,FALSE))</f>
        <v>PINO DE ACO COM ARRUELA CONICA, DIAMETRO ARRUELA = *23* MM E COMP HASTE = *27* MM (ACAO INDIRETA)</v>
      </c>
      <c r="E1764" s="126" t="str">
        <f>IF(A1764="COMPOSIÇÃO",VLOOKUP(C1764,'SINAPI_COMPOSIÇÕES 062020'!A:C,3,FALSE),VLOOKUP(C1764,'SINAPI_INSUMOS 062020'!A:C,3,FALSE))</f>
        <v xml:space="preserve">CENTO </v>
      </c>
      <c r="F1764" s="74">
        <v>2.4299999999999999E-2</v>
      </c>
      <c r="G1764" s="128">
        <f>IF(A1764="COMPOSIÇÃO",VLOOKUP(C1764,'SINAPI_COMPOSIÇÕES 062020'!A:D,4,FALSE),VLOOKUP(C1764,'SINAPI_INSUMOS 062020'!A:D,4,FALSE))</f>
        <v>39.700000000000003</v>
      </c>
      <c r="H1764" s="75">
        <f t="shared" si="131"/>
        <v>0.96</v>
      </c>
    </row>
    <row r="1765" spans="1:8" ht="38.25" x14ac:dyDescent="0.25">
      <c r="A1765" s="125" t="s">
        <v>400</v>
      </c>
      <c r="B1765" s="115" t="s">
        <v>9</v>
      </c>
      <c r="C1765" s="115">
        <v>39417</v>
      </c>
      <c r="D1765" s="127" t="str">
        <f>IF(A1765="COMPOSIÇÃO",VLOOKUP(C1765,'SINAPI_COMPOSIÇÕES 062020'!A:B,2,FALSE),VLOOKUP(C1765,'SINAPI_INSUMOS 062020'!A:B,2,FALSE))</f>
        <v>CHAPA DE GESSO ACARTONADO, RESISTENTE A UMIDADE (RU), COR VERDE, E = 12,5 MM, 1200 X 2400 MM (L X C)</v>
      </c>
      <c r="E1765" s="126" t="str">
        <f>IF(A1765="COMPOSIÇÃO",VLOOKUP(C1765,'SINAPI_COMPOSIÇÕES 062020'!A:C,3,FALSE),VLOOKUP(C1765,'SINAPI_INSUMOS 062020'!A:C,3,FALSE))</f>
        <v xml:space="preserve">M2    </v>
      </c>
      <c r="F1765" s="74">
        <v>2.1059999999999999</v>
      </c>
      <c r="G1765" s="128">
        <f>IF(A1765="COMPOSIÇÃO",VLOOKUP(C1765,'SINAPI_COMPOSIÇÕES 062020'!A:D,4,FALSE),VLOOKUP(C1765,'SINAPI_INSUMOS 062020'!A:D,4,FALSE))</f>
        <v>29.9</v>
      </c>
      <c r="H1765" s="75">
        <f t="shared" si="131"/>
        <v>62.96</v>
      </c>
    </row>
    <row r="1766" spans="1:8" ht="38.25" x14ac:dyDescent="0.25">
      <c r="A1766" s="125" t="s">
        <v>400</v>
      </c>
      <c r="B1766" s="115" t="s">
        <v>9</v>
      </c>
      <c r="C1766" s="115">
        <v>39419</v>
      </c>
      <c r="D1766" s="127" t="str">
        <f>IF(A1766="COMPOSIÇÃO",VLOOKUP(C1766,'SINAPI_COMPOSIÇÕES 062020'!A:B,2,FALSE),VLOOKUP(C1766,'SINAPI_INSUMOS 062020'!A:B,2,FALSE))</f>
        <v>PERFIL GUIA, FORMATO U, EM ACO ZINCADO, PARA ESTRUTURA PAREDE DRYWALL, E = 0,5 MM, 70 X 3000 MM (L X C)</v>
      </c>
      <c r="E1766" s="126" t="str">
        <f>IF(A1766="COMPOSIÇÃO",VLOOKUP(C1766,'SINAPI_COMPOSIÇÕES 062020'!A:C,3,FALSE),VLOOKUP(C1766,'SINAPI_INSUMOS 062020'!A:C,3,FALSE))</f>
        <v xml:space="preserve">M     </v>
      </c>
      <c r="F1766" s="74">
        <v>0.76039999999999996</v>
      </c>
      <c r="G1766" s="128">
        <f>IF(A1766="COMPOSIÇÃO",VLOOKUP(C1766,'SINAPI_COMPOSIÇÕES 062020'!A:D,4,FALSE),VLOOKUP(C1766,'SINAPI_INSUMOS 062020'!A:D,4,FALSE))</f>
        <v>5.35</v>
      </c>
      <c r="H1766" s="75">
        <f t="shared" si="131"/>
        <v>4.0599999999999996</v>
      </c>
    </row>
    <row r="1767" spans="1:8" ht="38.25" x14ac:dyDescent="0.25">
      <c r="A1767" s="125" t="s">
        <v>400</v>
      </c>
      <c r="B1767" s="115" t="s">
        <v>9</v>
      </c>
      <c r="C1767" s="115">
        <v>39422</v>
      </c>
      <c r="D1767" s="127" t="str">
        <f>IF(A1767="COMPOSIÇÃO",VLOOKUP(C1767,'SINAPI_COMPOSIÇÕES 062020'!A:B,2,FALSE),VLOOKUP(C1767,'SINAPI_INSUMOS 062020'!A:B,2,FALSE))</f>
        <v>PERFIL MONTANTE, FORMATO C, EM ACO ZINCADO, PARA ESTRUTURA PAREDE DRYWALL, E = 0,5 MM, 70 X 3000 MM (L X C)</v>
      </c>
      <c r="E1767" s="126" t="str">
        <f>IF(A1767="COMPOSIÇÃO",VLOOKUP(C1767,'SINAPI_COMPOSIÇÕES 062020'!A:C,3,FALSE),VLOOKUP(C1767,'SINAPI_INSUMOS 062020'!A:C,3,FALSE))</f>
        <v xml:space="preserve">M     </v>
      </c>
      <c r="F1767" s="74">
        <v>1.9910000000000001</v>
      </c>
      <c r="G1767" s="128">
        <f>IF(A1767="COMPOSIÇÃO",VLOOKUP(C1767,'SINAPI_COMPOSIÇÕES 062020'!A:D,4,FALSE),VLOOKUP(C1767,'SINAPI_INSUMOS 062020'!A:D,4,FALSE))</f>
        <v>6.07</v>
      </c>
      <c r="H1767" s="75">
        <f t="shared" si="131"/>
        <v>12.08</v>
      </c>
    </row>
    <row r="1768" spans="1:8" ht="38.25" x14ac:dyDescent="0.25">
      <c r="A1768" s="125" t="s">
        <v>400</v>
      </c>
      <c r="B1768" s="115" t="s">
        <v>9</v>
      </c>
      <c r="C1768" s="115">
        <v>39431</v>
      </c>
      <c r="D1768" s="127" t="str">
        <f>IF(A1768="COMPOSIÇÃO",VLOOKUP(C1768,'SINAPI_COMPOSIÇÕES 062020'!A:B,2,FALSE),VLOOKUP(C1768,'SINAPI_INSUMOS 062020'!A:B,2,FALSE))</f>
        <v>FITA DE PAPEL MICROPERFURADO, 50 X 150 MM, PARA TRATAMENTO DE JUNTAS DE CHAPA DE GESSO PARA DRYWALL</v>
      </c>
      <c r="E1768" s="126" t="str">
        <f>IF(A1768="COMPOSIÇÃO",VLOOKUP(C1768,'SINAPI_COMPOSIÇÕES 062020'!A:C,3,FALSE),VLOOKUP(C1768,'SINAPI_INSUMOS 062020'!A:C,3,FALSE))</f>
        <v xml:space="preserve">M     </v>
      </c>
      <c r="F1768" s="74">
        <v>2.5026999999999999</v>
      </c>
      <c r="G1768" s="128">
        <f>IF(A1768="COMPOSIÇÃO",VLOOKUP(C1768,'SINAPI_COMPOSIÇÕES 062020'!A:D,4,FALSE),VLOOKUP(C1768,'SINAPI_INSUMOS 062020'!A:D,4,FALSE))</f>
        <v>0.23</v>
      </c>
      <c r="H1768" s="75">
        <f t="shared" si="131"/>
        <v>0.56999999999999995</v>
      </c>
    </row>
    <row r="1769" spans="1:8" ht="38.25" x14ac:dyDescent="0.25">
      <c r="A1769" s="125" t="s">
        <v>400</v>
      </c>
      <c r="B1769" s="115" t="s">
        <v>9</v>
      </c>
      <c r="C1769" s="115">
        <v>39432</v>
      </c>
      <c r="D1769" s="127" t="str">
        <f>IF(A1769="COMPOSIÇÃO",VLOOKUP(C1769,'SINAPI_COMPOSIÇÕES 062020'!A:B,2,FALSE),VLOOKUP(C1769,'SINAPI_INSUMOS 062020'!A:B,2,FALSE))</f>
        <v>FITA DE PAPEL REFORCADA COM LAMINA DE METAL PARA REFORCO DE CANTOS DE CHAPA DE GESSO PARA DRYWALL</v>
      </c>
      <c r="E1769" s="126" t="str">
        <f>IF(A1769="COMPOSIÇÃO",VLOOKUP(C1769,'SINAPI_COMPOSIÇÕES 062020'!A:C,3,FALSE),VLOOKUP(C1769,'SINAPI_INSUMOS 062020'!A:C,3,FALSE))</f>
        <v xml:space="preserve">M     </v>
      </c>
      <c r="F1769" s="74">
        <v>0.74070000000000003</v>
      </c>
      <c r="G1769" s="128">
        <f>IF(A1769="COMPOSIÇÃO",VLOOKUP(C1769,'SINAPI_COMPOSIÇÕES 062020'!A:D,4,FALSE),VLOOKUP(C1769,'SINAPI_INSUMOS 062020'!A:D,4,FALSE))</f>
        <v>2.96</v>
      </c>
      <c r="H1769" s="75">
        <f t="shared" si="131"/>
        <v>2.19</v>
      </c>
    </row>
    <row r="1770" spans="1:8" ht="51" x14ac:dyDescent="0.25">
      <c r="A1770" s="125" t="s">
        <v>400</v>
      </c>
      <c r="B1770" s="115" t="s">
        <v>9</v>
      </c>
      <c r="C1770" s="115">
        <v>39434</v>
      </c>
      <c r="D1770" s="127" t="str">
        <f>IF(A1770="COMPOSIÇÃO",VLOOKUP(C1770,'SINAPI_COMPOSIÇÕES 062020'!A:B,2,FALSE),VLOOKUP(C1770,'SINAPI_INSUMOS 062020'!A:B,2,FALSE))</f>
        <v>MASSA DE REJUNTE EM PO PARA DRYWALL, A BASE DE GESSO, SECAGEM RAPIDA, PARA TRATAMENTO DE JUNTAS DE CHAPA DE GESSO (COM ADICAO DE AGUA)</v>
      </c>
      <c r="E1770" s="126" t="str">
        <f>IF(A1770="COMPOSIÇÃO",VLOOKUP(C1770,'SINAPI_COMPOSIÇÕES 062020'!A:C,3,FALSE),VLOOKUP(C1770,'SINAPI_INSUMOS 062020'!A:C,3,FALSE))</f>
        <v xml:space="preserve">KG    </v>
      </c>
      <c r="F1770" s="74">
        <v>1.0327</v>
      </c>
      <c r="G1770" s="128">
        <f>IF(A1770="COMPOSIÇÃO",VLOOKUP(C1770,'SINAPI_COMPOSIÇÕES 062020'!A:D,4,FALSE),VLOOKUP(C1770,'SINAPI_INSUMOS 062020'!A:D,4,FALSE))</f>
        <v>3.97</v>
      </c>
      <c r="H1770" s="75">
        <f t="shared" si="131"/>
        <v>4.09</v>
      </c>
    </row>
    <row r="1771" spans="1:8" ht="38.25" x14ac:dyDescent="0.25">
      <c r="A1771" s="125" t="s">
        <v>400</v>
      </c>
      <c r="B1771" s="115" t="s">
        <v>9</v>
      </c>
      <c r="C1771" s="115">
        <v>39435</v>
      </c>
      <c r="D1771" s="127" t="str">
        <f>IF(A1771="COMPOSIÇÃO",VLOOKUP(C1771,'SINAPI_COMPOSIÇÕES 062020'!A:B,2,FALSE),VLOOKUP(C1771,'SINAPI_INSUMOS 062020'!A:B,2,FALSE))</f>
        <v>PARAFUSO DRY WALL, EM ACO FOSFATIZADO, CABECA TROMBETA E PONTA AGULHA (TA), COMPRIMENTO 25 MM</v>
      </c>
      <c r="E1771" s="126" t="str">
        <f>IF(A1771="COMPOSIÇÃO",VLOOKUP(C1771,'SINAPI_COMPOSIÇÕES 062020'!A:C,3,FALSE),VLOOKUP(C1771,'SINAPI_INSUMOS 062020'!A:C,3,FALSE))</f>
        <v xml:space="preserve">UN    </v>
      </c>
      <c r="F1771" s="74">
        <v>20.0077</v>
      </c>
      <c r="G1771" s="128">
        <f>IF(A1771="COMPOSIÇÃO",VLOOKUP(C1771,'SINAPI_COMPOSIÇÕES 062020'!A:D,4,FALSE),VLOOKUP(C1771,'SINAPI_INSUMOS 062020'!A:D,4,FALSE))</f>
        <v>7.0000000000000007E-2</v>
      </c>
      <c r="H1771" s="75">
        <f t="shared" si="131"/>
        <v>1.4</v>
      </c>
    </row>
    <row r="1772" spans="1:8" ht="38.25" x14ac:dyDescent="0.25">
      <c r="A1772" s="125" t="s">
        <v>400</v>
      </c>
      <c r="B1772" s="115" t="s">
        <v>9</v>
      </c>
      <c r="C1772" s="115">
        <v>39443</v>
      </c>
      <c r="D1772" s="127" t="str">
        <f>IF(A1772="COMPOSIÇÃO",VLOOKUP(C1772,'SINAPI_COMPOSIÇÕES 062020'!A:B,2,FALSE),VLOOKUP(C1772,'SINAPI_INSUMOS 062020'!A:B,2,FALSE))</f>
        <v>PARAFUSO DRY WALL, EM ACO ZINCADO, CABECA LENTILHA E PONTA BROCA (LB), LARGURA 4,2 MM, COMPRIMENTO 13 MM</v>
      </c>
      <c r="E1772" s="126" t="str">
        <f>IF(A1772="COMPOSIÇÃO",VLOOKUP(C1772,'SINAPI_COMPOSIÇÕES 062020'!A:C,3,FALSE),VLOOKUP(C1772,'SINAPI_INSUMOS 062020'!A:C,3,FALSE))</f>
        <v xml:space="preserve">UN    </v>
      </c>
      <c r="F1772" s="74">
        <v>0.80759999999999998</v>
      </c>
      <c r="G1772" s="128">
        <f>IF(A1772="COMPOSIÇÃO",VLOOKUP(C1772,'SINAPI_COMPOSIÇÕES 062020'!A:D,4,FALSE),VLOOKUP(C1772,'SINAPI_INSUMOS 062020'!A:D,4,FALSE))</f>
        <v>0.16</v>
      </c>
      <c r="H1772" s="75">
        <f t="shared" si="131"/>
        <v>0.12</v>
      </c>
    </row>
    <row r="1773" spans="1:8" ht="13.5" thickBot="1" x14ac:dyDescent="0.3">
      <c r="A1773" s="267" t="str">
        <f>CONCATENATE("TOTAL DO ÍTEM - ",A1758)</f>
        <v>TOTAL DO ÍTEM - MPMT-02309</v>
      </c>
      <c r="B1773" s="268"/>
      <c r="C1773" s="268"/>
      <c r="D1773" s="268"/>
      <c r="E1773" s="268"/>
      <c r="F1773" s="268"/>
      <c r="G1773" s="269"/>
      <c r="H1773" s="188">
        <f>TRUNC(SUM(H1762:H1772),2)</f>
        <v>97.36</v>
      </c>
    </row>
    <row r="1774" spans="1:8" ht="13.5" thickBot="1" x14ac:dyDescent="0.3">
      <c r="A1774" s="302" t="s">
        <v>12521</v>
      </c>
      <c r="B1774" s="303"/>
      <c r="C1774" s="303"/>
      <c r="D1774" s="303"/>
      <c r="E1774" s="303"/>
      <c r="F1774" s="303"/>
      <c r="G1774" s="303"/>
      <c r="H1774" s="304"/>
    </row>
    <row r="1775" spans="1:8" ht="13.5" thickBot="1" x14ac:dyDescent="0.3"/>
    <row r="1776" spans="1:8" ht="25.5" x14ac:dyDescent="0.25">
      <c r="A1776" s="120" t="s">
        <v>90</v>
      </c>
      <c r="B1776" s="286" t="s">
        <v>91</v>
      </c>
      <c r="C1776" s="287"/>
      <c r="D1776" s="287"/>
      <c r="E1776" s="287"/>
      <c r="F1776" s="287"/>
      <c r="G1776" s="288"/>
      <c r="H1776" s="121" t="s">
        <v>4</v>
      </c>
    </row>
    <row r="1777" spans="1:8" ht="13.5" thickBot="1" x14ac:dyDescent="0.3">
      <c r="A1777" s="113" t="s">
        <v>12522</v>
      </c>
      <c r="B1777" s="289" t="s">
        <v>12523</v>
      </c>
      <c r="C1777" s="290"/>
      <c r="D1777" s="290"/>
      <c r="E1777" s="290"/>
      <c r="F1777" s="290"/>
      <c r="G1777" s="291"/>
      <c r="H1777" s="114" t="s">
        <v>4</v>
      </c>
    </row>
    <row r="1778" spans="1:8" x14ac:dyDescent="0.25">
      <c r="A1778" s="273" t="s">
        <v>13834</v>
      </c>
      <c r="B1778" s="275" t="s">
        <v>92</v>
      </c>
      <c r="C1778" s="276"/>
      <c r="D1778" s="185" t="s">
        <v>12524</v>
      </c>
      <c r="E1778" s="239" t="s">
        <v>93</v>
      </c>
      <c r="F1778" s="186">
        <v>0</v>
      </c>
      <c r="G1778" s="277" t="s">
        <v>94</v>
      </c>
      <c r="H1778" s="278"/>
    </row>
    <row r="1779" spans="1:8" x14ac:dyDescent="0.25">
      <c r="A1779" s="274"/>
      <c r="B1779" s="281" t="s">
        <v>95</v>
      </c>
      <c r="C1779" s="282"/>
      <c r="D1779" s="187">
        <v>43370</v>
      </c>
      <c r="E1779" s="240" t="s">
        <v>96</v>
      </c>
      <c r="F1779" s="187">
        <v>43370</v>
      </c>
      <c r="G1779" s="279"/>
      <c r="H1779" s="280"/>
    </row>
    <row r="1780" spans="1:8" x14ac:dyDescent="0.25">
      <c r="A1780" s="122" t="s">
        <v>11885</v>
      </c>
      <c r="B1780" s="123" t="s">
        <v>97</v>
      </c>
      <c r="C1780" s="123" t="s">
        <v>98</v>
      </c>
      <c r="D1780" s="123" t="s">
        <v>3</v>
      </c>
      <c r="E1780" s="123" t="s">
        <v>4</v>
      </c>
      <c r="F1780" s="123" t="s">
        <v>99</v>
      </c>
      <c r="G1780" s="123" t="s">
        <v>100</v>
      </c>
      <c r="H1780" s="124" t="s">
        <v>101</v>
      </c>
    </row>
    <row r="1781" spans="1:8" ht="25.5" x14ac:dyDescent="0.25">
      <c r="A1781" s="125" t="s">
        <v>398</v>
      </c>
      <c r="B1781" s="115" t="s">
        <v>9</v>
      </c>
      <c r="C1781" s="115">
        <v>88261</v>
      </c>
      <c r="D1781" s="127" t="str">
        <f>IF(A1781="COMPOSIÇÃO",VLOOKUP(C1781,'SINAPI_COMPOSIÇÕES 062020'!A:B,2,FALSE),VLOOKUP(C1781,'SINAPI_INSUMOS 062020'!A:B,2,FALSE))</f>
        <v>CARPINTEIRO DE ESQUADRIA COM ENCARGOS COMPLEMENTARES</v>
      </c>
      <c r="E1781" s="126" t="str">
        <f>IF(A1781="COMPOSIÇÃO",VLOOKUP(C1781,'SINAPI_COMPOSIÇÕES 062020'!A:C,3,FALSE),VLOOKUP(C1781,'SINAPI_INSUMOS 062020'!A:C,3,FALSE))</f>
        <v>H</v>
      </c>
      <c r="F1781" s="74">
        <v>1.6779999999999999</v>
      </c>
      <c r="G1781" s="128">
        <f>IF(A1781="COMPOSIÇÃO",VLOOKUP(C1781,'SINAPI_COMPOSIÇÕES 062020'!A:D,4,FALSE),VLOOKUP(C1781,'SINAPI_INSUMOS 062020'!A:D,4,FALSE))</f>
        <v>18.84</v>
      </c>
      <c r="H1781" s="75">
        <f t="shared" ref="H1781:H1784" si="132">TRUNC(G1781*F1781,2)</f>
        <v>31.61</v>
      </c>
    </row>
    <row r="1782" spans="1:8" ht="25.5" x14ac:dyDescent="0.25">
      <c r="A1782" s="125" t="s">
        <v>398</v>
      </c>
      <c r="B1782" s="115" t="s">
        <v>9</v>
      </c>
      <c r="C1782" s="115">
        <v>88239</v>
      </c>
      <c r="D1782" s="127" t="str">
        <f>IF(A1782="COMPOSIÇÃO",VLOOKUP(C1782,'SINAPI_COMPOSIÇÕES 062020'!A:B,2,FALSE),VLOOKUP(C1782,'SINAPI_INSUMOS 062020'!A:B,2,FALSE))</f>
        <v>AJUDANTE DE CARPINTEIRO COM ENCARGOS COMPLEMENTARES</v>
      </c>
      <c r="E1782" s="126" t="str">
        <f>IF(A1782="COMPOSIÇÃO",VLOOKUP(C1782,'SINAPI_COMPOSIÇÕES 062020'!A:C,3,FALSE),VLOOKUP(C1782,'SINAPI_INSUMOS 062020'!A:C,3,FALSE))</f>
        <v>H</v>
      </c>
      <c r="F1782" s="74">
        <v>0.83899999999999997</v>
      </c>
      <c r="G1782" s="128">
        <f>IF(A1782="COMPOSIÇÃO",VLOOKUP(C1782,'SINAPI_COMPOSIÇÕES 062020'!A:D,4,FALSE),VLOOKUP(C1782,'SINAPI_INSUMOS 062020'!A:D,4,FALSE))</f>
        <v>14.91</v>
      </c>
      <c r="H1782" s="75">
        <f t="shared" si="132"/>
        <v>12.5</v>
      </c>
    </row>
    <row r="1783" spans="1:8" x14ac:dyDescent="0.25">
      <c r="A1783" s="125" t="s">
        <v>400</v>
      </c>
      <c r="B1783" s="115" t="s">
        <v>9</v>
      </c>
      <c r="C1783" s="115">
        <v>1379</v>
      </c>
      <c r="D1783" s="127" t="str">
        <f>IF(A1783="COMPOSIÇÃO",VLOOKUP(C1783,'SINAPI_COMPOSIÇÕES 062020'!A:B,2,FALSE),VLOOKUP(C1783,'SINAPI_INSUMOS 062020'!A:B,2,FALSE))</f>
        <v>CIMENTO PORTLAND COMPOSTO CP II-32</v>
      </c>
      <c r="E1783" s="126" t="str">
        <f>IF(A1783="COMPOSIÇÃO",VLOOKUP(C1783,'SINAPI_COMPOSIÇÕES 062020'!A:C,3,FALSE),VLOOKUP(C1783,'SINAPI_INSUMOS 062020'!A:C,3,FALSE))</f>
        <v xml:space="preserve">KG    </v>
      </c>
      <c r="F1783" s="74">
        <v>5.1840000000000002</v>
      </c>
      <c r="G1783" s="128">
        <f>IF(A1783="COMPOSIÇÃO",VLOOKUP(C1783,'SINAPI_COMPOSIÇÕES 062020'!A:D,4,FALSE),VLOOKUP(C1783,'SINAPI_INSUMOS 062020'!A:D,4,FALSE))</f>
        <v>0.49</v>
      </c>
      <c r="H1783" s="75">
        <f t="shared" si="132"/>
        <v>2.54</v>
      </c>
    </row>
    <row r="1784" spans="1:8" ht="25.5" x14ac:dyDescent="0.25">
      <c r="A1784" s="125" t="s">
        <v>400</v>
      </c>
      <c r="B1784" s="115" t="s">
        <v>9</v>
      </c>
      <c r="C1784" s="115">
        <v>367</v>
      </c>
      <c r="D1784" s="127" t="str">
        <f>IF(A1784="COMPOSIÇÃO",VLOOKUP(C1784,'SINAPI_COMPOSIÇÕES 062020'!A:B,2,FALSE),VLOOKUP(C1784,'SINAPI_INSUMOS 062020'!A:B,2,FALSE))</f>
        <v>AREIA GROSSA - POSTO JAZIDA/FORNECEDOR (RETIRADO NA JAZIDA, SEM TRANSPORTE)</v>
      </c>
      <c r="E1784" s="126" t="str">
        <f>IF(A1784="COMPOSIÇÃO",VLOOKUP(C1784,'SINAPI_COMPOSIÇÕES 062020'!A:C,3,FALSE),VLOOKUP(C1784,'SINAPI_INSUMOS 062020'!A:C,3,FALSE))</f>
        <v xml:space="preserve">M3    </v>
      </c>
      <c r="F1784" s="74">
        <v>1.2E-2</v>
      </c>
      <c r="G1784" s="128">
        <f>IF(A1784="COMPOSIÇÃO",VLOOKUP(C1784,'SINAPI_COMPOSIÇÕES 062020'!A:D,4,FALSE),VLOOKUP(C1784,'SINAPI_INSUMOS 062020'!A:D,4,FALSE))</f>
        <v>66.5</v>
      </c>
      <c r="H1784" s="75">
        <f t="shared" si="132"/>
        <v>0.79</v>
      </c>
    </row>
    <row r="1785" spans="1:8" ht="25.5" x14ac:dyDescent="0.25">
      <c r="A1785" s="125" t="s">
        <v>11958</v>
      </c>
      <c r="B1785" s="115" t="s">
        <v>11959</v>
      </c>
      <c r="C1785" s="115" t="s">
        <v>11960</v>
      </c>
      <c r="D1785" s="194" t="str">
        <f>B1789</f>
        <v>KIT DE PORTA COMPLETA, DE CORRER, 90X210CM, MADEIRA LISA</v>
      </c>
      <c r="E1785" s="115" t="str">
        <f>H1789</f>
        <v>UND</v>
      </c>
      <c r="F1785" s="74">
        <v>1.07</v>
      </c>
      <c r="G1785" s="217">
        <f>H1794</f>
        <v>845.99</v>
      </c>
      <c r="H1785" s="75">
        <f t="shared" ref="H1785" si="133">TRUNC(G1785*F1785,2)</f>
        <v>905.2</v>
      </c>
    </row>
    <row r="1786" spans="1:8" ht="13.5" thickBot="1" x14ac:dyDescent="0.3">
      <c r="A1786" s="267" t="str">
        <f>CONCATENATE("TOTAL DO ÍTEM - ",A1777)</f>
        <v>TOTAL DO ÍTEM - MPMT-02324</v>
      </c>
      <c r="B1786" s="268"/>
      <c r="C1786" s="268"/>
      <c r="D1786" s="268"/>
      <c r="E1786" s="268"/>
      <c r="F1786" s="268"/>
      <c r="G1786" s="269"/>
      <c r="H1786" s="188">
        <f>TRUNC(SUM(H1781:H1785),2)</f>
        <v>952.64</v>
      </c>
    </row>
    <row r="1787" spans="1:8" ht="13.5" thickBot="1" x14ac:dyDescent="0.3">
      <c r="A1787" s="302" t="s">
        <v>12525</v>
      </c>
      <c r="B1787" s="303"/>
      <c r="C1787" s="303"/>
      <c r="D1787" s="303"/>
      <c r="E1787" s="303"/>
      <c r="F1787" s="303"/>
      <c r="G1787" s="303"/>
      <c r="H1787" s="304"/>
    </row>
    <row r="1788" spans="1:8" x14ac:dyDescent="0.25">
      <c r="A1788" s="196"/>
      <c r="B1788" s="292" t="s">
        <v>11962</v>
      </c>
      <c r="C1788" s="292"/>
      <c r="D1788" s="292"/>
      <c r="E1788" s="292"/>
      <c r="F1788" s="292"/>
      <c r="G1788" s="292"/>
      <c r="H1788" s="197" t="s">
        <v>4</v>
      </c>
    </row>
    <row r="1789" spans="1:8" ht="13.5" thickBot="1" x14ac:dyDescent="0.3">
      <c r="A1789" s="234" t="s">
        <v>11960</v>
      </c>
      <c r="B1789" s="293" t="s">
        <v>12526</v>
      </c>
      <c r="C1789" s="293"/>
      <c r="D1789" s="293"/>
      <c r="E1789" s="293"/>
      <c r="F1789" s="293"/>
      <c r="G1789" s="293"/>
      <c r="H1789" s="235" t="s">
        <v>4</v>
      </c>
    </row>
    <row r="1790" spans="1:8" ht="25.5" x14ac:dyDescent="0.25">
      <c r="A1790" s="213" t="s">
        <v>11965</v>
      </c>
      <c r="B1790" s="241" t="s">
        <v>11966</v>
      </c>
      <c r="C1790" s="241" t="s">
        <v>11967</v>
      </c>
      <c r="D1790" s="241" t="s">
        <v>11968</v>
      </c>
      <c r="E1790" s="294" t="s">
        <v>11969</v>
      </c>
      <c r="F1790" s="294"/>
      <c r="G1790" s="241" t="s">
        <v>4</v>
      </c>
      <c r="H1790" s="214" t="s">
        <v>11970</v>
      </c>
    </row>
    <row r="1791" spans="1:8" x14ac:dyDescent="0.25">
      <c r="A1791" s="205">
        <v>44033</v>
      </c>
      <c r="B1791" s="206" t="s">
        <v>11971</v>
      </c>
      <c r="C1791" s="206" t="s">
        <v>12527</v>
      </c>
      <c r="D1791" s="206" t="s">
        <v>12528</v>
      </c>
      <c r="E1791" s="306" t="s">
        <v>12529</v>
      </c>
      <c r="F1791" s="306"/>
      <c r="G1791" s="115" t="s">
        <v>4</v>
      </c>
      <c r="H1791" s="218">
        <f>3383.99/4</f>
        <v>845.99749999999995</v>
      </c>
    </row>
    <row r="1792" spans="1:8" x14ac:dyDescent="0.25">
      <c r="A1792" s="205">
        <v>44033</v>
      </c>
      <c r="B1792" s="206" t="s">
        <v>11971</v>
      </c>
      <c r="C1792" s="206" t="s">
        <v>12530</v>
      </c>
      <c r="D1792" s="206" t="s">
        <v>12531</v>
      </c>
      <c r="E1792" s="295" t="s">
        <v>12532</v>
      </c>
      <c r="F1792" s="295"/>
      <c r="G1792" s="115" t="s">
        <v>4</v>
      </c>
      <c r="H1792" s="208">
        <f>2380.42/4</f>
        <v>595.10500000000002</v>
      </c>
    </row>
    <row r="1793" spans="1:8" x14ac:dyDescent="0.25">
      <c r="A1793" s="205">
        <v>44033</v>
      </c>
      <c r="B1793" s="206" t="s">
        <v>11971</v>
      </c>
      <c r="C1793" s="206"/>
      <c r="D1793" s="206" t="s">
        <v>12106</v>
      </c>
      <c r="E1793" s="307" t="s">
        <v>12107</v>
      </c>
      <c r="F1793" s="307"/>
      <c r="G1793" s="115" t="s">
        <v>4</v>
      </c>
      <c r="H1793" s="208">
        <f>3906.89/4</f>
        <v>976.72249999999997</v>
      </c>
    </row>
    <row r="1794" spans="1:8" ht="13.5" thickBot="1" x14ac:dyDescent="0.3">
      <c r="A1794" s="296" t="s">
        <v>11981</v>
      </c>
      <c r="B1794" s="297"/>
      <c r="C1794" s="297"/>
      <c r="D1794" s="297"/>
      <c r="E1794" s="297"/>
      <c r="F1794" s="297"/>
      <c r="G1794" s="298"/>
      <c r="H1794" s="188">
        <f>TRUNC(MEDIAN(H1791:H1793),2)</f>
        <v>845.99</v>
      </c>
    </row>
    <row r="1795" spans="1:8" ht="13.5" thickBot="1" x14ac:dyDescent="0.3"/>
    <row r="1796" spans="1:8" ht="25.5" x14ac:dyDescent="0.25">
      <c r="A1796" s="120" t="s">
        <v>90</v>
      </c>
      <c r="B1796" s="286" t="s">
        <v>91</v>
      </c>
      <c r="C1796" s="287"/>
      <c r="D1796" s="287"/>
      <c r="E1796" s="287"/>
      <c r="F1796" s="287"/>
      <c r="G1796" s="288"/>
      <c r="H1796" s="121" t="s">
        <v>4</v>
      </c>
    </row>
    <row r="1797" spans="1:8" ht="13.5" thickBot="1" x14ac:dyDescent="0.3">
      <c r="A1797" s="113" t="s">
        <v>12535</v>
      </c>
      <c r="B1797" s="289" t="s">
        <v>12536</v>
      </c>
      <c r="C1797" s="290"/>
      <c r="D1797" s="290"/>
      <c r="E1797" s="290"/>
      <c r="F1797" s="290"/>
      <c r="G1797" s="291"/>
      <c r="H1797" s="114" t="s">
        <v>8</v>
      </c>
    </row>
    <row r="1798" spans="1:8" x14ac:dyDescent="0.25">
      <c r="A1798" s="273" t="s">
        <v>13834</v>
      </c>
      <c r="B1798" s="275" t="s">
        <v>92</v>
      </c>
      <c r="C1798" s="276"/>
      <c r="D1798" s="185" t="s">
        <v>12537</v>
      </c>
      <c r="E1798" s="239" t="s">
        <v>93</v>
      </c>
      <c r="F1798" s="186">
        <v>0</v>
      </c>
      <c r="G1798" s="277" t="s">
        <v>94</v>
      </c>
      <c r="H1798" s="278"/>
    </row>
    <row r="1799" spans="1:8" x14ac:dyDescent="0.25">
      <c r="A1799" s="274"/>
      <c r="B1799" s="281" t="s">
        <v>95</v>
      </c>
      <c r="C1799" s="282"/>
      <c r="D1799" s="187">
        <v>43655</v>
      </c>
      <c r="E1799" s="240" t="s">
        <v>96</v>
      </c>
      <c r="F1799" s="187">
        <v>43655</v>
      </c>
      <c r="G1799" s="279"/>
      <c r="H1799" s="280"/>
    </row>
    <row r="1800" spans="1:8" x14ac:dyDescent="0.25">
      <c r="A1800" s="122" t="s">
        <v>11885</v>
      </c>
      <c r="B1800" s="123" t="s">
        <v>97</v>
      </c>
      <c r="C1800" s="123" t="s">
        <v>98</v>
      </c>
      <c r="D1800" s="123" t="s">
        <v>3</v>
      </c>
      <c r="E1800" s="123" t="s">
        <v>4</v>
      </c>
      <c r="F1800" s="123" t="s">
        <v>99</v>
      </c>
      <c r="G1800" s="123" t="s">
        <v>100</v>
      </c>
      <c r="H1800" s="124" t="s">
        <v>101</v>
      </c>
    </row>
    <row r="1801" spans="1:8" ht="25.5" x14ac:dyDescent="0.25">
      <c r="A1801" s="125" t="s">
        <v>398</v>
      </c>
      <c r="B1801" s="115" t="s">
        <v>9</v>
      </c>
      <c r="C1801" s="115">
        <v>88256</v>
      </c>
      <c r="D1801" s="127" t="str">
        <f>IF(A1801="COMPOSIÇÃO",VLOOKUP(C1801,'SINAPI_COMPOSIÇÕES 062020'!A:B,2,FALSE),VLOOKUP(C1801,'SINAPI_INSUMOS 062020'!A:B,2,FALSE))</f>
        <v>AZULEJISTA OU LADRILHISTA COM ENCARGOS COMPLEMENTARES</v>
      </c>
      <c r="E1801" s="126" t="str">
        <f>IF(A1801="COMPOSIÇÃO",VLOOKUP(C1801,'SINAPI_COMPOSIÇÕES 062020'!A:C,3,FALSE),VLOOKUP(C1801,'SINAPI_INSUMOS 062020'!A:C,3,FALSE))</f>
        <v>H</v>
      </c>
      <c r="F1801" s="74">
        <v>0.44</v>
      </c>
      <c r="G1801" s="128">
        <f>IF(A1801="COMPOSIÇÃO",VLOOKUP(C1801,'SINAPI_COMPOSIÇÕES 062020'!A:D,4,FALSE),VLOOKUP(C1801,'SINAPI_INSUMOS 062020'!A:D,4,FALSE))</f>
        <v>17.71</v>
      </c>
      <c r="H1801" s="75">
        <f t="shared" ref="H1801:H1805" si="134">TRUNC(G1801*F1801,2)</f>
        <v>7.79</v>
      </c>
    </row>
    <row r="1802" spans="1:8" ht="25.5" x14ac:dyDescent="0.25">
      <c r="A1802" s="125" t="s">
        <v>398</v>
      </c>
      <c r="B1802" s="115" t="s">
        <v>9</v>
      </c>
      <c r="C1802" s="115">
        <v>88316</v>
      </c>
      <c r="D1802" s="127" t="str">
        <f>IF(A1802="COMPOSIÇÃO",VLOOKUP(C1802,'SINAPI_COMPOSIÇÕES 062020'!A:B,2,FALSE),VLOOKUP(C1802,'SINAPI_INSUMOS 062020'!A:B,2,FALSE))</f>
        <v>SERVENTE COM ENCARGOS COMPLEMENTARES</v>
      </c>
      <c r="E1802" s="126" t="str">
        <f>IF(A1802="COMPOSIÇÃO",VLOOKUP(C1802,'SINAPI_COMPOSIÇÕES 062020'!A:C,3,FALSE),VLOOKUP(C1802,'SINAPI_INSUMOS 062020'!A:C,3,FALSE))</f>
        <v>H</v>
      </c>
      <c r="F1802" s="74">
        <v>0.2</v>
      </c>
      <c r="G1802" s="128">
        <f>IF(A1802="COMPOSIÇÃO",VLOOKUP(C1802,'SINAPI_COMPOSIÇÕES 062020'!A:D,4,FALSE),VLOOKUP(C1802,'SINAPI_INSUMOS 062020'!A:D,4,FALSE))</f>
        <v>14.37</v>
      </c>
      <c r="H1802" s="75">
        <f t="shared" si="134"/>
        <v>2.87</v>
      </c>
    </row>
    <row r="1803" spans="1:8" x14ac:dyDescent="0.25">
      <c r="A1803" s="125" t="s">
        <v>400</v>
      </c>
      <c r="B1803" s="115" t="s">
        <v>9</v>
      </c>
      <c r="C1803" s="115">
        <v>34357</v>
      </c>
      <c r="D1803" s="127" t="str">
        <f>IF(A1803="COMPOSIÇÃO",VLOOKUP(C1803,'SINAPI_COMPOSIÇÕES 062020'!A:B,2,FALSE),VLOOKUP(C1803,'SINAPI_INSUMOS 062020'!A:B,2,FALSE))</f>
        <v>REJUNTE COLORIDO, CIMENTICIO</v>
      </c>
      <c r="E1803" s="126" t="str">
        <f>IF(A1803="COMPOSIÇÃO",VLOOKUP(C1803,'SINAPI_COMPOSIÇÕES 062020'!A:C,3,FALSE),VLOOKUP(C1803,'SINAPI_INSUMOS 062020'!A:C,3,FALSE))</f>
        <v xml:space="preserve">KG    </v>
      </c>
      <c r="F1803" s="74">
        <v>0.14000000000000001</v>
      </c>
      <c r="G1803" s="128">
        <f>IF(A1803="COMPOSIÇÃO",VLOOKUP(C1803,'SINAPI_COMPOSIÇÕES 062020'!A:D,4,FALSE),VLOOKUP(C1803,'SINAPI_INSUMOS 062020'!A:D,4,FALSE))</f>
        <v>4.13</v>
      </c>
      <c r="H1803" s="75">
        <f t="shared" si="134"/>
        <v>0.56999999999999995</v>
      </c>
    </row>
    <row r="1804" spans="1:8" x14ac:dyDescent="0.25">
      <c r="A1804" s="125" t="s">
        <v>400</v>
      </c>
      <c r="B1804" s="115" t="s">
        <v>9</v>
      </c>
      <c r="C1804" s="115">
        <v>37595</v>
      </c>
      <c r="D1804" s="127" t="str">
        <f>IF(A1804="COMPOSIÇÃO",VLOOKUP(C1804,'SINAPI_COMPOSIÇÕES 062020'!A:B,2,FALSE),VLOOKUP(C1804,'SINAPI_INSUMOS 062020'!A:B,2,FALSE))</f>
        <v>ARGAMASSA COLANTE TIPO AC III</v>
      </c>
      <c r="E1804" s="126" t="str">
        <f>IF(A1804="COMPOSIÇÃO",VLOOKUP(C1804,'SINAPI_COMPOSIÇÕES 062020'!A:C,3,FALSE),VLOOKUP(C1804,'SINAPI_INSUMOS 062020'!A:C,3,FALSE))</f>
        <v xml:space="preserve">KG    </v>
      </c>
      <c r="F1804" s="74">
        <v>8.6199999999999992</v>
      </c>
      <c r="G1804" s="128">
        <f>IF(A1804="COMPOSIÇÃO",VLOOKUP(C1804,'SINAPI_COMPOSIÇÕES 062020'!A:D,4,FALSE),VLOOKUP(C1804,'SINAPI_INSUMOS 062020'!A:D,4,FALSE))</f>
        <v>1.99</v>
      </c>
      <c r="H1804" s="75">
        <f t="shared" si="134"/>
        <v>17.149999999999999</v>
      </c>
    </row>
    <row r="1805" spans="1:8" ht="25.5" x14ac:dyDescent="0.25">
      <c r="A1805" s="125" t="s">
        <v>400</v>
      </c>
      <c r="B1805" s="115" t="s">
        <v>9</v>
      </c>
      <c r="C1805" s="115">
        <v>38195</v>
      </c>
      <c r="D1805" s="127" t="str">
        <f>IF(A1805="COMPOSIÇÃO",VLOOKUP(C1805,'SINAPI_COMPOSIÇÕES 062020'!A:B,2,FALSE),VLOOKUP(C1805,'SINAPI_INSUMOS 062020'!A:B,2,FALSE))</f>
        <v>PISO PORCELANATO, BORDA RETA, EXTRA, FORMATO MAIOR QUE 2025 CM2</v>
      </c>
      <c r="E1805" s="126" t="str">
        <f>IF(A1805="COMPOSIÇÃO",VLOOKUP(C1805,'SINAPI_COMPOSIÇÕES 062020'!A:C,3,FALSE),VLOOKUP(C1805,'SINAPI_INSUMOS 062020'!A:C,3,FALSE))</f>
        <v xml:space="preserve">M2    </v>
      </c>
      <c r="F1805" s="74">
        <v>1.07</v>
      </c>
      <c r="G1805" s="128">
        <f>IF(A1805="COMPOSIÇÃO",VLOOKUP(C1805,'SINAPI_COMPOSIÇÕES 062020'!A:D,4,FALSE),VLOOKUP(C1805,'SINAPI_INSUMOS 062020'!A:D,4,FALSE))</f>
        <v>52.94</v>
      </c>
      <c r="H1805" s="75">
        <f t="shared" si="134"/>
        <v>56.64</v>
      </c>
    </row>
    <row r="1806" spans="1:8" ht="13.5" thickBot="1" x14ac:dyDescent="0.3">
      <c r="A1806" s="267" t="str">
        <f>CONCATENATE("TOTAL DO ÍTEM - ",A1797)</f>
        <v>TOTAL DO ÍTEM - MPMT-02469</v>
      </c>
      <c r="B1806" s="268"/>
      <c r="C1806" s="268"/>
      <c r="D1806" s="268"/>
      <c r="E1806" s="268"/>
      <c r="F1806" s="268"/>
      <c r="G1806" s="269"/>
      <c r="H1806" s="188">
        <f>TRUNC(SUM(H1801:H1805),2)</f>
        <v>85.02</v>
      </c>
    </row>
    <row r="1807" spans="1:8" ht="13.5" thickBot="1" x14ac:dyDescent="0.3">
      <c r="A1807" s="270" t="s">
        <v>12538</v>
      </c>
      <c r="B1807" s="271"/>
      <c r="C1807" s="271"/>
      <c r="D1807" s="271"/>
      <c r="E1807" s="271"/>
      <c r="F1807" s="271"/>
      <c r="G1807" s="271"/>
      <c r="H1807" s="272"/>
    </row>
    <row r="1808" spans="1:8" ht="13.5" thickBot="1" x14ac:dyDescent="0.3">
      <c r="A1808" s="115"/>
      <c r="B1808" s="115"/>
      <c r="C1808" s="115"/>
      <c r="D1808" s="194"/>
      <c r="E1808" s="115"/>
      <c r="F1808" s="239"/>
      <c r="G1808" s="239"/>
      <c r="H1808" s="239"/>
    </row>
    <row r="1809" spans="1:8" ht="25.5" x14ac:dyDescent="0.25">
      <c r="A1809" s="120" t="s">
        <v>90</v>
      </c>
      <c r="B1809" s="286" t="s">
        <v>91</v>
      </c>
      <c r="C1809" s="287"/>
      <c r="D1809" s="287"/>
      <c r="E1809" s="287"/>
      <c r="F1809" s="287"/>
      <c r="G1809" s="288"/>
      <c r="H1809" s="121" t="s">
        <v>4</v>
      </c>
    </row>
    <row r="1810" spans="1:8" ht="13.5" thickBot="1" x14ac:dyDescent="0.3">
      <c r="A1810" s="113" t="s">
        <v>12539</v>
      </c>
      <c r="B1810" s="289" t="s">
        <v>12540</v>
      </c>
      <c r="C1810" s="290"/>
      <c r="D1810" s="290"/>
      <c r="E1810" s="290"/>
      <c r="F1810" s="290"/>
      <c r="G1810" s="291"/>
      <c r="H1810" s="114" t="s">
        <v>16</v>
      </c>
    </row>
    <row r="1811" spans="1:8" x14ac:dyDescent="0.25">
      <c r="A1811" s="273" t="s">
        <v>13834</v>
      </c>
      <c r="B1811" s="275" t="s">
        <v>92</v>
      </c>
      <c r="C1811" s="276"/>
      <c r="D1811" s="185" t="s">
        <v>12541</v>
      </c>
      <c r="E1811" s="239" t="s">
        <v>93</v>
      </c>
      <c r="F1811" s="186">
        <v>0</v>
      </c>
      <c r="G1811" s="277" t="s">
        <v>94</v>
      </c>
      <c r="H1811" s="278"/>
    </row>
    <row r="1812" spans="1:8" x14ac:dyDescent="0.25">
      <c r="A1812" s="274"/>
      <c r="B1812" s="281" t="s">
        <v>95</v>
      </c>
      <c r="C1812" s="282"/>
      <c r="D1812" s="187">
        <v>42857</v>
      </c>
      <c r="E1812" s="240" t="s">
        <v>96</v>
      </c>
      <c r="F1812" s="187">
        <v>42857</v>
      </c>
      <c r="G1812" s="279"/>
      <c r="H1812" s="280"/>
    </row>
    <row r="1813" spans="1:8" x14ac:dyDescent="0.25">
      <c r="A1813" s="122" t="s">
        <v>11885</v>
      </c>
      <c r="B1813" s="123" t="s">
        <v>97</v>
      </c>
      <c r="C1813" s="123" t="s">
        <v>98</v>
      </c>
      <c r="D1813" s="123" t="s">
        <v>3</v>
      </c>
      <c r="E1813" s="123" t="s">
        <v>4</v>
      </c>
      <c r="F1813" s="123" t="s">
        <v>99</v>
      </c>
      <c r="G1813" s="123" t="s">
        <v>100</v>
      </c>
      <c r="H1813" s="124" t="s">
        <v>101</v>
      </c>
    </row>
    <row r="1814" spans="1:8" ht="25.5" x14ac:dyDescent="0.25">
      <c r="A1814" s="125" t="s">
        <v>398</v>
      </c>
      <c r="B1814" s="115" t="s">
        <v>9</v>
      </c>
      <c r="C1814" s="115">
        <v>88256</v>
      </c>
      <c r="D1814" s="127" t="str">
        <f>IF(A1814="COMPOSIÇÃO",VLOOKUP(C1814,'SINAPI_COMPOSIÇÕES 062020'!A:B,2,FALSE),VLOOKUP(C1814,'SINAPI_INSUMOS 062020'!A:B,2,FALSE))</f>
        <v>AZULEJISTA OU LADRILHISTA COM ENCARGOS COMPLEMENTARES</v>
      </c>
      <c r="E1814" s="126" t="str">
        <f>IF(A1814="COMPOSIÇÃO",VLOOKUP(C1814,'SINAPI_COMPOSIÇÕES 062020'!A:C,3,FALSE),VLOOKUP(C1814,'SINAPI_INSUMOS 062020'!A:C,3,FALSE))</f>
        <v>H</v>
      </c>
      <c r="F1814" s="74">
        <f>(0.085/0.188)*F1818</f>
        <v>4.9734042553191499E-2</v>
      </c>
      <c r="G1814" s="128">
        <f>IF(A1814="COMPOSIÇÃO",VLOOKUP(C1814,'SINAPI_COMPOSIÇÕES 062020'!A:D,4,FALSE),VLOOKUP(C1814,'SINAPI_INSUMOS 062020'!A:D,4,FALSE))</f>
        <v>17.71</v>
      </c>
      <c r="H1814" s="75">
        <f t="shared" ref="H1814:H1818" si="135">TRUNC(G1814*F1814,2)</f>
        <v>0.88</v>
      </c>
    </row>
    <row r="1815" spans="1:8" ht="25.5" x14ac:dyDescent="0.25">
      <c r="A1815" s="125" t="s">
        <v>398</v>
      </c>
      <c r="B1815" s="115" t="s">
        <v>9</v>
      </c>
      <c r="C1815" s="115">
        <v>88316</v>
      </c>
      <c r="D1815" s="127" t="str">
        <f>IF(A1815="COMPOSIÇÃO",VLOOKUP(C1815,'SINAPI_COMPOSIÇÕES 062020'!A:B,2,FALSE),VLOOKUP(C1815,'SINAPI_INSUMOS 062020'!A:B,2,FALSE))</f>
        <v>SERVENTE COM ENCARGOS COMPLEMENTARES</v>
      </c>
      <c r="E1815" s="126" t="str">
        <f>IF(A1815="COMPOSIÇÃO",VLOOKUP(C1815,'SINAPI_COMPOSIÇÕES 062020'!A:C,3,FALSE),VLOOKUP(C1815,'SINAPI_INSUMOS 062020'!A:C,3,FALSE))</f>
        <v>H</v>
      </c>
      <c r="F1815" s="74">
        <f>(0.031/0.188)*F1818</f>
        <v>1.8138297872340427E-2</v>
      </c>
      <c r="G1815" s="128">
        <f>IF(A1815="COMPOSIÇÃO",VLOOKUP(C1815,'SINAPI_COMPOSIÇÕES 062020'!A:D,4,FALSE),VLOOKUP(C1815,'SINAPI_INSUMOS 062020'!A:D,4,FALSE))</f>
        <v>14.37</v>
      </c>
      <c r="H1815" s="75">
        <f t="shared" si="135"/>
        <v>0.26</v>
      </c>
    </row>
    <row r="1816" spans="1:8" x14ac:dyDescent="0.25">
      <c r="A1816" s="125" t="s">
        <v>400</v>
      </c>
      <c r="B1816" s="115" t="s">
        <v>9</v>
      </c>
      <c r="C1816" s="115">
        <v>34357</v>
      </c>
      <c r="D1816" s="127" t="str">
        <f>IF(A1816="COMPOSIÇÃO",VLOOKUP(C1816,'SINAPI_COMPOSIÇÕES 062020'!A:B,2,FALSE),VLOOKUP(C1816,'SINAPI_INSUMOS 062020'!A:B,2,FALSE))</f>
        <v>REJUNTE COLORIDO, CIMENTICIO</v>
      </c>
      <c r="E1816" s="126" t="str">
        <f>IF(A1816="COMPOSIÇÃO",VLOOKUP(C1816,'SINAPI_COMPOSIÇÕES 062020'!A:C,3,FALSE),VLOOKUP(C1816,'SINAPI_INSUMOS 062020'!A:C,3,FALSE))</f>
        <v xml:space="preserve">KG    </v>
      </c>
      <c r="F1816" s="74">
        <f>(0.084/0.188)*F1818</f>
        <v>4.9148936170212779E-2</v>
      </c>
      <c r="G1816" s="128">
        <f>IF(A1816="COMPOSIÇÃO",VLOOKUP(C1816,'SINAPI_COMPOSIÇÕES 062020'!A:D,4,FALSE),VLOOKUP(C1816,'SINAPI_INSUMOS 062020'!A:D,4,FALSE))</f>
        <v>4.13</v>
      </c>
      <c r="H1816" s="75">
        <f t="shared" si="135"/>
        <v>0.2</v>
      </c>
    </row>
    <row r="1817" spans="1:8" x14ac:dyDescent="0.25">
      <c r="A1817" s="125" t="s">
        <v>400</v>
      </c>
      <c r="B1817" s="115" t="s">
        <v>9</v>
      </c>
      <c r="C1817" s="115">
        <v>37595</v>
      </c>
      <c r="D1817" s="127" t="str">
        <f>IF(A1817="COMPOSIÇÃO",VLOOKUP(C1817,'SINAPI_COMPOSIÇÕES 062020'!A:B,2,FALSE),VLOOKUP(C1817,'SINAPI_INSUMOS 062020'!A:B,2,FALSE))</f>
        <v>ARGAMASSA COLANTE TIPO AC III</v>
      </c>
      <c r="E1817" s="126" t="str">
        <f>IF(A1817="COMPOSIÇÃO",VLOOKUP(C1817,'SINAPI_COMPOSIÇÕES 062020'!A:C,3,FALSE),VLOOKUP(C1817,'SINAPI_INSUMOS 062020'!A:C,3,FALSE))</f>
        <v xml:space="preserve">KG    </v>
      </c>
      <c r="F1817" s="74">
        <f>(0.603/0.188)*F1818</f>
        <v>0.35281914893617022</v>
      </c>
      <c r="G1817" s="128">
        <f>IF(A1817="COMPOSIÇÃO",VLOOKUP(C1817,'SINAPI_COMPOSIÇÕES 062020'!A:D,4,FALSE),VLOOKUP(C1817,'SINAPI_INSUMOS 062020'!A:D,4,FALSE))</f>
        <v>1.99</v>
      </c>
      <c r="H1817" s="75">
        <f t="shared" si="135"/>
        <v>0.7</v>
      </c>
    </row>
    <row r="1818" spans="1:8" ht="25.5" x14ac:dyDescent="0.25">
      <c r="A1818" s="125" t="s">
        <v>400</v>
      </c>
      <c r="B1818" s="115" t="s">
        <v>9</v>
      </c>
      <c r="C1818" s="115">
        <v>38195</v>
      </c>
      <c r="D1818" s="127" t="str">
        <f>IF(A1818="COMPOSIÇÃO",VLOOKUP(C1818,'SINAPI_COMPOSIÇÕES 062020'!A:B,2,FALSE),VLOOKUP(C1818,'SINAPI_INSUMOS 062020'!A:B,2,FALSE))</f>
        <v>PISO PORCELANATO, BORDA RETA, EXTRA, FORMATO MAIOR QUE 2025 CM2</v>
      </c>
      <c r="E1818" s="126" t="str">
        <f>IF(A1818="COMPOSIÇÃO",VLOOKUP(C1818,'SINAPI_COMPOSIÇÕES 062020'!A:C,3,FALSE),VLOOKUP(C1818,'SINAPI_INSUMOS 062020'!A:C,3,FALSE))</f>
        <v xml:space="preserve">M2    </v>
      </c>
      <c r="F1818" s="74">
        <f>(1*0.1)*1.1</f>
        <v>0.11000000000000001</v>
      </c>
      <c r="G1818" s="128">
        <f>IF(A1818="COMPOSIÇÃO",VLOOKUP(C1818,'SINAPI_COMPOSIÇÕES 062020'!A:D,4,FALSE),VLOOKUP(C1818,'SINAPI_INSUMOS 062020'!A:D,4,FALSE))</f>
        <v>52.94</v>
      </c>
      <c r="H1818" s="75">
        <f t="shared" si="135"/>
        <v>5.82</v>
      </c>
    </row>
    <row r="1819" spans="1:8" ht="13.5" thickBot="1" x14ac:dyDescent="0.3">
      <c r="A1819" s="267" t="str">
        <f>CONCATENATE("TOTAL DO ÍTEM - ",A1810)</f>
        <v>TOTAL DO ÍTEM - MPMT-02478</v>
      </c>
      <c r="B1819" s="268"/>
      <c r="C1819" s="268"/>
      <c r="D1819" s="268"/>
      <c r="E1819" s="268"/>
      <c r="F1819" s="268"/>
      <c r="G1819" s="269"/>
      <c r="H1819" s="188">
        <f>TRUNC(SUM(H1814:H1818),2)</f>
        <v>7.86</v>
      </c>
    </row>
    <row r="1820" spans="1:8" ht="13.5" thickBot="1" x14ac:dyDescent="0.3">
      <c r="A1820" s="270" t="s">
        <v>12542</v>
      </c>
      <c r="B1820" s="271"/>
      <c r="C1820" s="271"/>
      <c r="D1820" s="271"/>
      <c r="E1820" s="271"/>
      <c r="F1820" s="271"/>
      <c r="G1820" s="271"/>
      <c r="H1820" s="272"/>
    </row>
    <row r="1821" spans="1:8" ht="13.5" thickBot="1" x14ac:dyDescent="0.3"/>
    <row r="1822" spans="1:8" ht="25.5" x14ac:dyDescent="0.25">
      <c r="A1822" s="120" t="s">
        <v>90</v>
      </c>
      <c r="B1822" s="286" t="s">
        <v>91</v>
      </c>
      <c r="C1822" s="287"/>
      <c r="D1822" s="287"/>
      <c r="E1822" s="287"/>
      <c r="F1822" s="287"/>
      <c r="G1822" s="288"/>
      <c r="H1822" s="121" t="s">
        <v>4</v>
      </c>
    </row>
    <row r="1823" spans="1:8" ht="13.5" thickBot="1" x14ac:dyDescent="0.3">
      <c r="A1823" s="113" t="s">
        <v>12545</v>
      </c>
      <c r="B1823" s="289" t="s">
        <v>12543</v>
      </c>
      <c r="C1823" s="290"/>
      <c r="D1823" s="290"/>
      <c r="E1823" s="290"/>
      <c r="F1823" s="290"/>
      <c r="G1823" s="291"/>
      <c r="H1823" s="114" t="s">
        <v>16</v>
      </c>
    </row>
    <row r="1824" spans="1:8" x14ac:dyDescent="0.25">
      <c r="A1824" s="273" t="s">
        <v>13834</v>
      </c>
      <c r="B1824" s="275" t="s">
        <v>92</v>
      </c>
      <c r="C1824" s="276"/>
      <c r="D1824" s="185" t="s">
        <v>12093</v>
      </c>
      <c r="E1824" s="239" t="s">
        <v>93</v>
      </c>
      <c r="F1824" s="186">
        <v>0</v>
      </c>
      <c r="G1824" s="277" t="s">
        <v>94</v>
      </c>
      <c r="H1824" s="278"/>
    </row>
    <row r="1825" spans="1:8" x14ac:dyDescent="0.25">
      <c r="A1825" s="274"/>
      <c r="B1825" s="281" t="s">
        <v>95</v>
      </c>
      <c r="C1825" s="282"/>
      <c r="D1825" s="187">
        <v>44033</v>
      </c>
      <c r="E1825" s="240" t="s">
        <v>96</v>
      </c>
      <c r="F1825" s="187">
        <v>44033</v>
      </c>
      <c r="G1825" s="279"/>
      <c r="H1825" s="280"/>
    </row>
    <row r="1826" spans="1:8" x14ac:dyDescent="0.25">
      <c r="A1826" s="122" t="s">
        <v>11885</v>
      </c>
      <c r="B1826" s="123" t="s">
        <v>97</v>
      </c>
      <c r="C1826" s="123" t="s">
        <v>98</v>
      </c>
      <c r="D1826" s="123" t="s">
        <v>3</v>
      </c>
      <c r="E1826" s="123" t="s">
        <v>4</v>
      </c>
      <c r="F1826" s="123" t="s">
        <v>99</v>
      </c>
      <c r="G1826" s="123" t="s">
        <v>100</v>
      </c>
      <c r="H1826" s="124" t="s">
        <v>101</v>
      </c>
    </row>
    <row r="1827" spans="1:8" ht="25.5" x14ac:dyDescent="0.25">
      <c r="A1827" s="125" t="s">
        <v>398</v>
      </c>
      <c r="B1827" s="115" t="s">
        <v>9</v>
      </c>
      <c r="C1827" s="115">
        <v>88309</v>
      </c>
      <c r="D1827" s="127" t="str">
        <f>IF(A1827="COMPOSIÇÃO",VLOOKUP(C1827,'SINAPI_COMPOSIÇÕES 062020'!A:B,2,FALSE),VLOOKUP(C1827,'SINAPI_INSUMOS 062020'!A:B,2,FALSE))</f>
        <v>PEDREIRO COM ENCARGOS COMPLEMENTARES</v>
      </c>
      <c r="E1827" s="126" t="str">
        <f>IF(A1827="COMPOSIÇÃO",VLOOKUP(C1827,'SINAPI_COMPOSIÇÕES 062020'!A:C,3,FALSE),VLOOKUP(C1827,'SINAPI_INSUMOS 062020'!A:C,3,FALSE))</f>
        <v>H</v>
      </c>
      <c r="F1827" s="74">
        <v>0.4</v>
      </c>
      <c r="G1827" s="128">
        <f>IF(A1827="COMPOSIÇÃO",VLOOKUP(C1827,'SINAPI_COMPOSIÇÕES 062020'!A:D,4,FALSE),VLOOKUP(C1827,'SINAPI_INSUMOS 062020'!A:D,4,FALSE))</f>
        <v>17.760000000000002</v>
      </c>
      <c r="H1827" s="75">
        <f t="shared" ref="H1827:H1830" si="136">TRUNC(G1827*F1827,2)</f>
        <v>7.1</v>
      </c>
    </row>
    <row r="1828" spans="1:8" ht="25.5" x14ac:dyDescent="0.25">
      <c r="A1828" s="125" t="s">
        <v>398</v>
      </c>
      <c r="B1828" s="115" t="s">
        <v>9</v>
      </c>
      <c r="C1828" s="115">
        <v>88316</v>
      </c>
      <c r="D1828" s="127" t="str">
        <f>IF(A1828="COMPOSIÇÃO",VLOOKUP(C1828,'SINAPI_COMPOSIÇÕES 062020'!A:B,2,FALSE),VLOOKUP(C1828,'SINAPI_INSUMOS 062020'!A:B,2,FALSE))</f>
        <v>SERVENTE COM ENCARGOS COMPLEMENTARES</v>
      </c>
      <c r="E1828" s="126" t="str">
        <f>IF(A1828="COMPOSIÇÃO",VLOOKUP(C1828,'SINAPI_COMPOSIÇÕES 062020'!A:C,3,FALSE),VLOOKUP(C1828,'SINAPI_INSUMOS 062020'!A:C,3,FALSE))</f>
        <v>H</v>
      </c>
      <c r="F1828" s="74">
        <v>0.2</v>
      </c>
      <c r="G1828" s="128">
        <f>IF(A1828="COMPOSIÇÃO",VLOOKUP(C1828,'SINAPI_COMPOSIÇÕES 062020'!A:D,4,FALSE),VLOOKUP(C1828,'SINAPI_INSUMOS 062020'!A:D,4,FALSE))</f>
        <v>14.37</v>
      </c>
      <c r="H1828" s="75">
        <f t="shared" si="136"/>
        <v>2.87</v>
      </c>
    </row>
    <row r="1829" spans="1:8" ht="38.25" x14ac:dyDescent="0.25">
      <c r="A1829" s="125" t="s">
        <v>398</v>
      </c>
      <c r="B1829" s="115" t="s">
        <v>9</v>
      </c>
      <c r="C1829" s="115">
        <v>88631</v>
      </c>
      <c r="D1829" s="127" t="str">
        <f>IF(A1829="COMPOSIÇÃO",VLOOKUP(C1829,'SINAPI_COMPOSIÇÕES 062020'!A:B,2,FALSE),VLOOKUP(C1829,'SINAPI_INSUMOS 062020'!A:B,2,FALSE))</f>
        <v>ARGAMASSA TRAÇO 1:4 (EM VOLUME DE CIMENTO E AREIA MÉDIA ÚMIDA), PREPARO MANUAL. AF_08/2019</v>
      </c>
      <c r="E1829" s="126" t="str">
        <f>IF(A1829="COMPOSIÇÃO",VLOOKUP(C1829,'SINAPI_COMPOSIÇÕES 062020'!A:C,3,FALSE),VLOOKUP(C1829,'SINAPI_INSUMOS 062020'!A:C,3,FALSE))</f>
        <v>M3</v>
      </c>
      <c r="F1829" s="74">
        <v>3.0000000000000001E-3</v>
      </c>
      <c r="G1829" s="128">
        <f>IF(A1829="COMPOSIÇÃO",VLOOKUP(C1829,'SINAPI_COMPOSIÇÕES 062020'!A:D,4,FALSE),VLOOKUP(C1829,'SINAPI_INSUMOS 062020'!A:D,4,FALSE))</f>
        <v>381.86</v>
      </c>
      <c r="H1829" s="75">
        <f t="shared" si="136"/>
        <v>1.1399999999999999</v>
      </c>
    </row>
    <row r="1830" spans="1:8" ht="51" x14ac:dyDescent="0.25">
      <c r="A1830" s="125" t="s">
        <v>400</v>
      </c>
      <c r="B1830" s="115" t="s">
        <v>9</v>
      </c>
      <c r="C1830" s="115">
        <v>20232</v>
      </c>
      <c r="D1830" s="127" t="str">
        <f>IF(A1830="COMPOSIÇÃO",VLOOKUP(C1830,'SINAPI_COMPOSIÇÕES 062020'!A:B,2,FALSE),VLOOKUP(C1830,'SINAPI_INSUMOS 062020'!A:B,2,FALSE))</f>
        <v>SOLEIRA EM GRANITO, POLIDO, TIPO ANDORINHA/ QUARTZ/ CASTELO/ CORUMBA OU OUTROS EQUIVALENTES DA REGIAO, L= *15* CM, E=  *2,0* CM</v>
      </c>
      <c r="E1830" s="126" t="str">
        <f>IF(A1830="COMPOSIÇÃO",VLOOKUP(C1830,'SINAPI_COMPOSIÇÕES 062020'!A:C,3,FALSE),VLOOKUP(C1830,'SINAPI_INSUMOS 062020'!A:C,3,FALSE))</f>
        <v xml:space="preserve">M     </v>
      </c>
      <c r="F1830" s="74">
        <v>1</v>
      </c>
      <c r="G1830" s="128">
        <f>IF(A1830="COMPOSIÇÃO",VLOOKUP(C1830,'SINAPI_COMPOSIÇÕES 062020'!A:D,4,FALSE),VLOOKUP(C1830,'SINAPI_INSUMOS 062020'!A:D,4,FALSE))</f>
        <v>75.84</v>
      </c>
      <c r="H1830" s="75">
        <f t="shared" si="136"/>
        <v>75.84</v>
      </c>
    </row>
    <row r="1831" spans="1:8" ht="13.5" thickBot="1" x14ac:dyDescent="0.3">
      <c r="A1831" s="267" t="str">
        <f>CONCATENATE("TOTAL DO ÍTEM - ",A1823)</f>
        <v>TOTAL DO ÍTEM - MPMT-02568</v>
      </c>
      <c r="B1831" s="268"/>
      <c r="C1831" s="268"/>
      <c r="D1831" s="268"/>
      <c r="E1831" s="268"/>
      <c r="F1831" s="268"/>
      <c r="G1831" s="269"/>
      <c r="H1831" s="188">
        <f>TRUNC(SUM(H1827:H1830),2)</f>
        <v>86.95</v>
      </c>
    </row>
    <row r="1832" spans="1:8" ht="13.5" thickBot="1" x14ac:dyDescent="0.3">
      <c r="A1832" s="270" t="s">
        <v>12094</v>
      </c>
      <c r="B1832" s="271"/>
      <c r="C1832" s="271"/>
      <c r="D1832" s="271"/>
      <c r="E1832" s="271"/>
      <c r="F1832" s="271"/>
      <c r="G1832" s="271"/>
      <c r="H1832" s="272"/>
    </row>
    <row r="1833" spans="1:8" ht="13.5" thickBot="1" x14ac:dyDescent="0.3"/>
    <row r="1834" spans="1:8" ht="25.5" x14ac:dyDescent="0.25">
      <c r="A1834" s="120" t="s">
        <v>90</v>
      </c>
      <c r="B1834" s="286" t="s">
        <v>91</v>
      </c>
      <c r="C1834" s="287"/>
      <c r="D1834" s="287"/>
      <c r="E1834" s="287"/>
      <c r="F1834" s="287"/>
      <c r="G1834" s="288"/>
      <c r="H1834" s="121" t="s">
        <v>4</v>
      </c>
    </row>
    <row r="1835" spans="1:8" ht="13.5" thickBot="1" x14ac:dyDescent="0.3">
      <c r="A1835" s="113" t="s">
        <v>12546</v>
      </c>
      <c r="B1835" s="289" t="s">
        <v>12547</v>
      </c>
      <c r="C1835" s="290"/>
      <c r="D1835" s="290"/>
      <c r="E1835" s="290"/>
      <c r="F1835" s="290"/>
      <c r="G1835" s="291"/>
      <c r="H1835" s="114" t="s">
        <v>8</v>
      </c>
    </row>
    <row r="1836" spans="1:8" x14ac:dyDescent="0.25">
      <c r="A1836" s="273" t="s">
        <v>13834</v>
      </c>
      <c r="B1836" s="275" t="s">
        <v>92</v>
      </c>
      <c r="C1836" s="276"/>
      <c r="D1836" s="185" t="s">
        <v>12548</v>
      </c>
      <c r="E1836" s="239" t="s">
        <v>93</v>
      </c>
      <c r="F1836" s="186">
        <v>0</v>
      </c>
      <c r="G1836" s="277" t="s">
        <v>94</v>
      </c>
      <c r="H1836" s="278"/>
    </row>
    <row r="1837" spans="1:8" x14ac:dyDescent="0.25">
      <c r="A1837" s="274"/>
      <c r="B1837" s="281" t="s">
        <v>95</v>
      </c>
      <c r="C1837" s="282"/>
      <c r="D1837" s="187">
        <v>44033</v>
      </c>
      <c r="E1837" s="240" t="s">
        <v>96</v>
      </c>
      <c r="F1837" s="187">
        <v>44033</v>
      </c>
      <c r="G1837" s="279"/>
      <c r="H1837" s="280"/>
    </row>
    <row r="1838" spans="1:8" x14ac:dyDescent="0.25">
      <c r="A1838" s="122" t="s">
        <v>11885</v>
      </c>
      <c r="B1838" s="123" t="s">
        <v>97</v>
      </c>
      <c r="C1838" s="123" t="s">
        <v>98</v>
      </c>
      <c r="D1838" s="123" t="s">
        <v>3</v>
      </c>
      <c r="E1838" s="123" t="s">
        <v>4</v>
      </c>
      <c r="F1838" s="123" t="s">
        <v>99</v>
      </c>
      <c r="G1838" s="123" t="s">
        <v>100</v>
      </c>
      <c r="H1838" s="124" t="s">
        <v>101</v>
      </c>
    </row>
    <row r="1839" spans="1:8" ht="25.5" x14ac:dyDescent="0.25">
      <c r="A1839" s="125" t="s">
        <v>398</v>
      </c>
      <c r="B1839" s="115" t="s">
        <v>9</v>
      </c>
      <c r="C1839" s="115">
        <v>88256</v>
      </c>
      <c r="D1839" s="127" t="str">
        <f>IF(A1839="COMPOSIÇÃO",VLOOKUP(C1839,'SINAPI_COMPOSIÇÕES 062020'!A:B,2,FALSE),VLOOKUP(C1839,'SINAPI_INSUMOS 062020'!A:B,2,FALSE))</f>
        <v>AZULEJISTA OU LADRILHISTA COM ENCARGOS COMPLEMENTARES</v>
      </c>
      <c r="E1839" s="126" t="str">
        <f>IF(A1839="COMPOSIÇÃO",VLOOKUP(C1839,'SINAPI_COMPOSIÇÕES 062020'!A:C,3,FALSE),VLOOKUP(C1839,'SINAPI_INSUMOS 062020'!A:C,3,FALSE))</f>
        <v>H</v>
      </c>
      <c r="F1839" s="74">
        <v>0.66</v>
      </c>
      <c r="G1839" s="128">
        <f>IF(A1839="COMPOSIÇÃO",VLOOKUP(C1839,'SINAPI_COMPOSIÇÕES 062020'!A:D,4,FALSE),VLOOKUP(C1839,'SINAPI_INSUMOS 062020'!A:D,4,FALSE))</f>
        <v>17.71</v>
      </c>
      <c r="H1839" s="75">
        <f t="shared" ref="H1839:H1842" si="137">TRUNC(G1839*F1839,2)</f>
        <v>11.68</v>
      </c>
    </row>
    <row r="1840" spans="1:8" ht="25.5" x14ac:dyDescent="0.25">
      <c r="A1840" s="125" t="s">
        <v>398</v>
      </c>
      <c r="B1840" s="115" t="s">
        <v>9</v>
      </c>
      <c r="C1840" s="115">
        <v>88316</v>
      </c>
      <c r="D1840" s="127" t="str">
        <f>IF(A1840="COMPOSIÇÃO",VLOOKUP(C1840,'SINAPI_COMPOSIÇÕES 062020'!A:B,2,FALSE),VLOOKUP(C1840,'SINAPI_INSUMOS 062020'!A:B,2,FALSE))</f>
        <v>SERVENTE COM ENCARGOS COMPLEMENTARES</v>
      </c>
      <c r="E1840" s="126" t="str">
        <f>IF(A1840="COMPOSIÇÃO",VLOOKUP(C1840,'SINAPI_COMPOSIÇÕES 062020'!A:C,3,FALSE),VLOOKUP(C1840,'SINAPI_INSUMOS 062020'!A:C,3,FALSE))</f>
        <v>H</v>
      </c>
      <c r="F1840" s="74">
        <v>0.36</v>
      </c>
      <c r="G1840" s="128">
        <f>IF(A1840="COMPOSIÇÃO",VLOOKUP(C1840,'SINAPI_COMPOSIÇÕES 062020'!A:D,4,FALSE),VLOOKUP(C1840,'SINAPI_INSUMOS 062020'!A:D,4,FALSE))</f>
        <v>14.37</v>
      </c>
      <c r="H1840" s="75">
        <f t="shared" si="137"/>
        <v>5.17</v>
      </c>
    </row>
    <row r="1841" spans="1:8" x14ac:dyDescent="0.25">
      <c r="A1841" s="125" t="s">
        <v>400</v>
      </c>
      <c r="B1841" s="115" t="s">
        <v>9</v>
      </c>
      <c r="C1841" s="115">
        <v>34357</v>
      </c>
      <c r="D1841" s="127" t="str">
        <f>IF(A1841="COMPOSIÇÃO",VLOOKUP(C1841,'SINAPI_COMPOSIÇÕES 062020'!A:B,2,FALSE),VLOOKUP(C1841,'SINAPI_INSUMOS 062020'!A:B,2,FALSE))</f>
        <v>REJUNTE COLORIDO, CIMENTICIO</v>
      </c>
      <c r="E1841" s="126" t="str">
        <f>IF(A1841="COMPOSIÇÃO",VLOOKUP(C1841,'SINAPI_COMPOSIÇÕES 062020'!A:C,3,FALSE),VLOOKUP(C1841,'SINAPI_INSUMOS 062020'!A:C,3,FALSE))</f>
        <v xml:space="preserve">KG    </v>
      </c>
      <c r="F1841" s="74">
        <v>0.22</v>
      </c>
      <c r="G1841" s="128">
        <f>IF(A1841="COMPOSIÇÃO",VLOOKUP(C1841,'SINAPI_COMPOSIÇÕES 062020'!A:D,4,FALSE),VLOOKUP(C1841,'SINAPI_INSUMOS 062020'!A:D,4,FALSE))</f>
        <v>4.13</v>
      </c>
      <c r="H1841" s="75">
        <f t="shared" si="137"/>
        <v>0.9</v>
      </c>
    </row>
    <row r="1842" spans="1:8" x14ac:dyDescent="0.25">
      <c r="A1842" s="125" t="s">
        <v>400</v>
      </c>
      <c r="B1842" s="115" t="s">
        <v>9</v>
      </c>
      <c r="C1842" s="115">
        <v>1381</v>
      </c>
      <c r="D1842" s="127" t="str">
        <f>IF(A1842="COMPOSIÇÃO",VLOOKUP(C1842,'SINAPI_COMPOSIÇÕES 062020'!A:B,2,FALSE),VLOOKUP(C1842,'SINAPI_INSUMOS 062020'!A:B,2,FALSE))</f>
        <v>ARGAMASSA COLANTE AC I PARA CERAMICAS</v>
      </c>
      <c r="E1842" s="126" t="str">
        <f>IF(A1842="COMPOSIÇÃO",VLOOKUP(C1842,'SINAPI_COMPOSIÇÕES 062020'!A:C,3,FALSE),VLOOKUP(C1842,'SINAPI_INSUMOS 062020'!A:C,3,FALSE))</f>
        <v xml:space="preserve">KG    </v>
      </c>
      <c r="F1842" s="74">
        <v>6.14</v>
      </c>
      <c r="G1842" s="128">
        <f>IF(A1842="COMPOSIÇÃO",VLOOKUP(C1842,'SINAPI_COMPOSIÇÕES 062020'!A:D,4,FALSE),VLOOKUP(C1842,'SINAPI_INSUMOS 062020'!A:D,4,FALSE))</f>
        <v>0.65</v>
      </c>
      <c r="H1842" s="75">
        <f t="shared" si="137"/>
        <v>3.99</v>
      </c>
    </row>
    <row r="1843" spans="1:8" ht="25.5" x14ac:dyDescent="0.25">
      <c r="A1843" s="125" t="s">
        <v>11958</v>
      </c>
      <c r="B1843" s="115" t="s">
        <v>11959</v>
      </c>
      <c r="C1843" s="115" t="s">
        <v>11960</v>
      </c>
      <c r="D1843" s="194" t="str">
        <f>B1847</f>
        <v>AZULEJO 30X60 RETIFICADO REF. PORTOBELLO MODERN PASTEL 26101</v>
      </c>
      <c r="E1843" s="115" t="str">
        <f>H1847</f>
        <v>M2</v>
      </c>
      <c r="F1843" s="74">
        <v>1.08</v>
      </c>
      <c r="G1843" s="217">
        <f>H1852</f>
        <v>44.89</v>
      </c>
      <c r="H1843" s="75">
        <f>TRUNC(G1843*F1843,2)</f>
        <v>48.48</v>
      </c>
    </row>
    <row r="1844" spans="1:8" ht="13.5" thickBot="1" x14ac:dyDescent="0.3">
      <c r="A1844" s="267" t="str">
        <f>CONCATENATE("TOTAL DO ÍTEM - ",A1835)</f>
        <v>TOTAL DO ÍTEM - MPMT-02569</v>
      </c>
      <c r="B1844" s="268"/>
      <c r="C1844" s="268"/>
      <c r="D1844" s="268"/>
      <c r="E1844" s="268"/>
      <c r="F1844" s="268"/>
      <c r="G1844" s="269"/>
      <c r="H1844" s="188">
        <f>TRUNC(SUM(H1839:H1843),2)</f>
        <v>70.22</v>
      </c>
    </row>
    <row r="1845" spans="1:8" ht="13.5" thickBot="1" x14ac:dyDescent="0.3">
      <c r="A1845" s="302" t="s">
        <v>12549</v>
      </c>
      <c r="B1845" s="303"/>
      <c r="C1845" s="303"/>
      <c r="D1845" s="303"/>
      <c r="E1845" s="303"/>
      <c r="F1845" s="303"/>
      <c r="G1845" s="303"/>
      <c r="H1845" s="304"/>
    </row>
    <row r="1846" spans="1:8" x14ac:dyDescent="0.25">
      <c r="A1846" s="196"/>
      <c r="B1846" s="292" t="s">
        <v>11962</v>
      </c>
      <c r="C1846" s="292"/>
      <c r="D1846" s="292"/>
      <c r="E1846" s="292"/>
      <c r="F1846" s="292"/>
      <c r="G1846" s="292"/>
      <c r="H1846" s="197" t="s">
        <v>11963</v>
      </c>
    </row>
    <row r="1847" spans="1:8" ht="13.5" thickBot="1" x14ac:dyDescent="0.3">
      <c r="A1847" s="234" t="s">
        <v>11960</v>
      </c>
      <c r="B1847" s="293" t="s">
        <v>12550</v>
      </c>
      <c r="C1847" s="293"/>
      <c r="D1847" s="293"/>
      <c r="E1847" s="293"/>
      <c r="F1847" s="293"/>
      <c r="G1847" s="293"/>
      <c r="H1847" s="235" t="s">
        <v>8</v>
      </c>
    </row>
    <row r="1848" spans="1:8" ht="25.5" x14ac:dyDescent="0.25">
      <c r="A1848" s="213" t="s">
        <v>11965</v>
      </c>
      <c r="B1848" s="241" t="s">
        <v>11966</v>
      </c>
      <c r="C1848" s="241" t="s">
        <v>11967</v>
      </c>
      <c r="D1848" s="241" t="s">
        <v>11968</v>
      </c>
      <c r="E1848" s="294" t="s">
        <v>11969</v>
      </c>
      <c r="F1848" s="294"/>
      <c r="G1848" s="241" t="s">
        <v>4</v>
      </c>
      <c r="H1848" s="214" t="s">
        <v>11970</v>
      </c>
    </row>
    <row r="1849" spans="1:8" x14ac:dyDescent="0.25">
      <c r="A1849" s="205">
        <v>44033</v>
      </c>
      <c r="B1849" s="206" t="s">
        <v>11971</v>
      </c>
      <c r="C1849" s="206" t="s">
        <v>11993</v>
      </c>
      <c r="D1849" s="206" t="s">
        <v>11979</v>
      </c>
      <c r="E1849" s="306" t="s">
        <v>12083</v>
      </c>
      <c r="F1849" s="306"/>
      <c r="G1849" s="115" t="s">
        <v>8</v>
      </c>
      <c r="H1849" s="218">
        <f>2011.65/41.17</f>
        <v>48.862035462715568</v>
      </c>
    </row>
    <row r="1850" spans="1:8" x14ac:dyDescent="0.25">
      <c r="A1850" s="205" t="s">
        <v>12551</v>
      </c>
      <c r="B1850" s="206" t="s">
        <v>11971</v>
      </c>
      <c r="C1850" s="206" t="s">
        <v>12552</v>
      </c>
      <c r="D1850" s="206" t="s">
        <v>12553</v>
      </c>
      <c r="E1850" s="295" t="s">
        <v>12554</v>
      </c>
      <c r="F1850" s="295"/>
      <c r="G1850" s="115" t="s">
        <v>8</v>
      </c>
      <c r="H1850" s="218">
        <f>1848.53/41.17</f>
        <v>44.899927131406365</v>
      </c>
    </row>
    <row r="1851" spans="1:8" x14ac:dyDescent="0.25">
      <c r="A1851" s="205" t="s">
        <v>12551</v>
      </c>
      <c r="B1851" s="206" t="s">
        <v>11971</v>
      </c>
      <c r="C1851" s="206" t="s">
        <v>12081</v>
      </c>
      <c r="D1851" s="206" t="s">
        <v>12555</v>
      </c>
      <c r="E1851" s="307" t="s">
        <v>12026</v>
      </c>
      <c r="F1851" s="307"/>
      <c r="G1851" s="115" t="s">
        <v>8</v>
      </c>
      <c r="H1851" s="208">
        <f>1601.51/41.17</f>
        <v>38.899927131406365</v>
      </c>
    </row>
    <row r="1852" spans="1:8" ht="13.5" thickBot="1" x14ac:dyDescent="0.3">
      <c r="A1852" s="296" t="s">
        <v>11981</v>
      </c>
      <c r="B1852" s="297"/>
      <c r="C1852" s="297"/>
      <c r="D1852" s="297"/>
      <c r="E1852" s="297"/>
      <c r="F1852" s="297"/>
      <c r="G1852" s="298"/>
      <c r="H1852" s="188">
        <f>TRUNC(MEDIAN(H1849:H1851),2)</f>
        <v>44.89</v>
      </c>
    </row>
    <row r="1853" spans="1:8" ht="13.5" thickBot="1" x14ac:dyDescent="0.3"/>
    <row r="1854" spans="1:8" ht="25.5" x14ac:dyDescent="0.25">
      <c r="A1854" s="120" t="s">
        <v>90</v>
      </c>
      <c r="B1854" s="286" t="s">
        <v>91</v>
      </c>
      <c r="C1854" s="287"/>
      <c r="D1854" s="287"/>
      <c r="E1854" s="287"/>
      <c r="F1854" s="287"/>
      <c r="G1854" s="288"/>
      <c r="H1854" s="121" t="s">
        <v>4</v>
      </c>
    </row>
    <row r="1855" spans="1:8" ht="13.5" thickBot="1" x14ac:dyDescent="0.3">
      <c r="A1855" s="113" t="s">
        <v>12559</v>
      </c>
      <c r="B1855" s="289" t="s">
        <v>12560</v>
      </c>
      <c r="C1855" s="290"/>
      <c r="D1855" s="290"/>
      <c r="E1855" s="290"/>
      <c r="F1855" s="290"/>
      <c r="G1855" s="291"/>
      <c r="H1855" s="114" t="s">
        <v>16</v>
      </c>
    </row>
    <row r="1856" spans="1:8" x14ac:dyDescent="0.25">
      <c r="A1856" s="273" t="s">
        <v>13834</v>
      </c>
      <c r="B1856" s="275" t="s">
        <v>92</v>
      </c>
      <c r="C1856" s="276"/>
      <c r="D1856" s="185" t="s">
        <v>12561</v>
      </c>
      <c r="E1856" s="239" t="s">
        <v>93</v>
      </c>
      <c r="F1856" s="186">
        <v>0</v>
      </c>
      <c r="G1856" s="277" t="s">
        <v>94</v>
      </c>
      <c r="H1856" s="278"/>
    </row>
    <row r="1857" spans="1:8" x14ac:dyDescent="0.25">
      <c r="A1857" s="274"/>
      <c r="B1857" s="281" t="s">
        <v>95</v>
      </c>
      <c r="C1857" s="282"/>
      <c r="D1857" s="230">
        <v>43857</v>
      </c>
      <c r="E1857" s="240" t="s">
        <v>96</v>
      </c>
      <c r="F1857" s="230">
        <v>43857</v>
      </c>
      <c r="G1857" s="279"/>
      <c r="H1857" s="280"/>
    </row>
    <row r="1858" spans="1:8" x14ac:dyDescent="0.25">
      <c r="A1858" s="122" t="s">
        <v>11885</v>
      </c>
      <c r="B1858" s="123" t="s">
        <v>97</v>
      </c>
      <c r="C1858" s="123" t="s">
        <v>98</v>
      </c>
      <c r="D1858" s="123" t="s">
        <v>3</v>
      </c>
      <c r="E1858" s="123" t="s">
        <v>4</v>
      </c>
      <c r="F1858" s="123" t="s">
        <v>99</v>
      </c>
      <c r="G1858" s="123" t="s">
        <v>100</v>
      </c>
      <c r="H1858" s="124" t="s">
        <v>101</v>
      </c>
    </row>
    <row r="1859" spans="1:8" ht="38.25" x14ac:dyDescent="0.25">
      <c r="A1859" s="125" t="s">
        <v>398</v>
      </c>
      <c r="B1859" s="115" t="s">
        <v>9</v>
      </c>
      <c r="C1859" s="115">
        <v>88248</v>
      </c>
      <c r="D1859" s="127" t="str">
        <f>IF(A1859="COMPOSIÇÃO",VLOOKUP(C1859,'SINAPI_COMPOSIÇÕES 062020'!A:B,2,FALSE),VLOOKUP(C1859,'SINAPI_INSUMOS 062020'!A:B,2,FALSE))</f>
        <v>AUXILIAR DE ENCANADOR OU BOMBEIRO HIDRÁULICO COM ENCARGOS COMPLEMENTARES</v>
      </c>
      <c r="E1859" s="126" t="str">
        <f>IF(A1859="COMPOSIÇÃO",VLOOKUP(C1859,'SINAPI_COMPOSIÇÕES 062020'!A:C,3,FALSE),VLOOKUP(C1859,'SINAPI_INSUMOS 062020'!A:C,3,FALSE))</f>
        <v>H</v>
      </c>
      <c r="F1859" s="237">
        <v>5.7000000000000002E-2</v>
      </c>
      <c r="G1859" s="128">
        <f>IF(A1859="COMPOSIÇÃO",VLOOKUP(C1859,'SINAPI_COMPOSIÇÕES 062020'!A:D,4,FALSE),VLOOKUP(C1859,'SINAPI_INSUMOS 062020'!A:D,4,FALSE))</f>
        <v>13.87</v>
      </c>
      <c r="H1859" s="75">
        <f t="shared" ref="H1859:H1862" si="138">TRUNC(G1859*F1859,2)</f>
        <v>0.79</v>
      </c>
    </row>
    <row r="1860" spans="1:8" ht="25.5" x14ac:dyDescent="0.25">
      <c r="A1860" s="125" t="s">
        <v>398</v>
      </c>
      <c r="B1860" s="115" t="s">
        <v>9</v>
      </c>
      <c r="C1860" s="115">
        <v>88267</v>
      </c>
      <c r="D1860" s="127" t="str">
        <f>IF(A1860="COMPOSIÇÃO",VLOOKUP(C1860,'SINAPI_COMPOSIÇÕES 062020'!A:B,2,FALSE),VLOOKUP(C1860,'SINAPI_INSUMOS 062020'!A:B,2,FALSE))</f>
        <v>ENCANADOR OU BOMBEIRO HIDRÁULICO COM ENCARGOS COMPLEMENTARES</v>
      </c>
      <c r="E1860" s="126" t="str">
        <f>IF(A1860="COMPOSIÇÃO",VLOOKUP(C1860,'SINAPI_COMPOSIÇÕES 062020'!A:C,3,FALSE),VLOOKUP(C1860,'SINAPI_INSUMOS 062020'!A:C,3,FALSE))</f>
        <v>H</v>
      </c>
      <c r="F1860" s="237">
        <v>5.7000000000000002E-2</v>
      </c>
      <c r="G1860" s="128">
        <f>IF(A1860="COMPOSIÇÃO",VLOOKUP(C1860,'SINAPI_COMPOSIÇÕES 062020'!A:D,4,FALSE),VLOOKUP(C1860,'SINAPI_INSUMOS 062020'!A:D,4,FALSE))</f>
        <v>17.79</v>
      </c>
      <c r="H1860" s="75">
        <f t="shared" si="138"/>
        <v>1.01</v>
      </c>
    </row>
    <row r="1861" spans="1:8" ht="51" x14ac:dyDescent="0.25">
      <c r="A1861" s="125" t="s">
        <v>400</v>
      </c>
      <c r="B1861" s="115" t="s">
        <v>9</v>
      </c>
      <c r="C1861" s="115">
        <v>39666</v>
      </c>
      <c r="D1861" s="127" t="str">
        <f>IF(A1861="COMPOSIÇÃO",VLOOKUP(C1861,'SINAPI_COMPOSIÇÕES 062020'!A:B,2,FALSE),VLOOKUP(C1861,'SINAPI_INSUMOS 062020'!A:B,2,FALSE))</f>
        <v>TUBO DE COBRE FLEXIVEL, D = 3/4 ", E = 0,79 MM, PARA AR-CONDICIONADO/ INSTALACOES GAS RESIDENCIAIS E COMERCIAIS</v>
      </c>
      <c r="E1861" s="126" t="str">
        <f>IF(A1861="COMPOSIÇÃO",VLOOKUP(C1861,'SINAPI_COMPOSIÇÕES 062020'!A:C,3,FALSE),VLOOKUP(C1861,'SINAPI_INSUMOS 062020'!A:C,3,FALSE))</f>
        <v xml:space="preserve">M     </v>
      </c>
      <c r="F1861" s="237">
        <v>1.0210999999999999</v>
      </c>
      <c r="G1861" s="128">
        <f>IF(A1861="COMPOSIÇÃO",VLOOKUP(C1861,'SINAPI_COMPOSIÇÕES 062020'!A:D,4,FALSE),VLOOKUP(C1861,'SINAPI_INSUMOS 062020'!A:D,4,FALSE))</f>
        <v>39.799999999999997</v>
      </c>
      <c r="H1861" s="75">
        <f t="shared" si="138"/>
        <v>40.630000000000003</v>
      </c>
    </row>
    <row r="1862" spans="1:8" ht="63.75" x14ac:dyDescent="0.25">
      <c r="A1862" s="125" t="s">
        <v>400</v>
      </c>
      <c r="B1862" s="115" t="s">
        <v>9</v>
      </c>
      <c r="C1862" s="115">
        <v>39715</v>
      </c>
      <c r="D1862" s="127" t="str">
        <f>IF(A1862="COMPOSIÇÃO",VLOOKUP(C1862,'SINAPI_COMPOSIÇÕES 062020'!A:B,2,FALSE),VLOOKUP(C1862,'SINAPI_INSUMOS 062020'!A:B,2,FALSE))</f>
        <v>TUBO DE ESPUMA DE POLIETILENO EXPANDIDO FLEXIVEL PARA ISOLAMENTO TERMICO DE TUBULACAO DE AR CONDICIONADO, AGUA QUENTE,  DN 3/4", E= 10 MM</v>
      </c>
      <c r="E1862" s="126" t="str">
        <f>IF(A1862="COMPOSIÇÃO",VLOOKUP(C1862,'SINAPI_COMPOSIÇÕES 062020'!A:C,3,FALSE),VLOOKUP(C1862,'SINAPI_INSUMOS 062020'!A:C,3,FALSE))</f>
        <v xml:space="preserve">M     </v>
      </c>
      <c r="F1862" s="237">
        <v>1.0210999999999999</v>
      </c>
      <c r="G1862" s="128">
        <f>IF(A1862="COMPOSIÇÃO",VLOOKUP(C1862,'SINAPI_COMPOSIÇÕES 062020'!A:D,4,FALSE),VLOOKUP(C1862,'SINAPI_INSUMOS 062020'!A:D,4,FALSE))</f>
        <v>1.48</v>
      </c>
      <c r="H1862" s="75">
        <f t="shared" si="138"/>
        <v>1.51</v>
      </c>
    </row>
    <row r="1863" spans="1:8" ht="13.5" thickBot="1" x14ac:dyDescent="0.3">
      <c r="A1863" s="267" t="str">
        <f>CONCATENATE("TOTAL DO ÍTEM - ",A1855)</f>
        <v>TOTAL DO ÍTEM - MPMT-05067</v>
      </c>
      <c r="B1863" s="268"/>
      <c r="C1863" s="268"/>
      <c r="D1863" s="268"/>
      <c r="E1863" s="268"/>
      <c r="F1863" s="268"/>
      <c r="G1863" s="269"/>
      <c r="H1863" s="188">
        <f>SUM(H1859:H1862)</f>
        <v>43.94</v>
      </c>
    </row>
    <row r="1864" spans="1:8" ht="13.5" thickBot="1" x14ac:dyDescent="0.3">
      <c r="A1864" s="299" t="s">
        <v>12562</v>
      </c>
      <c r="B1864" s="300"/>
      <c r="C1864" s="300"/>
      <c r="D1864" s="300"/>
      <c r="E1864" s="300"/>
      <c r="F1864" s="300"/>
      <c r="G1864" s="300"/>
      <c r="H1864" s="301"/>
    </row>
    <row r="1865" spans="1:8" ht="13.5" thickBot="1" x14ac:dyDescent="0.3"/>
    <row r="1866" spans="1:8" ht="25.5" x14ac:dyDescent="0.25">
      <c r="A1866" s="120" t="s">
        <v>90</v>
      </c>
      <c r="B1866" s="286" t="s">
        <v>91</v>
      </c>
      <c r="C1866" s="287"/>
      <c r="D1866" s="287"/>
      <c r="E1866" s="287"/>
      <c r="F1866" s="287"/>
      <c r="G1866" s="288"/>
      <c r="H1866" s="121" t="s">
        <v>4</v>
      </c>
    </row>
    <row r="1867" spans="1:8" ht="13.5" thickBot="1" x14ac:dyDescent="0.3">
      <c r="A1867" s="113" t="s">
        <v>12563</v>
      </c>
      <c r="B1867" s="289" t="s">
        <v>12564</v>
      </c>
      <c r="C1867" s="290"/>
      <c r="D1867" s="290"/>
      <c r="E1867" s="290"/>
      <c r="F1867" s="290"/>
      <c r="G1867" s="291"/>
      <c r="H1867" s="114" t="s">
        <v>16</v>
      </c>
    </row>
    <row r="1868" spans="1:8" x14ac:dyDescent="0.25">
      <c r="A1868" s="273" t="s">
        <v>13834</v>
      </c>
      <c r="B1868" s="275" t="s">
        <v>92</v>
      </c>
      <c r="C1868" s="276"/>
      <c r="D1868" s="185" t="s">
        <v>12565</v>
      </c>
      <c r="E1868" s="239" t="s">
        <v>93</v>
      </c>
      <c r="F1868" s="186">
        <v>0</v>
      </c>
      <c r="G1868" s="277" t="s">
        <v>94</v>
      </c>
      <c r="H1868" s="278"/>
    </row>
    <row r="1869" spans="1:8" x14ac:dyDescent="0.25">
      <c r="A1869" s="274"/>
      <c r="B1869" s="281" t="s">
        <v>95</v>
      </c>
      <c r="C1869" s="282"/>
      <c r="D1869" s="187">
        <v>43003</v>
      </c>
      <c r="E1869" s="240" t="s">
        <v>96</v>
      </c>
      <c r="F1869" s="187">
        <v>43003</v>
      </c>
      <c r="G1869" s="279"/>
      <c r="H1869" s="280"/>
    </row>
    <row r="1870" spans="1:8" x14ac:dyDescent="0.25">
      <c r="A1870" s="122" t="s">
        <v>11885</v>
      </c>
      <c r="B1870" s="123" t="s">
        <v>97</v>
      </c>
      <c r="C1870" s="123" t="s">
        <v>98</v>
      </c>
      <c r="D1870" s="123" t="s">
        <v>3</v>
      </c>
      <c r="E1870" s="123" t="s">
        <v>4</v>
      </c>
      <c r="F1870" s="123" t="s">
        <v>99</v>
      </c>
      <c r="G1870" s="123" t="s">
        <v>100</v>
      </c>
      <c r="H1870" s="124" t="s">
        <v>101</v>
      </c>
    </row>
    <row r="1871" spans="1:8" ht="25.5" x14ac:dyDescent="0.25">
      <c r="A1871" s="125" t="s">
        <v>398</v>
      </c>
      <c r="B1871" s="115" t="s">
        <v>9</v>
      </c>
      <c r="C1871" s="115">
        <v>88247</v>
      </c>
      <c r="D1871" s="127" t="str">
        <f>IF(A1871="COMPOSIÇÃO",VLOOKUP(C1871,'SINAPI_COMPOSIÇÕES 062020'!A:B,2,FALSE),VLOOKUP(C1871,'SINAPI_INSUMOS 062020'!A:B,2,FALSE))</f>
        <v>AUXILIAR DE ELETRICISTA COM ENCARGOS COMPLEMENTARES</v>
      </c>
      <c r="E1871" s="126" t="str">
        <f>IF(A1871="COMPOSIÇÃO",VLOOKUP(C1871,'SINAPI_COMPOSIÇÕES 062020'!A:C,3,FALSE),VLOOKUP(C1871,'SINAPI_INSUMOS 062020'!A:C,3,FALSE))</f>
        <v>H</v>
      </c>
      <c r="F1871" s="74">
        <v>0.03</v>
      </c>
      <c r="G1871" s="128">
        <f>IF(A1871="COMPOSIÇÃO",VLOOKUP(C1871,'SINAPI_COMPOSIÇÕES 062020'!A:D,4,FALSE),VLOOKUP(C1871,'SINAPI_INSUMOS 062020'!A:D,4,FALSE))</f>
        <v>14.33</v>
      </c>
      <c r="H1871" s="75">
        <f t="shared" ref="H1871:H1874" si="139">TRUNC(G1871*F1871,2)</f>
        <v>0.42</v>
      </c>
    </row>
    <row r="1872" spans="1:8" ht="25.5" x14ac:dyDescent="0.25">
      <c r="A1872" s="125" t="s">
        <v>398</v>
      </c>
      <c r="B1872" s="115" t="s">
        <v>9</v>
      </c>
      <c r="C1872" s="115">
        <v>88264</v>
      </c>
      <c r="D1872" s="127" t="str">
        <f>IF(A1872="COMPOSIÇÃO",VLOOKUP(C1872,'SINAPI_COMPOSIÇÕES 062020'!A:B,2,FALSE),VLOOKUP(C1872,'SINAPI_INSUMOS 062020'!A:B,2,FALSE))</f>
        <v>ELETRICISTA COM ENCARGOS COMPLEMENTARES</v>
      </c>
      <c r="E1872" s="126" t="str">
        <f>IF(A1872="COMPOSIÇÃO",VLOOKUP(C1872,'SINAPI_COMPOSIÇÕES 062020'!A:C,3,FALSE),VLOOKUP(C1872,'SINAPI_INSUMOS 062020'!A:C,3,FALSE))</f>
        <v>H</v>
      </c>
      <c r="F1872" s="74">
        <v>0.03</v>
      </c>
      <c r="G1872" s="128">
        <f>IF(A1872="COMPOSIÇÃO",VLOOKUP(C1872,'SINAPI_COMPOSIÇÕES 062020'!A:D,4,FALSE),VLOOKUP(C1872,'SINAPI_INSUMOS 062020'!A:D,4,FALSE))</f>
        <v>18.38</v>
      </c>
      <c r="H1872" s="75">
        <f t="shared" si="139"/>
        <v>0.55000000000000004</v>
      </c>
    </row>
    <row r="1873" spans="1:8" ht="25.5" x14ac:dyDescent="0.25">
      <c r="A1873" s="125" t="s">
        <v>400</v>
      </c>
      <c r="B1873" s="115" t="s">
        <v>9</v>
      </c>
      <c r="C1873" s="115">
        <v>34624</v>
      </c>
      <c r="D1873" s="127" t="str">
        <f>IF(A1873="COMPOSIÇÃO",VLOOKUP(C1873,'SINAPI_COMPOSIÇÕES 062020'!A:B,2,FALSE),VLOOKUP(C1873,'SINAPI_INSUMOS 062020'!A:B,2,FALSE))</f>
        <v>CABO FLEXIVEL PVC 750 V, 4 CONDUTORES DE 1,5 MM2</v>
      </c>
      <c r="E1873" s="126" t="str">
        <f>IF(A1873="COMPOSIÇÃO",VLOOKUP(C1873,'SINAPI_COMPOSIÇÕES 062020'!A:C,3,FALSE),VLOOKUP(C1873,'SINAPI_INSUMOS 062020'!A:C,3,FALSE))</f>
        <v xml:space="preserve">M     </v>
      </c>
      <c r="F1873" s="74">
        <v>1.19</v>
      </c>
      <c r="G1873" s="128">
        <f>IF(A1873="COMPOSIÇÃO",VLOOKUP(C1873,'SINAPI_COMPOSIÇÕES 062020'!A:D,4,FALSE),VLOOKUP(C1873,'SINAPI_INSUMOS 062020'!A:D,4,FALSE))</f>
        <v>2.0699999999999998</v>
      </c>
      <c r="H1873" s="75">
        <f t="shared" si="139"/>
        <v>2.46</v>
      </c>
    </row>
    <row r="1874" spans="1:8" ht="25.5" x14ac:dyDescent="0.25">
      <c r="A1874" s="125" t="s">
        <v>400</v>
      </c>
      <c r="B1874" s="115" t="s">
        <v>9</v>
      </c>
      <c r="C1874" s="115">
        <v>21127</v>
      </c>
      <c r="D1874" s="127" t="str">
        <f>IF(A1874="COMPOSIÇÃO",VLOOKUP(C1874,'SINAPI_COMPOSIÇÕES 062020'!A:B,2,FALSE),VLOOKUP(C1874,'SINAPI_INSUMOS 062020'!A:B,2,FALSE))</f>
        <v>FITA ISOLANTE ADESIVA ANTICHAMA, USO ATE 750 V, EM ROLO DE 19 MM X 5 M</v>
      </c>
      <c r="E1874" s="126" t="str">
        <f>IF(A1874="COMPOSIÇÃO",VLOOKUP(C1874,'SINAPI_COMPOSIÇÕES 062020'!A:C,3,FALSE),VLOOKUP(C1874,'SINAPI_INSUMOS 062020'!A:C,3,FALSE))</f>
        <v xml:space="preserve">UN    </v>
      </c>
      <c r="F1874" s="74">
        <v>8.9999999999999993E-3</v>
      </c>
      <c r="G1874" s="128">
        <f>IF(A1874="COMPOSIÇÃO",VLOOKUP(C1874,'SINAPI_COMPOSIÇÕES 062020'!A:D,4,FALSE),VLOOKUP(C1874,'SINAPI_INSUMOS 062020'!A:D,4,FALSE))</f>
        <v>3.74</v>
      </c>
      <c r="H1874" s="75">
        <f t="shared" si="139"/>
        <v>0.03</v>
      </c>
    </row>
    <row r="1875" spans="1:8" ht="13.5" thickBot="1" x14ac:dyDescent="0.3">
      <c r="A1875" s="267" t="str">
        <f>CONCATENATE("TOTAL DO ÍTEM - ",A1867)</f>
        <v>TOTAL DO ÍTEM - MPMT-03422</v>
      </c>
      <c r="B1875" s="268"/>
      <c r="C1875" s="268"/>
      <c r="D1875" s="268"/>
      <c r="E1875" s="268"/>
      <c r="F1875" s="268"/>
      <c r="G1875" s="269"/>
      <c r="H1875" s="188">
        <f>TRUNC(SUM(H1871:H1874),2)</f>
        <v>3.46</v>
      </c>
    </row>
    <row r="1876" spans="1:8" ht="13.5" thickBot="1" x14ac:dyDescent="0.3">
      <c r="A1876" s="299" t="s">
        <v>12566</v>
      </c>
      <c r="B1876" s="300"/>
      <c r="C1876" s="300"/>
      <c r="D1876" s="300"/>
      <c r="E1876" s="300"/>
      <c r="F1876" s="300"/>
      <c r="G1876" s="300"/>
      <c r="H1876" s="301"/>
    </row>
    <row r="1877" spans="1:8" ht="13.5" thickBot="1" x14ac:dyDescent="0.3">
      <c r="A1877" s="371"/>
      <c r="B1877" s="371"/>
      <c r="C1877" s="371"/>
      <c r="D1877" s="372"/>
      <c r="E1877" s="371"/>
      <c r="F1877" s="373"/>
      <c r="G1877" s="373"/>
      <c r="H1877" s="373"/>
    </row>
    <row r="1878" spans="1:8" ht="25.5" x14ac:dyDescent="0.25">
      <c r="A1878" s="120" t="s">
        <v>90</v>
      </c>
      <c r="B1878" s="286" t="s">
        <v>91</v>
      </c>
      <c r="C1878" s="287"/>
      <c r="D1878" s="287"/>
      <c r="E1878" s="287"/>
      <c r="F1878" s="287"/>
      <c r="G1878" s="288"/>
      <c r="H1878" s="121" t="s">
        <v>4</v>
      </c>
    </row>
    <row r="1879" spans="1:8" ht="13.5" thickBot="1" x14ac:dyDescent="0.3">
      <c r="A1879" s="113" t="s">
        <v>12567</v>
      </c>
      <c r="B1879" s="289" t="s">
        <v>12568</v>
      </c>
      <c r="C1879" s="290"/>
      <c r="D1879" s="290"/>
      <c r="E1879" s="290"/>
      <c r="F1879" s="290"/>
      <c r="G1879" s="291"/>
      <c r="H1879" s="114" t="s">
        <v>4</v>
      </c>
    </row>
    <row r="1880" spans="1:8" x14ac:dyDescent="0.25">
      <c r="A1880" s="273" t="s">
        <v>13834</v>
      </c>
      <c r="B1880" s="275" t="s">
        <v>92</v>
      </c>
      <c r="C1880" s="276"/>
      <c r="D1880" s="185" t="s">
        <v>12569</v>
      </c>
      <c r="E1880" s="239" t="s">
        <v>93</v>
      </c>
      <c r="F1880" s="186">
        <v>0</v>
      </c>
      <c r="G1880" s="277" t="s">
        <v>94</v>
      </c>
      <c r="H1880" s="278"/>
    </row>
    <row r="1881" spans="1:8" x14ac:dyDescent="0.25">
      <c r="A1881" s="274"/>
      <c r="B1881" s="281" t="s">
        <v>95</v>
      </c>
      <c r="C1881" s="282"/>
      <c r="D1881" s="230">
        <v>43865</v>
      </c>
      <c r="E1881" s="240" t="s">
        <v>96</v>
      </c>
      <c r="F1881" s="230">
        <v>43865</v>
      </c>
      <c r="G1881" s="279"/>
      <c r="H1881" s="280"/>
    </row>
    <row r="1882" spans="1:8" x14ac:dyDescent="0.25">
      <c r="A1882" s="122" t="s">
        <v>11885</v>
      </c>
      <c r="B1882" s="123" t="s">
        <v>97</v>
      </c>
      <c r="C1882" s="123" t="s">
        <v>98</v>
      </c>
      <c r="D1882" s="123" t="s">
        <v>3</v>
      </c>
      <c r="E1882" s="123" t="s">
        <v>4</v>
      </c>
      <c r="F1882" s="123" t="s">
        <v>99</v>
      </c>
      <c r="G1882" s="123" t="s">
        <v>100</v>
      </c>
      <c r="H1882" s="124" t="s">
        <v>101</v>
      </c>
    </row>
    <row r="1883" spans="1:8" ht="25.5" x14ac:dyDescent="0.25">
      <c r="A1883" s="125" t="s">
        <v>398</v>
      </c>
      <c r="B1883" s="115" t="s">
        <v>9</v>
      </c>
      <c r="C1883" s="115">
        <v>88264</v>
      </c>
      <c r="D1883" s="127" t="str">
        <f>IF(A1883="COMPOSIÇÃO",VLOOKUP(C1883,'SINAPI_COMPOSIÇÕES 062020'!A:B,2,FALSE),VLOOKUP(C1883,'SINAPI_INSUMOS 062020'!A:B,2,FALSE))</f>
        <v>ELETRICISTA COM ENCARGOS COMPLEMENTARES</v>
      </c>
      <c r="E1883" s="126" t="str">
        <f>IF(A1883="COMPOSIÇÃO",VLOOKUP(C1883,'SINAPI_COMPOSIÇÕES 062020'!A:C,3,FALSE),VLOOKUP(C1883,'SINAPI_INSUMOS 062020'!A:C,3,FALSE))</f>
        <v>H</v>
      </c>
      <c r="F1883" s="233">
        <v>3</v>
      </c>
      <c r="G1883" s="128">
        <f>IF(A1883="COMPOSIÇÃO",VLOOKUP(C1883,'SINAPI_COMPOSIÇÕES 062020'!A:D,4,FALSE),VLOOKUP(C1883,'SINAPI_INSUMOS 062020'!A:D,4,FALSE))</f>
        <v>18.38</v>
      </c>
      <c r="H1883" s="75">
        <f t="shared" ref="H1883:H1884" si="140">TRUNC(G1883*F1883,2)</f>
        <v>55.14</v>
      </c>
    </row>
    <row r="1884" spans="1:8" ht="25.5" x14ac:dyDescent="0.25">
      <c r="A1884" s="125" t="s">
        <v>398</v>
      </c>
      <c r="B1884" s="115" t="s">
        <v>9</v>
      </c>
      <c r="C1884" s="115">
        <v>88247</v>
      </c>
      <c r="D1884" s="127" t="str">
        <f>IF(A1884="COMPOSIÇÃO",VLOOKUP(C1884,'SINAPI_COMPOSIÇÕES 062020'!A:B,2,FALSE),VLOOKUP(C1884,'SINAPI_INSUMOS 062020'!A:B,2,FALSE))</f>
        <v>AUXILIAR DE ELETRICISTA COM ENCARGOS COMPLEMENTARES</v>
      </c>
      <c r="E1884" s="126" t="str">
        <f>IF(A1884="COMPOSIÇÃO",VLOOKUP(C1884,'SINAPI_COMPOSIÇÕES 062020'!A:C,3,FALSE),VLOOKUP(C1884,'SINAPI_INSUMOS 062020'!A:C,3,FALSE))</f>
        <v>H</v>
      </c>
      <c r="F1884" s="233">
        <v>3</v>
      </c>
      <c r="G1884" s="128">
        <f>IF(A1884="COMPOSIÇÃO",VLOOKUP(C1884,'SINAPI_COMPOSIÇÕES 062020'!A:D,4,FALSE),VLOOKUP(C1884,'SINAPI_INSUMOS 062020'!A:D,4,FALSE))</f>
        <v>14.33</v>
      </c>
      <c r="H1884" s="75">
        <f t="shared" si="140"/>
        <v>42.99</v>
      </c>
    </row>
    <row r="1885" spans="1:8" ht="25.5" x14ac:dyDescent="0.25">
      <c r="A1885" s="125" t="s">
        <v>11958</v>
      </c>
      <c r="B1885" s="115" t="s">
        <v>11959</v>
      </c>
      <c r="C1885" s="115" t="s">
        <v>11960</v>
      </c>
      <c r="D1885" s="194" t="str">
        <f>B1889</f>
        <v>SUPORTE CONDENSADORA, CAP. ATÉ 105KG/PAR, 600MM</v>
      </c>
      <c r="E1885" s="115" t="str">
        <f>H1889</f>
        <v>PAR</v>
      </c>
      <c r="F1885" s="233">
        <v>1</v>
      </c>
      <c r="G1885" s="195">
        <f>H1894</f>
        <v>66.510000000000005</v>
      </c>
      <c r="H1885" s="222">
        <f t="shared" ref="H1885" si="141">G1885*F1885</f>
        <v>66.510000000000005</v>
      </c>
    </row>
    <row r="1886" spans="1:8" ht="13.5" thickBot="1" x14ac:dyDescent="0.3">
      <c r="A1886" s="267" t="str">
        <f>CONCATENATE("TOTAL DO ÍTEM - ",A1879)</f>
        <v>TOTAL DO ÍTEM - MPMT-05105</v>
      </c>
      <c r="B1886" s="268"/>
      <c r="C1886" s="268"/>
      <c r="D1886" s="268"/>
      <c r="E1886" s="268"/>
      <c r="F1886" s="268"/>
      <c r="G1886" s="269"/>
      <c r="H1886" s="188">
        <f>SUM(H1883:H1885)</f>
        <v>164.64</v>
      </c>
    </row>
    <row r="1887" spans="1:8" ht="13.5" thickBot="1" x14ac:dyDescent="0.3">
      <c r="A1887" s="299" t="s">
        <v>12570</v>
      </c>
      <c r="B1887" s="300"/>
      <c r="C1887" s="300"/>
      <c r="D1887" s="300"/>
      <c r="E1887" s="300"/>
      <c r="F1887" s="300"/>
      <c r="G1887" s="300"/>
      <c r="H1887" s="301"/>
    </row>
    <row r="1888" spans="1:8" ht="13.5" thickBot="1" x14ac:dyDescent="0.3">
      <c r="A1888" s="317" t="s">
        <v>12483</v>
      </c>
      <c r="B1888" s="318"/>
      <c r="C1888" s="318"/>
      <c r="D1888" s="318"/>
      <c r="E1888" s="318"/>
      <c r="F1888" s="318"/>
      <c r="G1888" s="318"/>
      <c r="H1888" s="319"/>
    </row>
    <row r="1889" spans="1:8" ht="13.5" thickBot="1" x14ac:dyDescent="0.3">
      <c r="A1889" s="234" t="s">
        <v>11960</v>
      </c>
      <c r="B1889" s="293" t="s">
        <v>12571</v>
      </c>
      <c r="C1889" s="293"/>
      <c r="D1889" s="293"/>
      <c r="E1889" s="293"/>
      <c r="F1889" s="293"/>
      <c r="G1889" s="293"/>
      <c r="H1889" s="235" t="s">
        <v>12572</v>
      </c>
    </row>
    <row r="1890" spans="1:8" ht="25.5" x14ac:dyDescent="0.25">
      <c r="A1890" s="213" t="s">
        <v>11965</v>
      </c>
      <c r="B1890" s="241" t="s">
        <v>11966</v>
      </c>
      <c r="C1890" s="241" t="s">
        <v>11967</v>
      </c>
      <c r="D1890" s="241" t="s">
        <v>11968</v>
      </c>
      <c r="E1890" s="294" t="s">
        <v>11969</v>
      </c>
      <c r="F1890" s="294"/>
      <c r="G1890" s="241" t="s">
        <v>4</v>
      </c>
      <c r="H1890" s="214" t="s">
        <v>11970</v>
      </c>
    </row>
    <row r="1891" spans="1:8" x14ac:dyDescent="0.25">
      <c r="A1891" s="205">
        <v>43859</v>
      </c>
      <c r="B1891" s="206" t="s">
        <v>11971</v>
      </c>
      <c r="C1891" s="206" t="s">
        <v>12573</v>
      </c>
      <c r="D1891" s="219" t="s">
        <v>12574</v>
      </c>
      <c r="E1891" s="295" t="s">
        <v>12575</v>
      </c>
      <c r="F1891" s="295"/>
      <c r="G1891" s="115" t="s">
        <v>12572</v>
      </c>
      <c r="H1891" s="218">
        <f>266.06/4</f>
        <v>66.515000000000001</v>
      </c>
    </row>
    <row r="1892" spans="1:8" x14ac:dyDescent="0.25">
      <c r="A1892" s="205">
        <v>43859</v>
      </c>
      <c r="B1892" s="206" t="s">
        <v>11971</v>
      </c>
      <c r="C1892" s="206" t="s">
        <v>12576</v>
      </c>
      <c r="D1892" s="236" t="s">
        <v>12577</v>
      </c>
      <c r="E1892" s="295" t="s">
        <v>12578</v>
      </c>
      <c r="F1892" s="295"/>
      <c r="G1892" s="115" t="s">
        <v>12572</v>
      </c>
      <c r="H1892" s="218">
        <f>4255.42/50</f>
        <v>85.108400000000003</v>
      </c>
    </row>
    <row r="1893" spans="1:8" x14ac:dyDescent="0.25">
      <c r="A1893" s="205"/>
      <c r="B1893" s="206"/>
      <c r="C1893" s="206"/>
      <c r="D1893" s="219"/>
      <c r="E1893" s="295"/>
      <c r="F1893" s="295"/>
      <c r="G1893" s="115" t="s">
        <v>12572</v>
      </c>
      <c r="H1893" s="218">
        <v>0</v>
      </c>
    </row>
    <row r="1894" spans="1:8" ht="13.5" thickBot="1" x14ac:dyDescent="0.3">
      <c r="A1894" s="296" t="s">
        <v>11981</v>
      </c>
      <c r="B1894" s="297"/>
      <c r="C1894" s="297"/>
      <c r="D1894" s="297"/>
      <c r="E1894" s="297"/>
      <c r="F1894" s="297"/>
      <c r="G1894" s="298"/>
      <c r="H1894" s="188">
        <f>TRUNC(MEDIAN(H1891:H1893),2)</f>
        <v>66.510000000000005</v>
      </c>
    </row>
    <row r="1895" spans="1:8" ht="13.5" thickBot="1" x14ac:dyDescent="0.3"/>
    <row r="1896" spans="1:8" ht="25.5" x14ac:dyDescent="0.25">
      <c r="A1896" s="120" t="s">
        <v>90</v>
      </c>
      <c r="B1896" s="286" t="s">
        <v>91</v>
      </c>
      <c r="C1896" s="287"/>
      <c r="D1896" s="287"/>
      <c r="E1896" s="287"/>
      <c r="F1896" s="287"/>
      <c r="G1896" s="288"/>
      <c r="H1896" s="121" t="s">
        <v>4</v>
      </c>
    </row>
    <row r="1897" spans="1:8" ht="13.5" thickBot="1" x14ac:dyDescent="0.3">
      <c r="A1897" s="113" t="s">
        <v>12579</v>
      </c>
      <c r="B1897" s="289" t="s">
        <v>12580</v>
      </c>
      <c r="C1897" s="290"/>
      <c r="D1897" s="290"/>
      <c r="E1897" s="290"/>
      <c r="F1897" s="290"/>
      <c r="G1897" s="291"/>
      <c r="H1897" s="114" t="s">
        <v>4</v>
      </c>
    </row>
    <row r="1898" spans="1:8" x14ac:dyDescent="0.25">
      <c r="A1898" s="273" t="s">
        <v>13834</v>
      </c>
      <c r="B1898" s="275" t="s">
        <v>92</v>
      </c>
      <c r="C1898" s="276"/>
      <c r="D1898" s="185" t="s">
        <v>12569</v>
      </c>
      <c r="E1898" s="239" t="s">
        <v>93</v>
      </c>
      <c r="F1898" s="186">
        <v>0</v>
      </c>
      <c r="G1898" s="277" t="s">
        <v>94</v>
      </c>
      <c r="H1898" s="278"/>
    </row>
    <row r="1899" spans="1:8" x14ac:dyDescent="0.25">
      <c r="A1899" s="274"/>
      <c r="B1899" s="281" t="s">
        <v>95</v>
      </c>
      <c r="C1899" s="282"/>
      <c r="D1899" s="230">
        <v>43865</v>
      </c>
      <c r="E1899" s="240" t="s">
        <v>96</v>
      </c>
      <c r="F1899" s="230">
        <v>43865</v>
      </c>
      <c r="G1899" s="279"/>
      <c r="H1899" s="280"/>
    </row>
    <row r="1900" spans="1:8" x14ac:dyDescent="0.25">
      <c r="A1900" s="122" t="s">
        <v>11885</v>
      </c>
      <c r="B1900" s="123" t="s">
        <v>97</v>
      </c>
      <c r="C1900" s="123" t="s">
        <v>98</v>
      </c>
      <c r="D1900" s="123" t="s">
        <v>3</v>
      </c>
      <c r="E1900" s="123" t="s">
        <v>4</v>
      </c>
      <c r="F1900" s="123" t="s">
        <v>99</v>
      </c>
      <c r="G1900" s="123" t="s">
        <v>100</v>
      </c>
      <c r="H1900" s="124" t="s">
        <v>101</v>
      </c>
    </row>
    <row r="1901" spans="1:8" ht="25.5" x14ac:dyDescent="0.25">
      <c r="A1901" s="125" t="s">
        <v>398</v>
      </c>
      <c r="B1901" s="115" t="s">
        <v>9</v>
      </c>
      <c r="C1901" s="115">
        <v>88264</v>
      </c>
      <c r="D1901" s="127" t="str">
        <f>IF(A1901="COMPOSIÇÃO",VLOOKUP(C1901,'SINAPI_COMPOSIÇÕES 062020'!A:B,2,FALSE),VLOOKUP(C1901,'SINAPI_INSUMOS 062020'!A:B,2,FALSE))</f>
        <v>ELETRICISTA COM ENCARGOS COMPLEMENTARES</v>
      </c>
      <c r="E1901" s="126" t="str">
        <f>IF(A1901="COMPOSIÇÃO",VLOOKUP(C1901,'SINAPI_COMPOSIÇÕES 062020'!A:C,3,FALSE),VLOOKUP(C1901,'SINAPI_INSUMOS 062020'!A:C,3,FALSE))</f>
        <v>H</v>
      </c>
      <c r="F1901" s="233">
        <v>3</v>
      </c>
      <c r="G1901" s="128">
        <f>IF(A1901="COMPOSIÇÃO",VLOOKUP(C1901,'SINAPI_COMPOSIÇÕES 062020'!A:D,4,FALSE),VLOOKUP(C1901,'SINAPI_INSUMOS 062020'!A:D,4,FALSE))</f>
        <v>18.38</v>
      </c>
      <c r="H1901" s="75">
        <f t="shared" ref="H1901:H1902" si="142">TRUNC(G1901*F1901,2)</f>
        <v>55.14</v>
      </c>
    </row>
    <row r="1902" spans="1:8" ht="25.5" x14ac:dyDescent="0.25">
      <c r="A1902" s="125" t="s">
        <v>398</v>
      </c>
      <c r="B1902" s="115" t="s">
        <v>9</v>
      </c>
      <c r="C1902" s="115">
        <v>88247</v>
      </c>
      <c r="D1902" s="127" t="str">
        <f>IF(A1902="COMPOSIÇÃO",VLOOKUP(C1902,'SINAPI_COMPOSIÇÕES 062020'!A:B,2,FALSE),VLOOKUP(C1902,'SINAPI_INSUMOS 062020'!A:B,2,FALSE))</f>
        <v>AUXILIAR DE ELETRICISTA COM ENCARGOS COMPLEMENTARES</v>
      </c>
      <c r="E1902" s="126" t="str">
        <f>IF(A1902="COMPOSIÇÃO",VLOOKUP(C1902,'SINAPI_COMPOSIÇÕES 062020'!A:C,3,FALSE),VLOOKUP(C1902,'SINAPI_INSUMOS 062020'!A:C,3,FALSE))</f>
        <v>H</v>
      </c>
      <c r="F1902" s="233">
        <v>3</v>
      </c>
      <c r="G1902" s="128">
        <f>IF(A1902="COMPOSIÇÃO",VLOOKUP(C1902,'SINAPI_COMPOSIÇÕES 062020'!A:D,4,FALSE),VLOOKUP(C1902,'SINAPI_INSUMOS 062020'!A:D,4,FALSE))</f>
        <v>14.33</v>
      </c>
      <c r="H1902" s="75">
        <f t="shared" si="142"/>
        <v>42.99</v>
      </c>
    </row>
    <row r="1903" spans="1:8" ht="25.5" x14ac:dyDescent="0.25">
      <c r="A1903" s="125" t="s">
        <v>11958</v>
      </c>
      <c r="B1903" s="115" t="s">
        <v>11959</v>
      </c>
      <c r="C1903" s="115" t="s">
        <v>11960</v>
      </c>
      <c r="D1903" s="194" t="str">
        <f>B1907</f>
        <v>SUPORTE CONDENSADORA, CAP. ATÉ 105KG/PAR, 600MM</v>
      </c>
      <c r="E1903" s="115" t="str">
        <f>H1907</f>
        <v>PAR</v>
      </c>
      <c r="F1903" s="233">
        <v>1</v>
      </c>
      <c r="G1903" s="195">
        <f>H1912</f>
        <v>66.510000000000005</v>
      </c>
      <c r="H1903" s="222">
        <f t="shared" ref="H1903" si="143">G1903*F1903</f>
        <v>66.510000000000005</v>
      </c>
    </row>
    <row r="1904" spans="1:8" ht="13.5" thickBot="1" x14ac:dyDescent="0.3">
      <c r="A1904" s="267" t="str">
        <f>CONCATENATE("TOTAL DO ÍTEM - ",A1897)</f>
        <v>TOTAL DO ÍTEM - MPMT-05106</v>
      </c>
      <c r="B1904" s="268"/>
      <c r="C1904" s="268"/>
      <c r="D1904" s="268"/>
      <c r="E1904" s="268"/>
      <c r="F1904" s="268"/>
      <c r="G1904" s="269"/>
      <c r="H1904" s="188">
        <f>SUM(H1901:H1903)</f>
        <v>164.64</v>
      </c>
    </row>
    <row r="1905" spans="1:8" ht="13.5" thickBot="1" x14ac:dyDescent="0.3">
      <c r="A1905" s="299" t="s">
        <v>12570</v>
      </c>
      <c r="B1905" s="300"/>
      <c r="C1905" s="300"/>
      <c r="D1905" s="300"/>
      <c r="E1905" s="300"/>
      <c r="F1905" s="300"/>
      <c r="G1905" s="300"/>
      <c r="H1905" s="301"/>
    </row>
    <row r="1906" spans="1:8" ht="13.5" thickBot="1" x14ac:dyDescent="0.3">
      <c r="A1906" s="317" t="s">
        <v>12483</v>
      </c>
      <c r="B1906" s="318"/>
      <c r="C1906" s="318"/>
      <c r="D1906" s="318"/>
      <c r="E1906" s="318"/>
      <c r="F1906" s="318"/>
      <c r="G1906" s="318"/>
      <c r="H1906" s="319"/>
    </row>
    <row r="1907" spans="1:8" ht="13.5" thickBot="1" x14ac:dyDescent="0.3">
      <c r="A1907" s="234" t="s">
        <v>11960</v>
      </c>
      <c r="B1907" s="293" t="s">
        <v>12571</v>
      </c>
      <c r="C1907" s="293"/>
      <c r="D1907" s="293"/>
      <c r="E1907" s="293"/>
      <c r="F1907" s="293"/>
      <c r="G1907" s="293"/>
      <c r="H1907" s="235" t="s">
        <v>12572</v>
      </c>
    </row>
    <row r="1908" spans="1:8" ht="25.5" x14ac:dyDescent="0.25">
      <c r="A1908" s="213" t="s">
        <v>11965</v>
      </c>
      <c r="B1908" s="241" t="s">
        <v>11966</v>
      </c>
      <c r="C1908" s="241" t="s">
        <v>11967</v>
      </c>
      <c r="D1908" s="241" t="s">
        <v>11968</v>
      </c>
      <c r="E1908" s="294" t="s">
        <v>11969</v>
      </c>
      <c r="F1908" s="294"/>
      <c r="G1908" s="241" t="s">
        <v>4</v>
      </c>
      <c r="H1908" s="214" t="s">
        <v>11970</v>
      </c>
    </row>
    <row r="1909" spans="1:8" x14ac:dyDescent="0.25">
      <c r="A1909" s="205">
        <v>43859</v>
      </c>
      <c r="B1909" s="206" t="s">
        <v>11971</v>
      </c>
      <c r="C1909" s="206" t="s">
        <v>12573</v>
      </c>
      <c r="D1909" s="219" t="s">
        <v>12574</v>
      </c>
      <c r="E1909" s="295" t="s">
        <v>12575</v>
      </c>
      <c r="F1909" s="295"/>
      <c r="G1909" s="115" t="s">
        <v>12572</v>
      </c>
      <c r="H1909" s="218">
        <f>266.06/4</f>
        <v>66.515000000000001</v>
      </c>
    </row>
    <row r="1910" spans="1:8" x14ac:dyDescent="0.25">
      <c r="A1910" s="205">
        <v>43859</v>
      </c>
      <c r="B1910" s="206" t="s">
        <v>11971</v>
      </c>
      <c r="C1910" s="206" t="s">
        <v>12576</v>
      </c>
      <c r="D1910" s="236" t="s">
        <v>12577</v>
      </c>
      <c r="E1910" s="295" t="s">
        <v>12578</v>
      </c>
      <c r="F1910" s="295"/>
      <c r="G1910" s="115" t="s">
        <v>12572</v>
      </c>
      <c r="H1910" s="218">
        <f>4255.42/50</f>
        <v>85.108400000000003</v>
      </c>
    </row>
    <row r="1911" spans="1:8" x14ac:dyDescent="0.25">
      <c r="A1911" s="205"/>
      <c r="B1911" s="206"/>
      <c r="C1911" s="206"/>
      <c r="D1911" s="219"/>
      <c r="E1911" s="295"/>
      <c r="F1911" s="295"/>
      <c r="G1911" s="115" t="s">
        <v>12572</v>
      </c>
      <c r="H1911" s="218">
        <v>0</v>
      </c>
    </row>
    <row r="1912" spans="1:8" ht="13.5" thickBot="1" x14ac:dyDescent="0.3">
      <c r="A1912" s="296" t="s">
        <v>11981</v>
      </c>
      <c r="B1912" s="297"/>
      <c r="C1912" s="297"/>
      <c r="D1912" s="297"/>
      <c r="E1912" s="297"/>
      <c r="F1912" s="297"/>
      <c r="G1912" s="298"/>
      <c r="H1912" s="188">
        <f>TRUNC(MEDIAN(H1909:H1911),2)</f>
        <v>66.510000000000005</v>
      </c>
    </row>
    <row r="1913" spans="1:8" ht="13.5" thickBot="1" x14ac:dyDescent="0.3"/>
    <row r="1914" spans="1:8" ht="25.5" x14ac:dyDescent="0.25">
      <c r="A1914" s="120" t="s">
        <v>90</v>
      </c>
      <c r="B1914" s="286" t="s">
        <v>91</v>
      </c>
      <c r="C1914" s="287"/>
      <c r="D1914" s="287"/>
      <c r="E1914" s="287"/>
      <c r="F1914" s="287"/>
      <c r="G1914" s="288"/>
      <c r="H1914" s="121" t="s">
        <v>4</v>
      </c>
    </row>
    <row r="1915" spans="1:8" ht="13.5" thickBot="1" x14ac:dyDescent="0.3">
      <c r="A1915" s="113" t="s">
        <v>12581</v>
      </c>
      <c r="B1915" s="289" t="s">
        <v>12582</v>
      </c>
      <c r="C1915" s="290"/>
      <c r="D1915" s="290"/>
      <c r="E1915" s="290"/>
      <c r="F1915" s="290"/>
      <c r="G1915" s="291"/>
      <c r="H1915" s="114" t="s">
        <v>4</v>
      </c>
    </row>
    <row r="1916" spans="1:8" x14ac:dyDescent="0.25">
      <c r="A1916" s="273" t="s">
        <v>13834</v>
      </c>
      <c r="B1916" s="275" t="s">
        <v>92</v>
      </c>
      <c r="C1916" s="276"/>
      <c r="D1916" s="185" t="s">
        <v>12583</v>
      </c>
      <c r="E1916" s="239" t="s">
        <v>93</v>
      </c>
      <c r="F1916" s="186">
        <v>0</v>
      </c>
      <c r="G1916" s="277" t="s">
        <v>94</v>
      </c>
      <c r="H1916" s="278"/>
    </row>
    <row r="1917" spans="1:8" x14ac:dyDescent="0.25">
      <c r="A1917" s="274"/>
      <c r="B1917" s="281" t="s">
        <v>95</v>
      </c>
      <c r="C1917" s="282"/>
      <c r="D1917" s="230">
        <v>43865</v>
      </c>
      <c r="E1917" s="240" t="s">
        <v>96</v>
      </c>
      <c r="F1917" s="230">
        <v>43865</v>
      </c>
      <c r="G1917" s="279"/>
      <c r="H1917" s="280"/>
    </row>
    <row r="1918" spans="1:8" x14ac:dyDescent="0.25">
      <c r="A1918" s="122" t="s">
        <v>11885</v>
      </c>
      <c r="B1918" s="123" t="s">
        <v>97</v>
      </c>
      <c r="C1918" s="123" t="s">
        <v>98</v>
      </c>
      <c r="D1918" s="123" t="s">
        <v>3</v>
      </c>
      <c r="E1918" s="123" t="s">
        <v>4</v>
      </c>
      <c r="F1918" s="123" t="s">
        <v>99</v>
      </c>
      <c r="G1918" s="123" t="s">
        <v>100</v>
      </c>
      <c r="H1918" s="124" t="s">
        <v>101</v>
      </c>
    </row>
    <row r="1919" spans="1:8" ht="25.5" x14ac:dyDescent="0.25">
      <c r="A1919" s="125" t="s">
        <v>398</v>
      </c>
      <c r="B1919" s="115" t="s">
        <v>9</v>
      </c>
      <c r="C1919" s="115">
        <v>88264</v>
      </c>
      <c r="D1919" s="127" t="str">
        <f>IF(A1919="COMPOSIÇÃO",VLOOKUP(C1919,'SINAPI_COMPOSIÇÕES 062020'!A:B,2,FALSE),VLOOKUP(C1919,'SINAPI_INSUMOS 062020'!A:B,2,FALSE))</f>
        <v>ELETRICISTA COM ENCARGOS COMPLEMENTARES</v>
      </c>
      <c r="E1919" s="126" t="str">
        <f>IF(A1919="COMPOSIÇÃO",VLOOKUP(C1919,'SINAPI_COMPOSIÇÕES 062020'!A:C,3,FALSE),VLOOKUP(C1919,'SINAPI_INSUMOS 062020'!A:C,3,FALSE))</f>
        <v>H</v>
      </c>
      <c r="F1919" s="233">
        <v>3</v>
      </c>
      <c r="G1919" s="128">
        <f>IF(A1919="COMPOSIÇÃO",VLOOKUP(C1919,'SINAPI_COMPOSIÇÕES 062020'!A:D,4,FALSE),VLOOKUP(C1919,'SINAPI_INSUMOS 062020'!A:D,4,FALSE))</f>
        <v>18.38</v>
      </c>
      <c r="H1919" s="75">
        <f t="shared" ref="H1919:H1920" si="144">TRUNC(G1919*F1919,2)</f>
        <v>55.14</v>
      </c>
    </row>
    <row r="1920" spans="1:8" ht="25.5" x14ac:dyDescent="0.25">
      <c r="A1920" s="125" t="s">
        <v>398</v>
      </c>
      <c r="B1920" s="115" t="s">
        <v>9</v>
      </c>
      <c r="C1920" s="115">
        <v>88247</v>
      </c>
      <c r="D1920" s="127" t="str">
        <f>IF(A1920="COMPOSIÇÃO",VLOOKUP(C1920,'SINAPI_COMPOSIÇÕES 062020'!A:B,2,FALSE),VLOOKUP(C1920,'SINAPI_INSUMOS 062020'!A:B,2,FALSE))</f>
        <v>AUXILIAR DE ELETRICISTA COM ENCARGOS COMPLEMENTARES</v>
      </c>
      <c r="E1920" s="126" t="str">
        <f>IF(A1920="COMPOSIÇÃO",VLOOKUP(C1920,'SINAPI_COMPOSIÇÕES 062020'!A:C,3,FALSE),VLOOKUP(C1920,'SINAPI_INSUMOS 062020'!A:C,3,FALSE))</f>
        <v>H</v>
      </c>
      <c r="F1920" s="233">
        <v>3</v>
      </c>
      <c r="G1920" s="128">
        <f>IF(A1920="COMPOSIÇÃO",VLOOKUP(C1920,'SINAPI_COMPOSIÇÕES 062020'!A:D,4,FALSE),VLOOKUP(C1920,'SINAPI_INSUMOS 062020'!A:D,4,FALSE))</f>
        <v>14.33</v>
      </c>
      <c r="H1920" s="75">
        <f t="shared" si="144"/>
        <v>42.99</v>
      </c>
    </row>
    <row r="1921" spans="1:8" ht="25.5" x14ac:dyDescent="0.25">
      <c r="A1921" s="125" t="s">
        <v>11958</v>
      </c>
      <c r="B1921" s="115" t="s">
        <v>11959</v>
      </c>
      <c r="C1921" s="115" t="s">
        <v>11960</v>
      </c>
      <c r="D1921" s="194" t="str">
        <f>B1925</f>
        <v>SUPORTE CONDENSADORA, CAP. ATÉ 105KG/PAR, 600MM</v>
      </c>
      <c r="E1921" s="115" t="str">
        <f>H1925</f>
        <v>PAR</v>
      </c>
      <c r="F1921" s="233">
        <v>1</v>
      </c>
      <c r="G1921" s="195">
        <f>H1930</f>
        <v>66.510000000000005</v>
      </c>
      <c r="H1921" s="222">
        <f t="shared" ref="H1921" si="145">G1921*F1921</f>
        <v>66.510000000000005</v>
      </c>
    </row>
    <row r="1922" spans="1:8" ht="13.5" thickBot="1" x14ac:dyDescent="0.3">
      <c r="A1922" s="267" t="str">
        <f>CONCATENATE("TOTAL DO ÍTEM - ",A1915)</f>
        <v>TOTAL DO ÍTEM - MPMT-05107</v>
      </c>
      <c r="B1922" s="268"/>
      <c r="C1922" s="268"/>
      <c r="D1922" s="268"/>
      <c r="E1922" s="268"/>
      <c r="F1922" s="268"/>
      <c r="G1922" s="269"/>
      <c r="H1922" s="188">
        <f>SUM(H1919:H1921)</f>
        <v>164.64</v>
      </c>
    </row>
    <row r="1923" spans="1:8" ht="13.5" thickBot="1" x14ac:dyDescent="0.3">
      <c r="A1923" s="299" t="s">
        <v>12584</v>
      </c>
      <c r="B1923" s="300"/>
      <c r="C1923" s="300"/>
      <c r="D1923" s="300"/>
      <c r="E1923" s="300"/>
      <c r="F1923" s="300"/>
      <c r="G1923" s="300"/>
      <c r="H1923" s="301"/>
    </row>
    <row r="1924" spans="1:8" ht="13.5" thickBot="1" x14ac:dyDescent="0.3">
      <c r="A1924" s="317" t="s">
        <v>12483</v>
      </c>
      <c r="B1924" s="318"/>
      <c r="C1924" s="318"/>
      <c r="D1924" s="318"/>
      <c r="E1924" s="318"/>
      <c r="F1924" s="318"/>
      <c r="G1924" s="318"/>
      <c r="H1924" s="319"/>
    </row>
    <row r="1925" spans="1:8" ht="13.5" thickBot="1" x14ac:dyDescent="0.3">
      <c r="A1925" s="234" t="s">
        <v>11960</v>
      </c>
      <c r="B1925" s="293" t="s">
        <v>12571</v>
      </c>
      <c r="C1925" s="293"/>
      <c r="D1925" s="293"/>
      <c r="E1925" s="293"/>
      <c r="F1925" s="293"/>
      <c r="G1925" s="293"/>
      <c r="H1925" s="235" t="s">
        <v>12572</v>
      </c>
    </row>
    <row r="1926" spans="1:8" ht="25.5" x14ac:dyDescent="0.25">
      <c r="A1926" s="213" t="s">
        <v>11965</v>
      </c>
      <c r="B1926" s="241" t="s">
        <v>11966</v>
      </c>
      <c r="C1926" s="241" t="s">
        <v>11967</v>
      </c>
      <c r="D1926" s="241" t="s">
        <v>11968</v>
      </c>
      <c r="E1926" s="294" t="s">
        <v>11969</v>
      </c>
      <c r="F1926" s="294"/>
      <c r="G1926" s="241" t="s">
        <v>4</v>
      </c>
      <c r="H1926" s="214" t="s">
        <v>11970</v>
      </c>
    </row>
    <row r="1927" spans="1:8" x14ac:dyDescent="0.25">
      <c r="A1927" s="205">
        <v>43859</v>
      </c>
      <c r="B1927" s="206" t="s">
        <v>11971</v>
      </c>
      <c r="C1927" s="206" t="s">
        <v>12573</v>
      </c>
      <c r="D1927" s="219" t="s">
        <v>12574</v>
      </c>
      <c r="E1927" s="295" t="s">
        <v>12575</v>
      </c>
      <c r="F1927" s="295"/>
      <c r="G1927" s="115" t="s">
        <v>12572</v>
      </c>
      <c r="H1927" s="218">
        <f>266.06/4</f>
        <v>66.515000000000001</v>
      </c>
    </row>
    <row r="1928" spans="1:8" x14ac:dyDescent="0.25">
      <c r="A1928" s="205">
        <v>43859</v>
      </c>
      <c r="B1928" s="206" t="s">
        <v>11971</v>
      </c>
      <c r="C1928" s="206" t="s">
        <v>12576</v>
      </c>
      <c r="D1928" s="236" t="s">
        <v>12577</v>
      </c>
      <c r="E1928" s="295" t="s">
        <v>12578</v>
      </c>
      <c r="F1928" s="295"/>
      <c r="G1928" s="115" t="s">
        <v>12572</v>
      </c>
      <c r="H1928" s="218">
        <f>4255.42/50</f>
        <v>85.108400000000003</v>
      </c>
    </row>
    <row r="1929" spans="1:8" x14ac:dyDescent="0.25">
      <c r="A1929" s="205"/>
      <c r="B1929" s="206"/>
      <c r="C1929" s="206"/>
      <c r="D1929" s="219"/>
      <c r="E1929" s="295"/>
      <c r="F1929" s="295"/>
      <c r="G1929" s="115" t="s">
        <v>12572</v>
      </c>
      <c r="H1929" s="218">
        <v>0</v>
      </c>
    </row>
    <row r="1930" spans="1:8" ht="13.5" thickBot="1" x14ac:dyDescent="0.3">
      <c r="A1930" s="296" t="s">
        <v>11981</v>
      </c>
      <c r="B1930" s="297"/>
      <c r="C1930" s="297"/>
      <c r="D1930" s="297"/>
      <c r="E1930" s="297"/>
      <c r="F1930" s="297"/>
      <c r="G1930" s="298"/>
      <c r="H1930" s="188">
        <f>TRUNC(MEDIAN(H1927:H1929),2)</f>
        <v>66.510000000000005</v>
      </c>
    </row>
    <row r="1931" spans="1:8" ht="13.5" thickBot="1" x14ac:dyDescent="0.3">
      <c r="A1931" s="189"/>
      <c r="B1931" s="189"/>
      <c r="C1931" s="189"/>
      <c r="D1931" s="190"/>
      <c r="E1931" s="189"/>
      <c r="F1931" s="191"/>
      <c r="G1931" s="191"/>
      <c r="H1931" s="191"/>
    </row>
    <row r="1932" spans="1:8" ht="25.5" x14ac:dyDescent="0.25">
      <c r="A1932" s="120" t="s">
        <v>90</v>
      </c>
      <c r="B1932" s="286" t="s">
        <v>91</v>
      </c>
      <c r="C1932" s="287"/>
      <c r="D1932" s="287"/>
      <c r="E1932" s="287"/>
      <c r="F1932" s="287"/>
      <c r="G1932" s="288"/>
      <c r="H1932" s="121" t="s">
        <v>4</v>
      </c>
    </row>
    <row r="1933" spans="1:8" ht="13.5" thickBot="1" x14ac:dyDescent="0.3">
      <c r="A1933" s="113" t="s">
        <v>12585</v>
      </c>
      <c r="B1933" s="289" t="s">
        <v>12588</v>
      </c>
      <c r="C1933" s="290"/>
      <c r="D1933" s="290"/>
      <c r="E1933" s="290"/>
      <c r="F1933" s="290"/>
      <c r="G1933" s="291"/>
      <c r="H1933" s="114" t="s">
        <v>4</v>
      </c>
    </row>
    <row r="1934" spans="1:8" x14ac:dyDescent="0.25">
      <c r="A1934" s="273" t="s">
        <v>13834</v>
      </c>
      <c r="B1934" s="275" t="s">
        <v>92</v>
      </c>
      <c r="C1934" s="276"/>
      <c r="D1934" s="185" t="s">
        <v>12586</v>
      </c>
      <c r="E1934" s="239" t="s">
        <v>93</v>
      </c>
      <c r="F1934" s="186">
        <v>0</v>
      </c>
      <c r="G1934" s="277" t="s">
        <v>94</v>
      </c>
      <c r="H1934" s="278"/>
    </row>
    <row r="1935" spans="1:8" x14ac:dyDescent="0.25">
      <c r="A1935" s="274"/>
      <c r="B1935" s="281" t="s">
        <v>95</v>
      </c>
      <c r="C1935" s="282"/>
      <c r="D1935" s="230">
        <v>43865</v>
      </c>
      <c r="E1935" s="240" t="s">
        <v>96</v>
      </c>
      <c r="F1935" s="230">
        <v>43865</v>
      </c>
      <c r="G1935" s="279"/>
      <c r="H1935" s="280"/>
    </row>
    <row r="1936" spans="1:8" x14ac:dyDescent="0.25">
      <c r="A1936" s="122" t="s">
        <v>11885</v>
      </c>
      <c r="B1936" s="123" t="s">
        <v>97</v>
      </c>
      <c r="C1936" s="123" t="s">
        <v>98</v>
      </c>
      <c r="D1936" s="123" t="s">
        <v>3</v>
      </c>
      <c r="E1936" s="123" t="s">
        <v>4</v>
      </c>
      <c r="F1936" s="123" t="s">
        <v>99</v>
      </c>
      <c r="G1936" s="123" t="s">
        <v>100</v>
      </c>
      <c r="H1936" s="124" t="s">
        <v>101</v>
      </c>
    </row>
    <row r="1937" spans="1:8" ht="25.5" x14ac:dyDescent="0.25">
      <c r="A1937" s="125" t="s">
        <v>398</v>
      </c>
      <c r="B1937" s="115" t="s">
        <v>9</v>
      </c>
      <c r="C1937" s="115">
        <v>88264</v>
      </c>
      <c r="D1937" s="127" t="str">
        <f>IF(A1937="COMPOSIÇÃO",VLOOKUP(C1937,'SINAPI_COMPOSIÇÕES 062020'!A:B,2,FALSE),VLOOKUP(C1937,'SINAPI_INSUMOS 062020'!A:B,2,FALSE))</f>
        <v>ELETRICISTA COM ENCARGOS COMPLEMENTARES</v>
      </c>
      <c r="E1937" s="126" t="str">
        <f>IF(A1937="COMPOSIÇÃO",VLOOKUP(C1937,'SINAPI_COMPOSIÇÕES 062020'!A:C,3,FALSE),VLOOKUP(C1937,'SINAPI_INSUMOS 062020'!A:C,3,FALSE))</f>
        <v>H</v>
      </c>
      <c r="F1937" s="233">
        <v>3.093</v>
      </c>
      <c r="G1937" s="128">
        <f>IF(A1937="COMPOSIÇÃO",VLOOKUP(C1937,'SINAPI_COMPOSIÇÕES 062020'!A:D,4,FALSE),VLOOKUP(C1937,'SINAPI_INSUMOS 062020'!A:D,4,FALSE))</f>
        <v>18.38</v>
      </c>
      <c r="H1937" s="75">
        <f t="shared" ref="H1937:H1938" si="146">TRUNC(G1937*F1937,2)</f>
        <v>56.84</v>
      </c>
    </row>
    <row r="1938" spans="1:8" ht="25.5" x14ac:dyDescent="0.25">
      <c r="A1938" s="125" t="s">
        <v>398</v>
      </c>
      <c r="B1938" s="115" t="s">
        <v>9</v>
      </c>
      <c r="C1938" s="115">
        <v>88247</v>
      </c>
      <c r="D1938" s="127" t="str">
        <f>IF(A1938="COMPOSIÇÃO",VLOOKUP(C1938,'SINAPI_COMPOSIÇÕES 062020'!A:B,2,FALSE),VLOOKUP(C1938,'SINAPI_INSUMOS 062020'!A:B,2,FALSE))</f>
        <v>AUXILIAR DE ELETRICISTA COM ENCARGOS COMPLEMENTARES</v>
      </c>
      <c r="E1938" s="126" t="str">
        <f>IF(A1938="COMPOSIÇÃO",VLOOKUP(C1938,'SINAPI_COMPOSIÇÕES 062020'!A:C,3,FALSE),VLOOKUP(C1938,'SINAPI_INSUMOS 062020'!A:C,3,FALSE))</f>
        <v>H</v>
      </c>
      <c r="F1938" s="233">
        <v>3.093</v>
      </c>
      <c r="G1938" s="128">
        <f>IF(A1938="COMPOSIÇÃO",VLOOKUP(C1938,'SINAPI_COMPOSIÇÕES 062020'!A:D,4,FALSE),VLOOKUP(C1938,'SINAPI_INSUMOS 062020'!A:D,4,FALSE))</f>
        <v>14.33</v>
      </c>
      <c r="H1938" s="75">
        <f t="shared" si="146"/>
        <v>44.32</v>
      </c>
    </row>
    <row r="1939" spans="1:8" ht="25.5" x14ac:dyDescent="0.25">
      <c r="A1939" s="125" t="s">
        <v>11958</v>
      </c>
      <c r="B1939" s="115" t="s">
        <v>11959</v>
      </c>
      <c r="C1939" s="115" t="s">
        <v>11960</v>
      </c>
      <c r="D1939" s="194" t="str">
        <f>B1943</f>
        <v>SUPORTE CONDENSADORA, CAP. ATÉ 105KG/PAR, 600MM</v>
      </c>
      <c r="E1939" s="115" t="str">
        <f>H1943</f>
        <v>PAR</v>
      </c>
      <c r="F1939" s="233">
        <v>1</v>
      </c>
      <c r="G1939" s="195">
        <f>H1948</f>
        <v>66.510000000000005</v>
      </c>
      <c r="H1939" s="222">
        <f t="shared" ref="H1939" si="147">G1939*F1939</f>
        <v>66.510000000000005</v>
      </c>
    </row>
    <row r="1940" spans="1:8" ht="13.5" thickBot="1" x14ac:dyDescent="0.3">
      <c r="A1940" s="267" t="str">
        <f>CONCATENATE("TOTAL DO ÍTEM - ",A1933)</f>
        <v>TOTAL DO ÍTEM - MPMT-05108</v>
      </c>
      <c r="B1940" s="268"/>
      <c r="C1940" s="268"/>
      <c r="D1940" s="268"/>
      <c r="E1940" s="268"/>
      <c r="F1940" s="268"/>
      <c r="G1940" s="269"/>
      <c r="H1940" s="188">
        <f>SUM(H1937:H1939)</f>
        <v>167.67000000000002</v>
      </c>
    </row>
    <row r="1941" spans="1:8" ht="13.5" thickBot="1" x14ac:dyDescent="0.3">
      <c r="A1941" s="299" t="s">
        <v>12587</v>
      </c>
      <c r="B1941" s="300"/>
      <c r="C1941" s="300"/>
      <c r="D1941" s="300"/>
      <c r="E1941" s="300"/>
      <c r="F1941" s="300"/>
      <c r="G1941" s="300"/>
      <c r="H1941" s="301"/>
    </row>
    <row r="1942" spans="1:8" ht="13.5" thickBot="1" x14ac:dyDescent="0.3">
      <c r="A1942" s="317" t="s">
        <v>12483</v>
      </c>
      <c r="B1942" s="318"/>
      <c r="C1942" s="318"/>
      <c r="D1942" s="318"/>
      <c r="E1942" s="318"/>
      <c r="F1942" s="318"/>
      <c r="G1942" s="318"/>
      <c r="H1942" s="319"/>
    </row>
    <row r="1943" spans="1:8" ht="13.5" thickBot="1" x14ac:dyDescent="0.3">
      <c r="A1943" s="234" t="s">
        <v>11960</v>
      </c>
      <c r="B1943" s="293" t="s">
        <v>12571</v>
      </c>
      <c r="C1943" s="293"/>
      <c r="D1943" s="293"/>
      <c r="E1943" s="293"/>
      <c r="F1943" s="293"/>
      <c r="G1943" s="293"/>
      <c r="H1943" s="235" t="s">
        <v>12572</v>
      </c>
    </row>
    <row r="1944" spans="1:8" ht="25.5" x14ac:dyDescent="0.25">
      <c r="A1944" s="213" t="s">
        <v>11965</v>
      </c>
      <c r="B1944" s="241" t="s">
        <v>11966</v>
      </c>
      <c r="C1944" s="241" t="s">
        <v>11967</v>
      </c>
      <c r="D1944" s="241" t="s">
        <v>11968</v>
      </c>
      <c r="E1944" s="294" t="s">
        <v>11969</v>
      </c>
      <c r="F1944" s="294"/>
      <c r="G1944" s="241" t="s">
        <v>4</v>
      </c>
      <c r="H1944" s="214" t="s">
        <v>11970</v>
      </c>
    </row>
    <row r="1945" spans="1:8" x14ac:dyDescent="0.25">
      <c r="A1945" s="205">
        <v>43859</v>
      </c>
      <c r="B1945" s="206" t="s">
        <v>11971</v>
      </c>
      <c r="C1945" s="206" t="s">
        <v>12573</v>
      </c>
      <c r="D1945" s="219" t="s">
        <v>12574</v>
      </c>
      <c r="E1945" s="295" t="s">
        <v>12575</v>
      </c>
      <c r="F1945" s="295"/>
      <c r="G1945" s="115" t="s">
        <v>12572</v>
      </c>
      <c r="H1945" s="218">
        <f>266.06/4</f>
        <v>66.515000000000001</v>
      </c>
    </row>
    <row r="1946" spans="1:8" x14ac:dyDescent="0.25">
      <c r="A1946" s="205">
        <v>43859</v>
      </c>
      <c r="B1946" s="206" t="s">
        <v>11971</v>
      </c>
      <c r="C1946" s="206" t="s">
        <v>12576</v>
      </c>
      <c r="D1946" s="236" t="s">
        <v>12577</v>
      </c>
      <c r="E1946" s="295" t="s">
        <v>12578</v>
      </c>
      <c r="F1946" s="295"/>
      <c r="G1946" s="115" t="s">
        <v>12572</v>
      </c>
      <c r="H1946" s="218">
        <f>4255.42/50</f>
        <v>85.108400000000003</v>
      </c>
    </row>
    <row r="1947" spans="1:8" x14ac:dyDescent="0.25">
      <c r="A1947" s="205"/>
      <c r="B1947" s="206"/>
      <c r="C1947" s="206"/>
      <c r="D1947" s="219"/>
      <c r="E1947" s="295"/>
      <c r="F1947" s="295"/>
      <c r="G1947" s="115" t="s">
        <v>12572</v>
      </c>
      <c r="H1947" s="218">
        <v>0</v>
      </c>
    </row>
    <row r="1948" spans="1:8" ht="13.5" thickBot="1" x14ac:dyDescent="0.3">
      <c r="A1948" s="296" t="s">
        <v>11981</v>
      </c>
      <c r="B1948" s="297"/>
      <c r="C1948" s="297"/>
      <c r="D1948" s="297"/>
      <c r="E1948" s="297"/>
      <c r="F1948" s="297"/>
      <c r="G1948" s="298"/>
      <c r="H1948" s="188">
        <f>TRUNC(MEDIAN(H1945:H1947),2)</f>
        <v>66.510000000000005</v>
      </c>
    </row>
    <row r="1949" spans="1:8" ht="13.5" thickBot="1" x14ac:dyDescent="0.3"/>
    <row r="1950" spans="1:8" ht="25.5" x14ac:dyDescent="0.25">
      <c r="A1950" s="120" t="s">
        <v>90</v>
      </c>
      <c r="B1950" s="286" t="s">
        <v>91</v>
      </c>
      <c r="C1950" s="287"/>
      <c r="D1950" s="287"/>
      <c r="E1950" s="287"/>
      <c r="F1950" s="287"/>
      <c r="G1950" s="288"/>
      <c r="H1950" s="121" t="s">
        <v>4</v>
      </c>
    </row>
    <row r="1951" spans="1:8" ht="13.5" thickBot="1" x14ac:dyDescent="0.3">
      <c r="A1951" s="113" t="s">
        <v>12589</v>
      </c>
      <c r="B1951" s="289" t="s">
        <v>12590</v>
      </c>
      <c r="C1951" s="290"/>
      <c r="D1951" s="290"/>
      <c r="E1951" s="290"/>
      <c r="F1951" s="290"/>
      <c r="G1951" s="291"/>
      <c r="H1951" s="114" t="s">
        <v>4</v>
      </c>
    </row>
    <row r="1952" spans="1:8" x14ac:dyDescent="0.25">
      <c r="A1952" s="273" t="s">
        <v>13834</v>
      </c>
      <c r="B1952" s="275" t="s">
        <v>92</v>
      </c>
      <c r="C1952" s="276"/>
      <c r="D1952" s="185" t="s">
        <v>12591</v>
      </c>
      <c r="E1952" s="239" t="s">
        <v>93</v>
      </c>
      <c r="F1952" s="186">
        <v>0</v>
      </c>
      <c r="G1952" s="277" t="s">
        <v>94</v>
      </c>
      <c r="H1952" s="278"/>
    </row>
    <row r="1953" spans="1:8" x14ac:dyDescent="0.25">
      <c r="A1953" s="274"/>
      <c r="B1953" s="281" t="s">
        <v>95</v>
      </c>
      <c r="C1953" s="282"/>
      <c r="D1953" s="230">
        <v>43865</v>
      </c>
      <c r="E1953" s="240" t="s">
        <v>96</v>
      </c>
      <c r="F1953" s="230">
        <v>43865</v>
      </c>
      <c r="G1953" s="279"/>
      <c r="H1953" s="280"/>
    </row>
    <row r="1954" spans="1:8" x14ac:dyDescent="0.25">
      <c r="A1954" s="122" t="s">
        <v>11885</v>
      </c>
      <c r="B1954" s="123" t="s">
        <v>97</v>
      </c>
      <c r="C1954" s="123" t="s">
        <v>98</v>
      </c>
      <c r="D1954" s="123" t="s">
        <v>3</v>
      </c>
      <c r="E1954" s="123" t="s">
        <v>4</v>
      </c>
      <c r="F1954" s="123" t="s">
        <v>99</v>
      </c>
      <c r="G1954" s="123" t="s">
        <v>100</v>
      </c>
      <c r="H1954" s="124" t="s">
        <v>101</v>
      </c>
    </row>
    <row r="1955" spans="1:8" ht="25.5" x14ac:dyDescent="0.25">
      <c r="A1955" s="125" t="s">
        <v>398</v>
      </c>
      <c r="B1955" s="115" t="s">
        <v>9</v>
      </c>
      <c r="C1955" s="115">
        <v>88264</v>
      </c>
      <c r="D1955" s="127" t="str">
        <f>IF(A1955="COMPOSIÇÃO",VLOOKUP(C1955,'SINAPI_COMPOSIÇÕES 062020'!A:B,2,FALSE),VLOOKUP(C1955,'SINAPI_INSUMOS 062020'!A:B,2,FALSE))</f>
        <v>ELETRICISTA COM ENCARGOS COMPLEMENTARES</v>
      </c>
      <c r="E1955" s="126" t="str">
        <f>IF(A1955="COMPOSIÇÃO",VLOOKUP(C1955,'SINAPI_COMPOSIÇÕES 062020'!A:C,3,FALSE),VLOOKUP(C1955,'SINAPI_INSUMOS 062020'!A:C,3,FALSE))</f>
        <v>H</v>
      </c>
      <c r="F1955" s="233">
        <v>1.3</v>
      </c>
      <c r="G1955" s="128">
        <f>IF(A1955="COMPOSIÇÃO",VLOOKUP(C1955,'SINAPI_COMPOSIÇÕES 062020'!A:D,4,FALSE),VLOOKUP(C1955,'SINAPI_INSUMOS 062020'!A:D,4,FALSE))</f>
        <v>18.38</v>
      </c>
      <c r="H1955" s="75">
        <f t="shared" ref="H1955:H1956" si="148">TRUNC(G1955*F1955,2)</f>
        <v>23.89</v>
      </c>
    </row>
    <row r="1956" spans="1:8" ht="25.5" x14ac:dyDescent="0.25">
      <c r="A1956" s="125" t="s">
        <v>398</v>
      </c>
      <c r="B1956" s="115" t="s">
        <v>9</v>
      </c>
      <c r="C1956" s="115">
        <v>88247</v>
      </c>
      <c r="D1956" s="127" t="str">
        <f>IF(A1956="COMPOSIÇÃO",VLOOKUP(C1956,'SINAPI_COMPOSIÇÕES 062020'!A:B,2,FALSE),VLOOKUP(C1956,'SINAPI_INSUMOS 062020'!A:B,2,FALSE))</f>
        <v>AUXILIAR DE ELETRICISTA COM ENCARGOS COMPLEMENTARES</v>
      </c>
      <c r="E1956" s="126" t="str">
        <f>IF(A1956="COMPOSIÇÃO",VLOOKUP(C1956,'SINAPI_COMPOSIÇÕES 062020'!A:C,3,FALSE),VLOOKUP(C1956,'SINAPI_INSUMOS 062020'!A:C,3,FALSE))</f>
        <v>H</v>
      </c>
      <c r="F1956" s="233">
        <v>1.3</v>
      </c>
      <c r="G1956" s="128">
        <f>IF(A1956="COMPOSIÇÃO",VLOOKUP(C1956,'SINAPI_COMPOSIÇÕES 062020'!A:D,4,FALSE),VLOOKUP(C1956,'SINAPI_INSUMOS 062020'!A:D,4,FALSE))</f>
        <v>14.33</v>
      </c>
      <c r="H1956" s="75">
        <f t="shared" si="148"/>
        <v>18.62</v>
      </c>
    </row>
    <row r="1957" spans="1:8" ht="25.5" x14ac:dyDescent="0.25">
      <c r="A1957" s="125" t="s">
        <v>11958</v>
      </c>
      <c r="B1957" s="115" t="s">
        <v>11959</v>
      </c>
      <c r="C1957" s="115" t="s">
        <v>11960</v>
      </c>
      <c r="D1957" s="194" t="str">
        <f>B1961</f>
        <v>SUPORTE CONDENSADORA, CAP. ATÉ 105KG/PAR, 800MM</v>
      </c>
      <c r="E1957" s="115" t="str">
        <f>H1961</f>
        <v>PAR</v>
      </c>
      <c r="F1957" s="233">
        <v>1</v>
      </c>
      <c r="G1957" s="195">
        <f>H1966</f>
        <v>94.41</v>
      </c>
      <c r="H1957" s="222">
        <f t="shared" ref="H1957" si="149">G1957*F1957</f>
        <v>94.41</v>
      </c>
    </row>
    <row r="1958" spans="1:8" ht="13.5" thickBot="1" x14ac:dyDescent="0.3">
      <c r="A1958" s="267" t="str">
        <f>CONCATENATE("TOTAL DO ÍTEM - ",A1951)</f>
        <v>TOTAL DO ÍTEM - MPMT-05111</v>
      </c>
      <c r="B1958" s="268"/>
      <c r="C1958" s="268"/>
      <c r="D1958" s="268"/>
      <c r="E1958" s="268"/>
      <c r="F1958" s="268"/>
      <c r="G1958" s="269"/>
      <c r="H1958" s="188">
        <f>SUM(H1955:H1957)</f>
        <v>136.92000000000002</v>
      </c>
    </row>
    <row r="1959" spans="1:8" ht="13.5" thickBot="1" x14ac:dyDescent="0.3">
      <c r="A1959" s="299" t="s">
        <v>12592</v>
      </c>
      <c r="B1959" s="300"/>
      <c r="C1959" s="300"/>
      <c r="D1959" s="300"/>
      <c r="E1959" s="300"/>
      <c r="F1959" s="300"/>
      <c r="G1959" s="300"/>
      <c r="H1959" s="301"/>
    </row>
    <row r="1960" spans="1:8" ht="13.5" thickBot="1" x14ac:dyDescent="0.3">
      <c r="A1960" s="317" t="s">
        <v>12483</v>
      </c>
      <c r="B1960" s="318"/>
      <c r="C1960" s="318"/>
      <c r="D1960" s="318"/>
      <c r="E1960" s="318"/>
      <c r="F1960" s="318"/>
      <c r="G1960" s="318"/>
      <c r="H1960" s="319"/>
    </row>
    <row r="1961" spans="1:8" ht="13.5" thickBot="1" x14ac:dyDescent="0.3">
      <c r="A1961" s="234" t="s">
        <v>11960</v>
      </c>
      <c r="B1961" s="293" t="s">
        <v>12593</v>
      </c>
      <c r="C1961" s="293"/>
      <c r="D1961" s="293"/>
      <c r="E1961" s="293"/>
      <c r="F1961" s="293"/>
      <c r="G1961" s="293"/>
      <c r="H1961" s="235" t="s">
        <v>12572</v>
      </c>
    </row>
    <row r="1962" spans="1:8" ht="25.5" x14ac:dyDescent="0.25">
      <c r="A1962" s="213" t="s">
        <v>11965</v>
      </c>
      <c r="B1962" s="241" t="s">
        <v>11966</v>
      </c>
      <c r="C1962" s="241" t="s">
        <v>11967</v>
      </c>
      <c r="D1962" s="241" t="s">
        <v>11968</v>
      </c>
      <c r="E1962" s="294" t="s">
        <v>11969</v>
      </c>
      <c r="F1962" s="294"/>
      <c r="G1962" s="241" t="s">
        <v>4</v>
      </c>
      <c r="H1962" s="214" t="s">
        <v>11970</v>
      </c>
    </row>
    <row r="1963" spans="1:8" x14ac:dyDescent="0.25">
      <c r="A1963" s="205">
        <v>43859</v>
      </c>
      <c r="B1963" s="206" t="s">
        <v>11971</v>
      </c>
      <c r="C1963" s="206" t="s">
        <v>12573</v>
      </c>
      <c r="D1963" s="219" t="s">
        <v>12574</v>
      </c>
      <c r="E1963" s="295" t="s">
        <v>12575</v>
      </c>
      <c r="F1963" s="295"/>
      <c r="G1963" s="115" t="s">
        <v>12572</v>
      </c>
      <c r="H1963" s="218">
        <f>944.11/10</f>
        <v>94.411000000000001</v>
      </c>
    </row>
    <row r="1964" spans="1:8" x14ac:dyDescent="0.25">
      <c r="A1964" s="205">
        <v>43859</v>
      </c>
      <c r="B1964" s="206" t="s">
        <v>11971</v>
      </c>
      <c r="C1964" s="206" t="s">
        <v>12594</v>
      </c>
      <c r="D1964" s="236" t="s">
        <v>12595</v>
      </c>
      <c r="E1964" s="295" t="s">
        <v>12596</v>
      </c>
      <c r="F1964" s="295"/>
      <c r="G1964" s="115" t="s">
        <v>12572</v>
      </c>
      <c r="H1964" s="218">
        <f>893.2/8</f>
        <v>111.65</v>
      </c>
    </row>
    <row r="1965" spans="1:8" x14ac:dyDescent="0.25">
      <c r="A1965" s="205"/>
      <c r="B1965" s="206"/>
      <c r="C1965" s="206"/>
      <c r="D1965" s="219"/>
      <c r="E1965" s="295"/>
      <c r="F1965" s="295"/>
      <c r="G1965" s="115" t="s">
        <v>12572</v>
      </c>
      <c r="H1965" s="218">
        <v>0</v>
      </c>
    </row>
    <row r="1966" spans="1:8" ht="13.5" thickBot="1" x14ac:dyDescent="0.3">
      <c r="A1966" s="296" t="s">
        <v>11981</v>
      </c>
      <c r="B1966" s="297"/>
      <c r="C1966" s="297"/>
      <c r="D1966" s="297"/>
      <c r="E1966" s="297"/>
      <c r="F1966" s="297"/>
      <c r="G1966" s="298"/>
      <c r="H1966" s="188">
        <f>TRUNC(MEDIAN(H1963:H1965),2)</f>
        <v>94.41</v>
      </c>
    </row>
    <row r="1967" spans="1:8" ht="13.5" thickBot="1" x14ac:dyDescent="0.3"/>
    <row r="1968" spans="1:8" ht="25.5" x14ac:dyDescent="0.25">
      <c r="A1968" s="120" t="s">
        <v>90</v>
      </c>
      <c r="B1968" s="286" t="s">
        <v>91</v>
      </c>
      <c r="C1968" s="287"/>
      <c r="D1968" s="287"/>
      <c r="E1968" s="287"/>
      <c r="F1968" s="287"/>
      <c r="G1968" s="288"/>
      <c r="H1968" s="121" t="s">
        <v>4</v>
      </c>
    </row>
    <row r="1969" spans="1:8" ht="13.5" thickBot="1" x14ac:dyDescent="0.3">
      <c r="A1969" s="113" t="s">
        <v>12597</v>
      </c>
      <c r="B1969" s="289" t="s">
        <v>12600</v>
      </c>
      <c r="C1969" s="290"/>
      <c r="D1969" s="290"/>
      <c r="E1969" s="290"/>
      <c r="F1969" s="290"/>
      <c r="G1969" s="291"/>
      <c r="H1969" s="114" t="s">
        <v>4</v>
      </c>
    </row>
    <row r="1970" spans="1:8" x14ac:dyDescent="0.25">
      <c r="A1970" s="273" t="s">
        <v>13834</v>
      </c>
      <c r="B1970" s="275" t="s">
        <v>92</v>
      </c>
      <c r="C1970" s="276"/>
      <c r="D1970" s="185" t="s">
        <v>12598</v>
      </c>
      <c r="E1970" s="239" t="s">
        <v>93</v>
      </c>
      <c r="F1970" s="186">
        <v>0</v>
      </c>
      <c r="G1970" s="277" t="s">
        <v>94</v>
      </c>
      <c r="H1970" s="278"/>
    </row>
    <row r="1971" spans="1:8" x14ac:dyDescent="0.25">
      <c r="A1971" s="274"/>
      <c r="B1971" s="281" t="s">
        <v>95</v>
      </c>
      <c r="C1971" s="282"/>
      <c r="D1971" s="230">
        <v>43865</v>
      </c>
      <c r="E1971" s="240" t="s">
        <v>96</v>
      </c>
      <c r="F1971" s="230">
        <v>43865</v>
      </c>
      <c r="G1971" s="279"/>
      <c r="H1971" s="280"/>
    </row>
    <row r="1972" spans="1:8" x14ac:dyDescent="0.25">
      <c r="A1972" s="122" t="s">
        <v>11885</v>
      </c>
      <c r="B1972" s="123" t="s">
        <v>97</v>
      </c>
      <c r="C1972" s="123" t="s">
        <v>98</v>
      </c>
      <c r="D1972" s="123" t="s">
        <v>3</v>
      </c>
      <c r="E1972" s="123" t="s">
        <v>4</v>
      </c>
      <c r="F1972" s="123" t="s">
        <v>99</v>
      </c>
      <c r="G1972" s="123" t="s">
        <v>100</v>
      </c>
      <c r="H1972" s="124" t="s">
        <v>101</v>
      </c>
    </row>
    <row r="1973" spans="1:8" ht="25.5" x14ac:dyDescent="0.25">
      <c r="A1973" s="125" t="s">
        <v>398</v>
      </c>
      <c r="B1973" s="115" t="s">
        <v>9</v>
      </c>
      <c r="C1973" s="115">
        <v>88264</v>
      </c>
      <c r="D1973" s="127" t="str">
        <f>IF(A1973="COMPOSIÇÃO",VLOOKUP(C1973,'SINAPI_COMPOSIÇÕES 062020'!A:B,2,FALSE),VLOOKUP(C1973,'SINAPI_INSUMOS 062020'!A:B,2,FALSE))</f>
        <v>ELETRICISTA COM ENCARGOS COMPLEMENTARES</v>
      </c>
      <c r="E1973" s="126" t="str">
        <f>IF(A1973="COMPOSIÇÃO",VLOOKUP(C1973,'SINAPI_COMPOSIÇÕES 062020'!A:C,3,FALSE),VLOOKUP(C1973,'SINAPI_INSUMOS 062020'!A:C,3,FALSE))</f>
        <v>H</v>
      </c>
      <c r="F1973" s="233">
        <v>5</v>
      </c>
      <c r="G1973" s="128">
        <f>IF(A1973="COMPOSIÇÃO",VLOOKUP(C1973,'SINAPI_COMPOSIÇÕES 062020'!A:D,4,FALSE),VLOOKUP(C1973,'SINAPI_INSUMOS 062020'!A:D,4,FALSE))</f>
        <v>18.38</v>
      </c>
      <c r="H1973" s="75">
        <f t="shared" ref="H1973:H1974" si="150">TRUNC(G1973*F1973,2)</f>
        <v>91.9</v>
      </c>
    </row>
    <row r="1974" spans="1:8" ht="25.5" x14ac:dyDescent="0.25">
      <c r="A1974" s="125" t="s">
        <v>398</v>
      </c>
      <c r="B1974" s="115" t="s">
        <v>9</v>
      </c>
      <c r="C1974" s="115">
        <v>88247</v>
      </c>
      <c r="D1974" s="127" t="str">
        <f>IF(A1974="COMPOSIÇÃO",VLOOKUP(C1974,'SINAPI_COMPOSIÇÕES 062020'!A:B,2,FALSE),VLOOKUP(C1974,'SINAPI_INSUMOS 062020'!A:B,2,FALSE))</f>
        <v>AUXILIAR DE ELETRICISTA COM ENCARGOS COMPLEMENTARES</v>
      </c>
      <c r="E1974" s="126" t="str">
        <f>IF(A1974="COMPOSIÇÃO",VLOOKUP(C1974,'SINAPI_COMPOSIÇÕES 062020'!A:C,3,FALSE),VLOOKUP(C1974,'SINAPI_INSUMOS 062020'!A:C,3,FALSE))</f>
        <v>H</v>
      </c>
      <c r="F1974" s="233">
        <v>5</v>
      </c>
      <c r="G1974" s="128">
        <f>IF(A1974="COMPOSIÇÃO",VLOOKUP(C1974,'SINAPI_COMPOSIÇÕES 062020'!A:D,4,FALSE),VLOOKUP(C1974,'SINAPI_INSUMOS 062020'!A:D,4,FALSE))</f>
        <v>14.33</v>
      </c>
      <c r="H1974" s="75">
        <f t="shared" si="150"/>
        <v>71.650000000000006</v>
      </c>
    </row>
    <row r="1975" spans="1:8" ht="25.5" x14ac:dyDescent="0.25">
      <c r="A1975" s="125" t="s">
        <v>11958</v>
      </c>
      <c r="B1975" s="115" t="s">
        <v>11959</v>
      </c>
      <c r="C1975" s="115" t="s">
        <v>11960</v>
      </c>
      <c r="D1975" s="194" t="str">
        <f>B1979</f>
        <v>SUPORTE CONDENSADORA, CAP. ATÉ 105KG/PAR, 800MM</v>
      </c>
      <c r="E1975" s="115" t="str">
        <f>H1979</f>
        <v>PAR</v>
      </c>
      <c r="F1975" s="233">
        <v>1</v>
      </c>
      <c r="G1975" s="195">
        <f>H1984</f>
        <v>94.41</v>
      </c>
      <c r="H1975" s="222">
        <f t="shared" ref="H1975" si="151">G1975*F1975</f>
        <v>94.41</v>
      </c>
    </row>
    <row r="1976" spans="1:8" ht="13.5" thickBot="1" x14ac:dyDescent="0.3">
      <c r="A1976" s="267" t="str">
        <f>CONCATENATE("TOTAL DO ÍTEM - ",A1969)</f>
        <v>TOTAL DO ÍTEM - MPMT-05114</v>
      </c>
      <c r="B1976" s="268"/>
      <c r="C1976" s="268"/>
      <c r="D1976" s="268"/>
      <c r="E1976" s="268"/>
      <c r="F1976" s="268"/>
      <c r="G1976" s="269"/>
      <c r="H1976" s="188">
        <f>SUM(H1973:H1975)</f>
        <v>257.96000000000004</v>
      </c>
    </row>
    <row r="1977" spans="1:8" ht="13.5" thickBot="1" x14ac:dyDescent="0.3">
      <c r="A1977" s="299" t="s">
        <v>12599</v>
      </c>
      <c r="B1977" s="300"/>
      <c r="C1977" s="300"/>
      <c r="D1977" s="300"/>
      <c r="E1977" s="300"/>
      <c r="F1977" s="300"/>
      <c r="G1977" s="300"/>
      <c r="H1977" s="301"/>
    </row>
    <row r="1978" spans="1:8" ht="13.5" thickBot="1" x14ac:dyDescent="0.3">
      <c r="A1978" s="317" t="s">
        <v>12483</v>
      </c>
      <c r="B1978" s="318"/>
      <c r="C1978" s="318"/>
      <c r="D1978" s="318"/>
      <c r="E1978" s="318"/>
      <c r="F1978" s="318"/>
      <c r="G1978" s="318"/>
      <c r="H1978" s="319"/>
    </row>
    <row r="1979" spans="1:8" ht="13.5" thickBot="1" x14ac:dyDescent="0.3">
      <c r="A1979" s="234" t="s">
        <v>11960</v>
      </c>
      <c r="B1979" s="293" t="s">
        <v>12593</v>
      </c>
      <c r="C1979" s="293"/>
      <c r="D1979" s="293"/>
      <c r="E1979" s="293"/>
      <c r="F1979" s="293"/>
      <c r="G1979" s="293"/>
      <c r="H1979" s="235" t="s">
        <v>12572</v>
      </c>
    </row>
    <row r="1980" spans="1:8" ht="25.5" x14ac:dyDescent="0.25">
      <c r="A1980" s="213" t="s">
        <v>11965</v>
      </c>
      <c r="B1980" s="241" t="s">
        <v>11966</v>
      </c>
      <c r="C1980" s="241" t="s">
        <v>11967</v>
      </c>
      <c r="D1980" s="241" t="s">
        <v>11968</v>
      </c>
      <c r="E1980" s="294" t="s">
        <v>11969</v>
      </c>
      <c r="F1980" s="294"/>
      <c r="G1980" s="241" t="s">
        <v>4</v>
      </c>
      <c r="H1980" s="214" t="s">
        <v>11970</v>
      </c>
    </row>
    <row r="1981" spans="1:8" x14ac:dyDescent="0.25">
      <c r="A1981" s="205">
        <v>43859</v>
      </c>
      <c r="B1981" s="206" t="s">
        <v>11971</v>
      </c>
      <c r="C1981" s="206" t="s">
        <v>12573</v>
      </c>
      <c r="D1981" s="219" t="s">
        <v>12574</v>
      </c>
      <c r="E1981" s="295" t="s">
        <v>12575</v>
      </c>
      <c r="F1981" s="295"/>
      <c r="G1981" s="115" t="s">
        <v>12572</v>
      </c>
      <c r="H1981" s="218">
        <f>944.11/10</f>
        <v>94.411000000000001</v>
      </c>
    </row>
    <row r="1982" spans="1:8" x14ac:dyDescent="0.25">
      <c r="A1982" s="205">
        <v>43859</v>
      </c>
      <c r="B1982" s="206" t="s">
        <v>11971</v>
      </c>
      <c r="C1982" s="206" t="s">
        <v>12594</v>
      </c>
      <c r="D1982" s="236" t="s">
        <v>12595</v>
      </c>
      <c r="E1982" s="295" t="s">
        <v>12596</v>
      </c>
      <c r="F1982" s="295"/>
      <c r="G1982" s="115" t="s">
        <v>12572</v>
      </c>
      <c r="H1982" s="218">
        <f>893.2/8</f>
        <v>111.65</v>
      </c>
    </row>
    <row r="1983" spans="1:8" x14ac:dyDescent="0.25">
      <c r="A1983" s="205"/>
      <c r="B1983" s="206"/>
      <c r="C1983" s="206"/>
      <c r="D1983" s="219"/>
      <c r="E1983" s="295"/>
      <c r="F1983" s="295"/>
      <c r="G1983" s="115" t="s">
        <v>12572</v>
      </c>
      <c r="H1983" s="218">
        <v>0</v>
      </c>
    </row>
    <row r="1984" spans="1:8" ht="13.5" thickBot="1" x14ac:dyDescent="0.3">
      <c r="A1984" s="296" t="s">
        <v>11981</v>
      </c>
      <c r="B1984" s="297"/>
      <c r="C1984" s="297"/>
      <c r="D1984" s="297"/>
      <c r="E1984" s="297"/>
      <c r="F1984" s="297"/>
      <c r="G1984" s="298"/>
      <c r="H1984" s="188">
        <f>TRUNC(MEDIAN(H1981:H1983),2)</f>
        <v>94.41</v>
      </c>
    </row>
    <row r="1985" spans="1:8" ht="13.5" thickBot="1" x14ac:dyDescent="0.3"/>
    <row r="1986" spans="1:8" ht="25.5" x14ac:dyDescent="0.25">
      <c r="A1986" s="120" t="s">
        <v>90</v>
      </c>
      <c r="B1986" s="286" t="s">
        <v>91</v>
      </c>
      <c r="C1986" s="287"/>
      <c r="D1986" s="287"/>
      <c r="E1986" s="287"/>
      <c r="F1986" s="287"/>
      <c r="G1986" s="288"/>
      <c r="H1986" s="121" t="s">
        <v>4</v>
      </c>
    </row>
    <row r="1987" spans="1:8" ht="13.5" thickBot="1" x14ac:dyDescent="0.3">
      <c r="A1987" s="113" t="s">
        <v>12601</v>
      </c>
      <c r="B1987" s="289" t="s">
        <v>12602</v>
      </c>
      <c r="C1987" s="290"/>
      <c r="D1987" s="290"/>
      <c r="E1987" s="290"/>
      <c r="F1987" s="290"/>
      <c r="G1987" s="291"/>
      <c r="H1987" s="114" t="s">
        <v>4</v>
      </c>
    </row>
    <row r="1988" spans="1:8" x14ac:dyDescent="0.25">
      <c r="A1988" s="273" t="s">
        <v>13834</v>
      </c>
      <c r="B1988" s="275" t="s">
        <v>92</v>
      </c>
      <c r="C1988" s="276"/>
      <c r="D1988" s="185" t="s">
        <v>107</v>
      </c>
      <c r="E1988" s="239" t="s">
        <v>93</v>
      </c>
      <c r="F1988" s="186">
        <v>0</v>
      </c>
      <c r="G1988" s="277" t="s">
        <v>94</v>
      </c>
      <c r="H1988" s="278"/>
    </row>
    <row r="1989" spans="1:8" x14ac:dyDescent="0.25">
      <c r="A1989" s="274"/>
      <c r="B1989" s="281" t="s">
        <v>95</v>
      </c>
      <c r="C1989" s="282"/>
      <c r="D1989" s="230">
        <v>43865</v>
      </c>
      <c r="E1989" s="240" t="s">
        <v>96</v>
      </c>
      <c r="F1989" s="230">
        <v>43865</v>
      </c>
      <c r="G1989" s="279"/>
      <c r="H1989" s="280"/>
    </row>
    <row r="1990" spans="1:8" x14ac:dyDescent="0.25">
      <c r="A1990" s="122" t="s">
        <v>11885</v>
      </c>
      <c r="B1990" s="123" t="s">
        <v>97</v>
      </c>
      <c r="C1990" s="123" t="s">
        <v>98</v>
      </c>
      <c r="D1990" s="123" t="s">
        <v>3</v>
      </c>
      <c r="E1990" s="123" t="s">
        <v>4</v>
      </c>
      <c r="F1990" s="123" t="s">
        <v>99</v>
      </c>
      <c r="G1990" s="123" t="s">
        <v>100</v>
      </c>
      <c r="H1990" s="124" t="s">
        <v>101</v>
      </c>
    </row>
    <row r="1991" spans="1:8" ht="51" x14ac:dyDescent="0.25">
      <c r="A1991" s="125" t="s">
        <v>400</v>
      </c>
      <c r="B1991" s="115" t="s">
        <v>9</v>
      </c>
      <c r="C1991" s="115">
        <v>42424</v>
      </c>
      <c r="D1991" s="127" t="str">
        <f>IF(A1991="COMPOSIÇÃO",VLOOKUP(C1991,'SINAPI_COMPOSIÇÕES 062020'!A:B,2,FALSE),VLOOKUP(C1991,'SINAPI_INSUMOS 062020'!A:B,2,FALSE))</f>
        <v>AR CONDICIONADO SPLIT INVERTER, HI-WALL (PAREDE), 9000 BTU/H, CICLO FRIO, 60HZ, CLASSIFICACAO A (SELO PROCEL), GAS HFC, CONTROLE S/FIO</v>
      </c>
      <c r="E1991" s="126" t="str">
        <f>IF(A1991="COMPOSIÇÃO",VLOOKUP(C1991,'SINAPI_COMPOSIÇÕES 062020'!A:C,3,FALSE),VLOOKUP(C1991,'SINAPI_INSUMOS 062020'!A:C,3,FALSE))</f>
        <v xml:space="preserve">UN    </v>
      </c>
      <c r="F1991" s="233">
        <v>1</v>
      </c>
      <c r="G1991" s="128">
        <f>IF(A1991="COMPOSIÇÃO",VLOOKUP(C1991,'SINAPI_COMPOSIÇÕES 062020'!A:D,4,FALSE),VLOOKUP(C1991,'SINAPI_INSUMOS 062020'!A:D,4,FALSE))</f>
        <v>1744.62</v>
      </c>
      <c r="H1991" s="75">
        <f t="shared" ref="H1991" si="152">TRUNC(G1991*F1991,2)</f>
        <v>1744.62</v>
      </c>
    </row>
    <row r="1992" spans="1:8" ht="13.5" thickBot="1" x14ac:dyDescent="0.3">
      <c r="A1992" s="267" t="str">
        <f>CONCATENATE("TOTAL DO ÍTEM - ",A1987)</f>
        <v>TOTAL DO ÍTEM - MPMT-05118</v>
      </c>
      <c r="B1992" s="268"/>
      <c r="C1992" s="268"/>
      <c r="D1992" s="268"/>
      <c r="E1992" s="268"/>
      <c r="F1992" s="268"/>
      <c r="G1992" s="269"/>
      <c r="H1992" s="188">
        <f>SUM(H1991:H1991)</f>
        <v>1744.62</v>
      </c>
    </row>
    <row r="1993" spans="1:8" ht="13.5" thickBot="1" x14ac:dyDescent="0.3">
      <c r="A1993" s="299" t="s">
        <v>12494</v>
      </c>
      <c r="B1993" s="300"/>
      <c r="C1993" s="300"/>
      <c r="D1993" s="300"/>
      <c r="E1993" s="300"/>
      <c r="F1993" s="300"/>
      <c r="G1993" s="300"/>
      <c r="H1993" s="301"/>
    </row>
    <row r="1994" spans="1:8" ht="13.5" thickBot="1" x14ac:dyDescent="0.3"/>
    <row r="1995" spans="1:8" ht="25.5" x14ac:dyDescent="0.25">
      <c r="A1995" s="120" t="s">
        <v>90</v>
      </c>
      <c r="B1995" s="286" t="s">
        <v>91</v>
      </c>
      <c r="C1995" s="287"/>
      <c r="D1995" s="287"/>
      <c r="E1995" s="287"/>
      <c r="F1995" s="287"/>
      <c r="G1995" s="288"/>
      <c r="H1995" s="121" t="s">
        <v>4</v>
      </c>
    </row>
    <row r="1996" spans="1:8" ht="13.5" thickBot="1" x14ac:dyDescent="0.3">
      <c r="A1996" s="113" t="s">
        <v>12603</v>
      </c>
      <c r="B1996" s="289" t="s">
        <v>12604</v>
      </c>
      <c r="C1996" s="290"/>
      <c r="D1996" s="290"/>
      <c r="E1996" s="290"/>
      <c r="F1996" s="290"/>
      <c r="G1996" s="291"/>
      <c r="H1996" s="114" t="s">
        <v>4</v>
      </c>
    </row>
    <row r="1997" spans="1:8" x14ac:dyDescent="0.25">
      <c r="A1997" s="273" t="s">
        <v>13834</v>
      </c>
      <c r="B1997" s="275" t="s">
        <v>92</v>
      </c>
      <c r="C1997" s="276"/>
      <c r="D1997" s="185" t="s">
        <v>107</v>
      </c>
      <c r="E1997" s="239" t="s">
        <v>93</v>
      </c>
      <c r="F1997" s="186">
        <v>0</v>
      </c>
      <c r="G1997" s="277" t="s">
        <v>94</v>
      </c>
      <c r="H1997" s="278"/>
    </row>
    <row r="1998" spans="1:8" x14ac:dyDescent="0.25">
      <c r="A1998" s="274"/>
      <c r="B1998" s="281" t="s">
        <v>95</v>
      </c>
      <c r="C1998" s="282"/>
      <c r="D1998" s="230">
        <v>43865</v>
      </c>
      <c r="E1998" s="240" t="s">
        <v>96</v>
      </c>
      <c r="F1998" s="230">
        <v>43865</v>
      </c>
      <c r="G1998" s="279"/>
      <c r="H1998" s="280"/>
    </row>
    <row r="1999" spans="1:8" x14ac:dyDescent="0.25">
      <c r="A1999" s="122" t="s">
        <v>11885</v>
      </c>
      <c r="B1999" s="123" t="s">
        <v>97</v>
      </c>
      <c r="C1999" s="123" t="s">
        <v>98</v>
      </c>
      <c r="D1999" s="123" t="s">
        <v>3</v>
      </c>
      <c r="E1999" s="123" t="s">
        <v>4</v>
      </c>
      <c r="F1999" s="123" t="s">
        <v>99</v>
      </c>
      <c r="G1999" s="123" t="s">
        <v>100</v>
      </c>
      <c r="H1999" s="124" t="s">
        <v>101</v>
      </c>
    </row>
    <row r="2000" spans="1:8" ht="51" x14ac:dyDescent="0.25">
      <c r="A2000" s="125" t="s">
        <v>400</v>
      </c>
      <c r="B2000" s="115" t="s">
        <v>9</v>
      </c>
      <c r="C2000" s="115">
        <v>42425</v>
      </c>
      <c r="D2000" s="127" t="str">
        <f>IF(A2000="COMPOSIÇÃO",VLOOKUP(C2000,'SINAPI_COMPOSIÇÕES 062020'!A:B,2,FALSE),VLOOKUP(C2000,'SINAPI_INSUMOS 062020'!A:B,2,FALSE))</f>
        <v>AR CONDICIONADO SPLIT INVERTER, HI-WALL (PAREDE), 12000 BTU/H, CICLO FRIO, 60HZ, CLASSIFICACAO A (SELO PROCEL), GAS HFC, CONTROLE S/FIO</v>
      </c>
      <c r="E2000" s="126" t="str">
        <f>IF(A2000="COMPOSIÇÃO",VLOOKUP(C2000,'SINAPI_COMPOSIÇÕES 062020'!A:C,3,FALSE),VLOOKUP(C2000,'SINAPI_INSUMOS 062020'!A:C,3,FALSE))</f>
        <v xml:space="preserve">UN    </v>
      </c>
      <c r="F2000" s="233">
        <v>1</v>
      </c>
      <c r="G2000" s="128">
        <f>IF(A2000="COMPOSIÇÃO",VLOOKUP(C2000,'SINAPI_COMPOSIÇÕES 062020'!A:D,4,FALSE),VLOOKUP(C2000,'SINAPI_INSUMOS 062020'!A:D,4,FALSE))</f>
        <v>1953.47</v>
      </c>
      <c r="H2000" s="75">
        <f t="shared" ref="H2000" si="153">TRUNC(G2000*F2000,2)</f>
        <v>1953.47</v>
      </c>
    </row>
    <row r="2001" spans="1:8" ht="13.5" thickBot="1" x14ac:dyDescent="0.3">
      <c r="A2001" s="267" t="str">
        <f>CONCATENATE("TOTAL DO ÍTEM - ",A1996)</f>
        <v>TOTAL DO ÍTEM - MPMT-05119</v>
      </c>
      <c r="B2001" s="268"/>
      <c r="C2001" s="268"/>
      <c r="D2001" s="268"/>
      <c r="E2001" s="268"/>
      <c r="F2001" s="268"/>
      <c r="G2001" s="269"/>
      <c r="H2001" s="188">
        <f>SUM(H2000:H2000)</f>
        <v>1953.47</v>
      </c>
    </row>
    <row r="2002" spans="1:8" ht="13.5" thickBot="1" x14ac:dyDescent="0.3">
      <c r="A2002" s="299" t="s">
        <v>12494</v>
      </c>
      <c r="B2002" s="300"/>
      <c r="C2002" s="300"/>
      <c r="D2002" s="300"/>
      <c r="E2002" s="300"/>
      <c r="F2002" s="300"/>
      <c r="G2002" s="300"/>
      <c r="H2002" s="301"/>
    </row>
    <row r="2003" spans="1:8" ht="13.5" thickBot="1" x14ac:dyDescent="0.3"/>
    <row r="2004" spans="1:8" ht="25.5" x14ac:dyDescent="0.25">
      <c r="A2004" s="120" t="s">
        <v>90</v>
      </c>
      <c r="B2004" s="286" t="s">
        <v>91</v>
      </c>
      <c r="C2004" s="287"/>
      <c r="D2004" s="287"/>
      <c r="E2004" s="287"/>
      <c r="F2004" s="287"/>
      <c r="G2004" s="288"/>
      <c r="H2004" s="121" t="s">
        <v>4</v>
      </c>
    </row>
    <row r="2005" spans="1:8" ht="13.5" thickBot="1" x14ac:dyDescent="0.3">
      <c r="A2005" s="113" t="s">
        <v>12605</v>
      </c>
      <c r="B2005" s="289" t="s">
        <v>12610</v>
      </c>
      <c r="C2005" s="290"/>
      <c r="D2005" s="290"/>
      <c r="E2005" s="290"/>
      <c r="F2005" s="290"/>
      <c r="G2005" s="291"/>
      <c r="H2005" s="114" t="s">
        <v>4</v>
      </c>
    </row>
    <row r="2006" spans="1:8" x14ac:dyDescent="0.25">
      <c r="A2006" s="273" t="s">
        <v>13834</v>
      </c>
      <c r="B2006" s="275" t="s">
        <v>92</v>
      </c>
      <c r="C2006" s="276"/>
      <c r="D2006" s="185" t="s">
        <v>107</v>
      </c>
      <c r="E2006" s="239" t="s">
        <v>93</v>
      </c>
      <c r="F2006" s="186">
        <v>0</v>
      </c>
      <c r="G2006" s="277" t="s">
        <v>94</v>
      </c>
      <c r="H2006" s="278"/>
    </row>
    <row r="2007" spans="1:8" x14ac:dyDescent="0.25">
      <c r="A2007" s="274"/>
      <c r="B2007" s="281" t="s">
        <v>95</v>
      </c>
      <c r="C2007" s="282"/>
      <c r="D2007" s="230">
        <v>43865</v>
      </c>
      <c r="E2007" s="240" t="s">
        <v>96</v>
      </c>
      <c r="F2007" s="230">
        <v>43865</v>
      </c>
      <c r="G2007" s="279"/>
      <c r="H2007" s="280"/>
    </row>
    <row r="2008" spans="1:8" x14ac:dyDescent="0.25">
      <c r="A2008" s="122" t="s">
        <v>11885</v>
      </c>
      <c r="B2008" s="123" t="s">
        <v>97</v>
      </c>
      <c r="C2008" s="123" t="s">
        <v>98</v>
      </c>
      <c r="D2008" s="123" t="s">
        <v>3</v>
      </c>
      <c r="E2008" s="123" t="s">
        <v>4</v>
      </c>
      <c r="F2008" s="123" t="s">
        <v>99</v>
      </c>
      <c r="G2008" s="123" t="s">
        <v>100</v>
      </c>
      <c r="H2008" s="124" t="s">
        <v>101</v>
      </c>
    </row>
    <row r="2009" spans="1:8" ht="51" x14ac:dyDescent="0.25">
      <c r="A2009" s="125" t="s">
        <v>400</v>
      </c>
      <c r="B2009" s="115" t="s">
        <v>9</v>
      </c>
      <c r="C2009" s="115">
        <v>42422</v>
      </c>
      <c r="D2009" s="127" t="str">
        <f>IF(A2009="COMPOSIÇÃO",VLOOKUP(C2009,'SINAPI_COMPOSIÇÕES 062020'!A:B,2,FALSE),VLOOKUP(C2009,'SINAPI_INSUMOS 062020'!A:B,2,FALSE))</f>
        <v>AR CONDICIONADO SPLIT INVERTER, HI-WALL (PAREDE), 18000 BTU/H, CICLO FRIO, 60HZ, CLASSIFICACAO A (SELO PROCEL), GAS HFC, CONTROLE S/FIO</v>
      </c>
      <c r="E2009" s="126" t="str">
        <f>IF(A2009="COMPOSIÇÃO",VLOOKUP(C2009,'SINAPI_COMPOSIÇÕES 062020'!A:C,3,FALSE),VLOOKUP(C2009,'SINAPI_INSUMOS 062020'!A:C,3,FALSE))</f>
        <v xml:space="preserve">UN    </v>
      </c>
      <c r="F2009" s="233">
        <v>1</v>
      </c>
      <c r="G2009" s="128">
        <f>IF(A2009="COMPOSIÇÃO",VLOOKUP(C2009,'SINAPI_COMPOSIÇÕES 062020'!A:D,4,FALSE),VLOOKUP(C2009,'SINAPI_INSUMOS 062020'!A:D,4,FALSE))</f>
        <v>2900</v>
      </c>
      <c r="H2009" s="75">
        <f t="shared" ref="H2009" si="154">TRUNC(G2009*F2009,2)</f>
        <v>2900</v>
      </c>
    </row>
    <row r="2010" spans="1:8" ht="13.5" thickBot="1" x14ac:dyDescent="0.3">
      <c r="A2010" s="267" t="str">
        <f>CONCATENATE("TOTAL DO ÍTEM - ",A2005)</f>
        <v>TOTAL DO ÍTEM - MPMT-05122</v>
      </c>
      <c r="B2010" s="268"/>
      <c r="C2010" s="268"/>
      <c r="D2010" s="268"/>
      <c r="E2010" s="268"/>
      <c r="F2010" s="268"/>
      <c r="G2010" s="269"/>
      <c r="H2010" s="188">
        <f>SUM(H2009:H2009)</f>
        <v>2900</v>
      </c>
    </row>
    <row r="2011" spans="1:8" ht="13.5" thickBot="1" x14ac:dyDescent="0.3">
      <c r="A2011" s="299" t="s">
        <v>12494</v>
      </c>
      <c r="B2011" s="300"/>
      <c r="C2011" s="300"/>
      <c r="D2011" s="300"/>
      <c r="E2011" s="300"/>
      <c r="F2011" s="300"/>
      <c r="G2011" s="300"/>
      <c r="H2011" s="301"/>
    </row>
    <row r="2012" spans="1:8" ht="13.5" thickBot="1" x14ac:dyDescent="0.3"/>
    <row r="2013" spans="1:8" ht="25.5" x14ac:dyDescent="0.25">
      <c r="A2013" s="120" t="s">
        <v>90</v>
      </c>
      <c r="B2013" s="286" t="s">
        <v>91</v>
      </c>
      <c r="C2013" s="287"/>
      <c r="D2013" s="287"/>
      <c r="E2013" s="287"/>
      <c r="F2013" s="287"/>
      <c r="G2013" s="288"/>
      <c r="H2013" s="121" t="s">
        <v>4</v>
      </c>
    </row>
    <row r="2014" spans="1:8" ht="13.5" thickBot="1" x14ac:dyDescent="0.3">
      <c r="A2014" s="113" t="s">
        <v>12606</v>
      </c>
      <c r="B2014" s="289" t="s">
        <v>12607</v>
      </c>
      <c r="C2014" s="290"/>
      <c r="D2014" s="290"/>
      <c r="E2014" s="290"/>
      <c r="F2014" s="290"/>
      <c r="G2014" s="291"/>
      <c r="H2014" s="114" t="s">
        <v>4</v>
      </c>
    </row>
    <row r="2015" spans="1:8" x14ac:dyDescent="0.25">
      <c r="A2015" s="273" t="s">
        <v>13834</v>
      </c>
      <c r="B2015" s="275" t="s">
        <v>92</v>
      </c>
      <c r="C2015" s="276"/>
      <c r="D2015" s="185" t="s">
        <v>107</v>
      </c>
      <c r="E2015" s="239" t="s">
        <v>93</v>
      </c>
      <c r="F2015" s="186">
        <v>0</v>
      </c>
      <c r="G2015" s="277" t="s">
        <v>94</v>
      </c>
      <c r="H2015" s="278"/>
    </row>
    <row r="2016" spans="1:8" x14ac:dyDescent="0.25">
      <c r="A2016" s="274"/>
      <c r="B2016" s="281" t="s">
        <v>95</v>
      </c>
      <c r="C2016" s="282"/>
      <c r="D2016" s="230">
        <v>43865</v>
      </c>
      <c r="E2016" s="240" t="s">
        <v>96</v>
      </c>
      <c r="F2016" s="230">
        <v>43865</v>
      </c>
      <c r="G2016" s="279"/>
      <c r="H2016" s="280"/>
    </row>
    <row r="2017" spans="1:8" x14ac:dyDescent="0.25">
      <c r="A2017" s="122" t="s">
        <v>11885</v>
      </c>
      <c r="B2017" s="123" t="s">
        <v>97</v>
      </c>
      <c r="C2017" s="123" t="s">
        <v>98</v>
      </c>
      <c r="D2017" s="123" t="s">
        <v>3</v>
      </c>
      <c r="E2017" s="123" t="s">
        <v>4</v>
      </c>
      <c r="F2017" s="123" t="s">
        <v>99</v>
      </c>
      <c r="G2017" s="123" t="s">
        <v>100</v>
      </c>
      <c r="H2017" s="124" t="s">
        <v>101</v>
      </c>
    </row>
    <row r="2018" spans="1:8" ht="51" x14ac:dyDescent="0.25">
      <c r="A2018" s="125" t="s">
        <v>400</v>
      </c>
      <c r="B2018" s="115" t="s">
        <v>9</v>
      </c>
      <c r="C2018" s="115">
        <v>42419</v>
      </c>
      <c r="D2018" s="127" t="str">
        <f>IF(A2018="COMPOSIÇÃO",VLOOKUP(C2018,'SINAPI_COMPOSIÇÕES 062020'!A:B,2,FALSE),VLOOKUP(C2018,'SINAPI_INSUMOS 062020'!A:B,2,FALSE))</f>
        <v>AR CONDICIONADO SPLIT INVERTER, PISO TETO, 36000 BTU/H, CICLO FRIO, 60HZ, CLASSIFICACAO ENERGETICA A OU B (SELO PROCEL), GAS HFC, CONTROLE S/FIO</v>
      </c>
      <c r="E2018" s="126" t="str">
        <f>IF(A2018="COMPOSIÇÃO",VLOOKUP(C2018,'SINAPI_COMPOSIÇÕES 062020'!A:C,3,FALSE),VLOOKUP(C2018,'SINAPI_INSUMOS 062020'!A:C,3,FALSE))</f>
        <v xml:space="preserve">UN    </v>
      </c>
      <c r="F2018" s="233">
        <v>1</v>
      </c>
      <c r="G2018" s="128">
        <f>IF(A2018="COMPOSIÇÃO",VLOOKUP(C2018,'SINAPI_COMPOSIÇÕES 062020'!A:D,4,FALSE),VLOOKUP(C2018,'SINAPI_INSUMOS 062020'!A:D,4,FALSE))</f>
        <v>9525.82</v>
      </c>
      <c r="H2018" s="75">
        <f t="shared" ref="H2018" si="155">TRUNC(G2018*F2018,2)</f>
        <v>9525.82</v>
      </c>
    </row>
    <row r="2019" spans="1:8" ht="13.5" thickBot="1" x14ac:dyDescent="0.3">
      <c r="A2019" s="267" t="str">
        <f>CONCATENATE("TOTAL DO ÍTEM - ",A2014)</f>
        <v>TOTAL DO ÍTEM - MPMT-05124</v>
      </c>
      <c r="B2019" s="268"/>
      <c r="C2019" s="268"/>
      <c r="D2019" s="268"/>
      <c r="E2019" s="268"/>
      <c r="F2019" s="268"/>
      <c r="G2019" s="269"/>
      <c r="H2019" s="188">
        <f>SUM(H2018:H2018)</f>
        <v>9525.82</v>
      </c>
    </row>
    <row r="2020" spans="1:8" ht="13.5" thickBot="1" x14ac:dyDescent="0.3">
      <c r="A2020" s="299" t="s">
        <v>12494</v>
      </c>
      <c r="B2020" s="300"/>
      <c r="C2020" s="300"/>
      <c r="D2020" s="300"/>
      <c r="E2020" s="300"/>
      <c r="F2020" s="300"/>
      <c r="G2020" s="300"/>
      <c r="H2020" s="301"/>
    </row>
    <row r="2021" spans="1:8" ht="13.5" thickBot="1" x14ac:dyDescent="0.3"/>
    <row r="2022" spans="1:8" ht="25.5" x14ac:dyDescent="0.25">
      <c r="A2022" s="120" t="s">
        <v>90</v>
      </c>
      <c r="B2022" s="286" t="s">
        <v>91</v>
      </c>
      <c r="C2022" s="287"/>
      <c r="D2022" s="287"/>
      <c r="E2022" s="287"/>
      <c r="F2022" s="287"/>
      <c r="G2022" s="288"/>
      <c r="H2022" s="121" t="s">
        <v>4</v>
      </c>
    </row>
    <row r="2023" spans="1:8" ht="13.5" thickBot="1" x14ac:dyDescent="0.3">
      <c r="A2023" s="113" t="s">
        <v>12608</v>
      </c>
      <c r="B2023" s="289" t="s">
        <v>12609</v>
      </c>
      <c r="C2023" s="290"/>
      <c r="D2023" s="290"/>
      <c r="E2023" s="290"/>
      <c r="F2023" s="290"/>
      <c r="G2023" s="291"/>
      <c r="H2023" s="114" t="s">
        <v>4</v>
      </c>
    </row>
    <row r="2024" spans="1:8" x14ac:dyDescent="0.25">
      <c r="A2024" s="273" t="s">
        <v>13834</v>
      </c>
      <c r="B2024" s="275" t="s">
        <v>92</v>
      </c>
      <c r="C2024" s="276"/>
      <c r="D2024" s="185" t="s">
        <v>107</v>
      </c>
      <c r="E2024" s="239" t="s">
        <v>93</v>
      </c>
      <c r="F2024" s="186">
        <v>0</v>
      </c>
      <c r="G2024" s="277" t="s">
        <v>94</v>
      </c>
      <c r="H2024" s="278"/>
    </row>
    <row r="2025" spans="1:8" x14ac:dyDescent="0.25">
      <c r="A2025" s="274"/>
      <c r="B2025" s="281" t="s">
        <v>95</v>
      </c>
      <c r="C2025" s="282"/>
      <c r="D2025" s="230">
        <v>43865</v>
      </c>
      <c r="E2025" s="240" t="s">
        <v>96</v>
      </c>
      <c r="F2025" s="230">
        <v>43865</v>
      </c>
      <c r="G2025" s="279"/>
      <c r="H2025" s="280"/>
    </row>
    <row r="2026" spans="1:8" x14ac:dyDescent="0.25">
      <c r="A2026" s="122" t="s">
        <v>11885</v>
      </c>
      <c r="B2026" s="123" t="s">
        <v>97</v>
      </c>
      <c r="C2026" s="123" t="s">
        <v>98</v>
      </c>
      <c r="D2026" s="123" t="s">
        <v>3</v>
      </c>
      <c r="E2026" s="123" t="s">
        <v>4</v>
      </c>
      <c r="F2026" s="123" t="s">
        <v>99</v>
      </c>
      <c r="G2026" s="123" t="s">
        <v>100</v>
      </c>
      <c r="H2026" s="124" t="s">
        <v>101</v>
      </c>
    </row>
    <row r="2027" spans="1:8" ht="63.75" x14ac:dyDescent="0.25">
      <c r="A2027" s="125" t="s">
        <v>400</v>
      </c>
      <c r="B2027" s="115" t="s">
        <v>9</v>
      </c>
      <c r="C2027" s="115">
        <v>42421</v>
      </c>
      <c r="D2027" s="127" t="str">
        <f>IF(A2027="COMPOSIÇÃO",VLOOKUP(C2027,'SINAPI_COMPOSIÇÕES 062020'!A:B,2,FALSE),VLOOKUP(C2027,'SINAPI_INSUMOS 062020'!A:B,2,FALSE))</f>
        <v>AR CONDICIONADO SPLIT INVERTER, PISO TETO, APRESENTANDO ENTRE 54000 E 58000 BTU/H, CICLO FRIO, 60HZ, CLASSIFICACAO ENERGETICA A OU B (SELO PROCEL), GAS HFC, CONTROLE S/FIO</v>
      </c>
      <c r="E2027" s="126" t="str">
        <f>IF(A2027="COMPOSIÇÃO",VLOOKUP(C2027,'SINAPI_COMPOSIÇÕES 062020'!A:C,3,FALSE),VLOOKUP(C2027,'SINAPI_INSUMOS 062020'!A:C,3,FALSE))</f>
        <v xml:space="preserve">UN    </v>
      </c>
      <c r="F2027" s="233">
        <v>1</v>
      </c>
      <c r="G2027" s="128">
        <f>IF(A2027="COMPOSIÇÃO",VLOOKUP(C2027,'SINAPI_COMPOSIÇÕES 062020'!A:D,4,FALSE),VLOOKUP(C2027,'SINAPI_INSUMOS 062020'!A:D,4,FALSE))</f>
        <v>15884.61</v>
      </c>
      <c r="H2027" s="75">
        <f t="shared" ref="H2027" si="156">TRUNC(G2027*F2027,2)</f>
        <v>15884.61</v>
      </c>
    </row>
    <row r="2028" spans="1:8" ht="13.5" thickBot="1" x14ac:dyDescent="0.3">
      <c r="A2028" s="267" t="str">
        <f>CONCATENATE("TOTAL DO ÍTEM - ",A2023)</f>
        <v>TOTAL DO ÍTEM - MPMT-05127</v>
      </c>
      <c r="B2028" s="268"/>
      <c r="C2028" s="268"/>
      <c r="D2028" s="268"/>
      <c r="E2028" s="268"/>
      <c r="F2028" s="268"/>
      <c r="G2028" s="269"/>
      <c r="H2028" s="188">
        <f>SUM(H2027:H2027)</f>
        <v>15884.61</v>
      </c>
    </row>
    <row r="2029" spans="1:8" ht="13.5" thickBot="1" x14ac:dyDescent="0.3">
      <c r="A2029" s="299" t="s">
        <v>12494</v>
      </c>
      <c r="B2029" s="300"/>
      <c r="C2029" s="300"/>
      <c r="D2029" s="300"/>
      <c r="E2029" s="300"/>
      <c r="F2029" s="300"/>
      <c r="G2029" s="300"/>
      <c r="H2029" s="301"/>
    </row>
    <row r="2030" spans="1:8" ht="13.5" thickBot="1" x14ac:dyDescent="0.3"/>
    <row r="2031" spans="1:8" ht="25.5" x14ac:dyDescent="0.25">
      <c r="A2031" s="120" t="s">
        <v>90</v>
      </c>
      <c r="B2031" s="286" t="s">
        <v>91</v>
      </c>
      <c r="C2031" s="287"/>
      <c r="D2031" s="287"/>
      <c r="E2031" s="287"/>
      <c r="F2031" s="287"/>
      <c r="G2031" s="288"/>
      <c r="H2031" s="121" t="s">
        <v>4</v>
      </c>
    </row>
    <row r="2032" spans="1:8" ht="13.5" thickBot="1" x14ac:dyDescent="0.3">
      <c r="A2032" s="113" t="s">
        <v>12611</v>
      </c>
      <c r="B2032" s="289" t="s">
        <v>12612</v>
      </c>
      <c r="C2032" s="290"/>
      <c r="D2032" s="290"/>
      <c r="E2032" s="290"/>
      <c r="F2032" s="290"/>
      <c r="G2032" s="291"/>
      <c r="H2032" s="114" t="s">
        <v>57</v>
      </c>
    </row>
    <row r="2033" spans="1:8" x14ac:dyDescent="0.25">
      <c r="A2033" s="273" t="s">
        <v>13834</v>
      </c>
      <c r="B2033" s="275" t="s">
        <v>92</v>
      </c>
      <c r="C2033" s="276"/>
      <c r="D2033" s="185" t="s">
        <v>12613</v>
      </c>
      <c r="E2033" s="239" t="s">
        <v>93</v>
      </c>
      <c r="F2033" s="186">
        <v>0</v>
      </c>
      <c r="G2033" s="277" t="s">
        <v>94</v>
      </c>
      <c r="H2033" s="278"/>
    </row>
    <row r="2034" spans="1:8" x14ac:dyDescent="0.25">
      <c r="A2034" s="274"/>
      <c r="B2034" s="281" t="s">
        <v>95</v>
      </c>
      <c r="C2034" s="282"/>
      <c r="D2034" s="230">
        <v>43865</v>
      </c>
      <c r="E2034" s="240" t="s">
        <v>96</v>
      </c>
      <c r="F2034" s="230">
        <v>43865</v>
      </c>
      <c r="G2034" s="279"/>
      <c r="H2034" s="280"/>
    </row>
    <row r="2035" spans="1:8" x14ac:dyDescent="0.25">
      <c r="A2035" s="122" t="s">
        <v>11885</v>
      </c>
      <c r="B2035" s="123" t="s">
        <v>97</v>
      </c>
      <c r="C2035" s="123" t="s">
        <v>98</v>
      </c>
      <c r="D2035" s="123" t="s">
        <v>3</v>
      </c>
      <c r="E2035" s="123" t="s">
        <v>4</v>
      </c>
      <c r="F2035" s="123" t="s">
        <v>99</v>
      </c>
      <c r="G2035" s="123" t="s">
        <v>100</v>
      </c>
      <c r="H2035" s="124" t="s">
        <v>101</v>
      </c>
    </row>
    <row r="2036" spans="1:8" ht="25.5" x14ac:dyDescent="0.25">
      <c r="A2036" s="125" t="s">
        <v>398</v>
      </c>
      <c r="B2036" s="115" t="s">
        <v>9</v>
      </c>
      <c r="C2036" s="115">
        <v>100308</v>
      </c>
      <c r="D2036" s="127" t="str">
        <f>IF(A2036="COMPOSIÇÃO",VLOOKUP(C2036,'SINAPI_COMPOSIÇÕES 062020'!A:B,2,FALSE),VLOOKUP(C2036,'SINAPI_INSUMOS 062020'!A:B,2,FALSE))</f>
        <v>MECÂNICO DE REFRIGERAÇÃO COM ENCARGOS COMPLEMENTARES</v>
      </c>
      <c r="E2036" s="126" t="str">
        <f>IF(A2036="COMPOSIÇÃO",VLOOKUP(C2036,'SINAPI_COMPOSIÇÕES 062020'!A:C,3,FALSE),VLOOKUP(C2036,'SINAPI_INSUMOS 062020'!A:C,3,FALSE))</f>
        <v>H</v>
      </c>
      <c r="F2036" s="233">
        <v>0.25</v>
      </c>
      <c r="G2036" s="128">
        <f>IF(A2036="COMPOSIÇÃO",VLOOKUP(C2036,'SINAPI_COMPOSIÇÕES 062020'!A:D,4,FALSE),VLOOKUP(C2036,'SINAPI_INSUMOS 062020'!A:D,4,FALSE))</f>
        <v>19.7</v>
      </c>
      <c r="H2036" s="75">
        <f t="shared" ref="H2036:H2037" si="157">TRUNC(G2036*F2036,2)</f>
        <v>4.92</v>
      </c>
    </row>
    <row r="2037" spans="1:8" ht="25.5" x14ac:dyDescent="0.25">
      <c r="A2037" s="125" t="s">
        <v>398</v>
      </c>
      <c r="B2037" s="115" t="s">
        <v>9</v>
      </c>
      <c r="C2037" s="115">
        <v>88243</v>
      </c>
      <c r="D2037" s="127" t="str">
        <f>IF(A2037="COMPOSIÇÃO",VLOOKUP(C2037,'SINAPI_COMPOSIÇÕES 062020'!A:B,2,FALSE),VLOOKUP(C2037,'SINAPI_INSUMOS 062020'!A:B,2,FALSE))</f>
        <v>AJUDANTE ESPECIALIZADO COM ENCARGOS COMPLEMENTARES</v>
      </c>
      <c r="E2037" s="126" t="str">
        <f>IF(A2037="COMPOSIÇÃO",VLOOKUP(C2037,'SINAPI_COMPOSIÇÕES 062020'!A:C,3,FALSE),VLOOKUP(C2037,'SINAPI_INSUMOS 062020'!A:C,3,FALSE))</f>
        <v>H</v>
      </c>
      <c r="F2037" s="233">
        <v>0.25</v>
      </c>
      <c r="G2037" s="128">
        <f>IF(A2037="COMPOSIÇÃO",VLOOKUP(C2037,'SINAPI_COMPOSIÇÕES 062020'!A:D,4,FALSE),VLOOKUP(C2037,'SINAPI_INSUMOS 062020'!A:D,4,FALSE))</f>
        <v>17.149999999999999</v>
      </c>
      <c r="H2037" s="75">
        <f t="shared" si="157"/>
        <v>4.28</v>
      </c>
    </row>
    <row r="2038" spans="1:8" x14ac:dyDescent="0.25">
      <c r="A2038" s="125" t="s">
        <v>11958</v>
      </c>
      <c r="B2038" s="115" t="s">
        <v>11959</v>
      </c>
      <c r="C2038" s="115" t="s">
        <v>11960</v>
      </c>
      <c r="D2038" s="194" t="str">
        <f>B2042</f>
        <v>GÁS REFRIGERANTE R410</v>
      </c>
      <c r="E2038" s="115" t="str">
        <f>H2042</f>
        <v>KG</v>
      </c>
      <c r="F2038" s="233">
        <v>1</v>
      </c>
      <c r="G2038" s="195">
        <f>H2047</f>
        <v>63.15</v>
      </c>
      <c r="H2038" s="222">
        <f t="shared" ref="H2038" si="158">G2038*F2038</f>
        <v>63.15</v>
      </c>
    </row>
    <row r="2039" spans="1:8" ht="13.5" thickBot="1" x14ac:dyDescent="0.3">
      <c r="A2039" s="267" t="str">
        <f>CONCATENATE("TOTAL DO ÍTEM - ",A2032)</f>
        <v>TOTAL DO ÍTEM - MPMT-05104</v>
      </c>
      <c r="B2039" s="268"/>
      <c r="C2039" s="268"/>
      <c r="D2039" s="268"/>
      <c r="E2039" s="268"/>
      <c r="F2039" s="268"/>
      <c r="G2039" s="269"/>
      <c r="H2039" s="188">
        <f>SUM(H2036:H2038)</f>
        <v>72.349999999999994</v>
      </c>
    </row>
    <row r="2040" spans="1:8" ht="13.5" thickBot="1" x14ac:dyDescent="0.3">
      <c r="A2040" s="299" t="s">
        <v>12614</v>
      </c>
      <c r="B2040" s="300"/>
      <c r="C2040" s="300"/>
      <c r="D2040" s="300"/>
      <c r="E2040" s="300"/>
      <c r="F2040" s="300"/>
      <c r="G2040" s="300"/>
      <c r="H2040" s="301"/>
    </row>
    <row r="2041" spans="1:8" ht="13.5" thickBot="1" x14ac:dyDescent="0.3">
      <c r="A2041" s="317" t="s">
        <v>12483</v>
      </c>
      <c r="B2041" s="318"/>
      <c r="C2041" s="318"/>
      <c r="D2041" s="318"/>
      <c r="E2041" s="318"/>
      <c r="F2041" s="318"/>
      <c r="G2041" s="318"/>
      <c r="H2041" s="319"/>
    </row>
    <row r="2042" spans="1:8" ht="13.5" thickBot="1" x14ac:dyDescent="0.3">
      <c r="A2042" s="234" t="s">
        <v>11960</v>
      </c>
      <c r="B2042" s="293" t="s">
        <v>12612</v>
      </c>
      <c r="C2042" s="293"/>
      <c r="D2042" s="293"/>
      <c r="E2042" s="293"/>
      <c r="F2042" s="293"/>
      <c r="G2042" s="293"/>
      <c r="H2042" s="235" t="s">
        <v>57</v>
      </c>
    </row>
    <row r="2043" spans="1:8" ht="25.5" x14ac:dyDescent="0.25">
      <c r="A2043" s="213" t="s">
        <v>11965</v>
      </c>
      <c r="B2043" s="241" t="s">
        <v>11966</v>
      </c>
      <c r="C2043" s="241" t="s">
        <v>11967</v>
      </c>
      <c r="D2043" s="241" t="s">
        <v>11968</v>
      </c>
      <c r="E2043" s="294" t="s">
        <v>11969</v>
      </c>
      <c r="F2043" s="294"/>
      <c r="G2043" s="241" t="s">
        <v>4</v>
      </c>
      <c r="H2043" s="214" t="s">
        <v>11970</v>
      </c>
    </row>
    <row r="2044" spans="1:8" x14ac:dyDescent="0.25">
      <c r="A2044" s="205" t="s">
        <v>12615</v>
      </c>
      <c r="B2044" s="206" t="s">
        <v>11971</v>
      </c>
      <c r="C2044" s="206" t="s">
        <v>12616</v>
      </c>
      <c r="D2044" s="219" t="s">
        <v>12617</v>
      </c>
      <c r="E2044" s="295" t="s">
        <v>12618</v>
      </c>
      <c r="F2044" s="295"/>
      <c r="G2044" s="115" t="s">
        <v>57</v>
      </c>
      <c r="H2044" s="218">
        <f>2150.41/(3*11.3)</f>
        <v>63.433923303834796</v>
      </c>
    </row>
    <row r="2045" spans="1:8" x14ac:dyDescent="0.25">
      <c r="A2045" s="205">
        <v>43866</v>
      </c>
      <c r="B2045" s="206" t="s">
        <v>11971</v>
      </c>
      <c r="C2045" s="206" t="s">
        <v>12576</v>
      </c>
      <c r="D2045" s="219" t="s">
        <v>12577</v>
      </c>
      <c r="E2045" s="295" t="s">
        <v>12578</v>
      </c>
      <c r="F2045" s="295"/>
      <c r="G2045" s="115" t="s">
        <v>57</v>
      </c>
      <c r="H2045" s="218">
        <f>2150.46/(3*11.35)</f>
        <v>63.155947136563881</v>
      </c>
    </row>
    <row r="2046" spans="1:8" x14ac:dyDescent="0.25">
      <c r="A2046" s="205">
        <v>43866</v>
      </c>
      <c r="B2046" s="206" t="s">
        <v>11971</v>
      </c>
      <c r="C2046" s="206" t="s">
        <v>12619</v>
      </c>
      <c r="D2046" s="219" t="s">
        <v>12620</v>
      </c>
      <c r="E2046" s="295" t="s">
        <v>12621</v>
      </c>
      <c r="F2046" s="295"/>
      <c r="G2046" s="115" t="s">
        <v>57</v>
      </c>
      <c r="H2046" s="218">
        <f>1061.03/(3*11.3)</f>
        <v>31.298820058997045</v>
      </c>
    </row>
    <row r="2047" spans="1:8" ht="13.5" thickBot="1" x14ac:dyDescent="0.3">
      <c r="A2047" s="296" t="s">
        <v>11981</v>
      </c>
      <c r="B2047" s="297"/>
      <c r="C2047" s="297"/>
      <c r="D2047" s="297"/>
      <c r="E2047" s="297"/>
      <c r="F2047" s="297"/>
      <c r="G2047" s="298"/>
      <c r="H2047" s="188">
        <f>TRUNC(MEDIAN(H2044:H2046),2)</f>
        <v>63.15</v>
      </c>
    </row>
    <row r="2048" spans="1:8" ht="13.5" thickBot="1" x14ac:dyDescent="0.3"/>
    <row r="2049" spans="1:8" ht="25.5" x14ac:dyDescent="0.25">
      <c r="A2049" s="120" t="s">
        <v>90</v>
      </c>
      <c r="B2049" s="286" t="s">
        <v>91</v>
      </c>
      <c r="C2049" s="287"/>
      <c r="D2049" s="287"/>
      <c r="E2049" s="287"/>
      <c r="F2049" s="287"/>
      <c r="G2049" s="288"/>
      <c r="H2049" s="121" t="s">
        <v>4</v>
      </c>
    </row>
    <row r="2050" spans="1:8" ht="13.5" thickBot="1" x14ac:dyDescent="0.3">
      <c r="A2050" s="113" t="s">
        <v>12622</v>
      </c>
      <c r="B2050" s="289" t="s">
        <v>12623</v>
      </c>
      <c r="C2050" s="290"/>
      <c r="D2050" s="290"/>
      <c r="E2050" s="290"/>
      <c r="F2050" s="290"/>
      <c r="G2050" s="291"/>
      <c r="H2050" s="114" t="s">
        <v>16</v>
      </c>
    </row>
    <row r="2051" spans="1:8" x14ac:dyDescent="0.25">
      <c r="A2051" s="273" t="s">
        <v>13834</v>
      </c>
      <c r="B2051" s="275" t="s">
        <v>92</v>
      </c>
      <c r="C2051" s="276"/>
      <c r="D2051" s="185" t="s">
        <v>398</v>
      </c>
      <c r="E2051" s="239" t="s">
        <v>93</v>
      </c>
      <c r="F2051" s="186">
        <v>0</v>
      </c>
      <c r="G2051" s="277" t="s">
        <v>94</v>
      </c>
      <c r="H2051" s="278"/>
    </row>
    <row r="2052" spans="1:8" x14ac:dyDescent="0.25">
      <c r="A2052" s="274"/>
      <c r="B2052" s="281" t="s">
        <v>95</v>
      </c>
      <c r="C2052" s="282"/>
      <c r="D2052" s="187">
        <v>44032</v>
      </c>
      <c r="E2052" s="240" t="s">
        <v>96</v>
      </c>
      <c r="F2052" s="187">
        <v>44032</v>
      </c>
      <c r="G2052" s="279"/>
      <c r="H2052" s="280"/>
    </row>
    <row r="2053" spans="1:8" x14ac:dyDescent="0.25">
      <c r="A2053" s="122" t="s">
        <v>11885</v>
      </c>
      <c r="B2053" s="123" t="s">
        <v>97</v>
      </c>
      <c r="C2053" s="123" t="s">
        <v>98</v>
      </c>
      <c r="D2053" s="123" t="s">
        <v>3</v>
      </c>
      <c r="E2053" s="123" t="s">
        <v>4</v>
      </c>
      <c r="F2053" s="123" t="s">
        <v>99</v>
      </c>
      <c r="G2053" s="123" t="s">
        <v>100</v>
      </c>
      <c r="H2053" s="124" t="s">
        <v>101</v>
      </c>
    </row>
    <row r="2054" spans="1:8" ht="25.5" x14ac:dyDescent="0.25">
      <c r="A2054" s="125" t="s">
        <v>398</v>
      </c>
      <c r="B2054" s="115" t="s">
        <v>9</v>
      </c>
      <c r="C2054" s="115">
        <v>88247</v>
      </c>
      <c r="D2054" s="127" t="str">
        <f>IF(A2054="COMPOSIÇÃO",VLOOKUP(C2054,'SINAPI_COMPOSIÇÕES 062020'!A:B,2,FALSE),VLOOKUP(C2054,'SINAPI_INSUMOS 062020'!A:B,2,FALSE))</f>
        <v>AUXILIAR DE ELETRICISTA COM ENCARGOS COMPLEMENTARES</v>
      </c>
      <c r="E2054" s="126" t="str">
        <f>IF(A2054="COMPOSIÇÃO",VLOOKUP(C2054,'SINAPI_COMPOSIÇÕES 062020'!A:C,3,FALSE),VLOOKUP(C2054,'SINAPI_INSUMOS 062020'!A:C,3,FALSE))</f>
        <v>H</v>
      </c>
      <c r="F2054" s="74">
        <v>0.2</v>
      </c>
      <c r="G2054" s="128">
        <f>IF(A2054="COMPOSIÇÃO",VLOOKUP(C2054,'SINAPI_COMPOSIÇÕES 062020'!A:D,4,FALSE),VLOOKUP(C2054,'SINAPI_INSUMOS 062020'!A:D,4,FALSE))</f>
        <v>14.33</v>
      </c>
      <c r="H2054" s="75">
        <f t="shared" ref="H2054:H2055" si="159">TRUNC(G2054*F2054,2)</f>
        <v>2.86</v>
      </c>
    </row>
    <row r="2055" spans="1:8" ht="25.5" x14ac:dyDescent="0.25">
      <c r="A2055" s="125" t="s">
        <v>398</v>
      </c>
      <c r="B2055" s="115" t="s">
        <v>9</v>
      </c>
      <c r="C2055" s="115">
        <v>88316</v>
      </c>
      <c r="D2055" s="127" t="str">
        <f>IF(A2055="COMPOSIÇÃO",VLOOKUP(C2055,'SINAPI_COMPOSIÇÕES 062020'!A:B,2,FALSE),VLOOKUP(C2055,'SINAPI_INSUMOS 062020'!A:B,2,FALSE))</f>
        <v>SERVENTE COM ENCARGOS COMPLEMENTARES</v>
      </c>
      <c r="E2055" s="126" t="str">
        <f>IF(A2055="COMPOSIÇÃO",VLOOKUP(C2055,'SINAPI_COMPOSIÇÕES 062020'!A:C,3,FALSE),VLOOKUP(C2055,'SINAPI_INSUMOS 062020'!A:C,3,FALSE))</f>
        <v>H</v>
      </c>
      <c r="F2055" s="74">
        <v>0.2</v>
      </c>
      <c r="G2055" s="128">
        <f>IF(A2055="COMPOSIÇÃO",VLOOKUP(C2055,'SINAPI_COMPOSIÇÕES 062020'!A:D,4,FALSE),VLOOKUP(C2055,'SINAPI_INSUMOS 062020'!A:D,4,FALSE))</f>
        <v>14.37</v>
      </c>
      <c r="H2055" s="75">
        <f t="shared" si="159"/>
        <v>2.87</v>
      </c>
    </row>
    <row r="2056" spans="1:8" ht="13.5" thickBot="1" x14ac:dyDescent="0.3">
      <c r="A2056" s="267" t="str">
        <f>CONCATENATE("TOTAL DO ÍTEM - ",A2050)</f>
        <v>TOTAL DO ÍTEM - MPMT-03438</v>
      </c>
      <c r="B2056" s="268"/>
      <c r="C2056" s="268"/>
      <c r="D2056" s="268"/>
      <c r="E2056" s="268"/>
      <c r="F2056" s="268"/>
      <c r="G2056" s="269"/>
      <c r="H2056" s="188">
        <f>TRUNC(SUM(H2054:H2055),2)</f>
        <v>5.73</v>
      </c>
    </row>
    <row r="2057" spans="1:8" ht="13.5" thickBot="1" x14ac:dyDescent="0.3">
      <c r="A2057" s="299" t="s">
        <v>12494</v>
      </c>
      <c r="B2057" s="300"/>
      <c r="C2057" s="300"/>
      <c r="D2057" s="300"/>
      <c r="E2057" s="300"/>
      <c r="F2057" s="300"/>
      <c r="G2057" s="300"/>
      <c r="H2057" s="301"/>
    </row>
    <row r="2058" spans="1:8" ht="13.5" thickBot="1" x14ac:dyDescent="0.3"/>
    <row r="2059" spans="1:8" ht="25.5" x14ac:dyDescent="0.25">
      <c r="A2059" s="120" t="s">
        <v>90</v>
      </c>
      <c r="B2059" s="286" t="s">
        <v>91</v>
      </c>
      <c r="C2059" s="287"/>
      <c r="D2059" s="287"/>
      <c r="E2059" s="287"/>
      <c r="F2059" s="287"/>
      <c r="G2059" s="288"/>
      <c r="H2059" s="121" t="s">
        <v>4</v>
      </c>
    </row>
    <row r="2060" spans="1:8" ht="13.5" thickBot="1" x14ac:dyDescent="0.3">
      <c r="A2060" s="113" t="s">
        <v>12624</v>
      </c>
      <c r="B2060" s="289" t="s">
        <v>12625</v>
      </c>
      <c r="C2060" s="290"/>
      <c r="D2060" s="290"/>
      <c r="E2060" s="290"/>
      <c r="F2060" s="290"/>
      <c r="G2060" s="291"/>
      <c r="H2060" s="114" t="s">
        <v>8</v>
      </c>
    </row>
    <row r="2061" spans="1:8" x14ac:dyDescent="0.25">
      <c r="A2061" s="273" t="s">
        <v>13834</v>
      </c>
      <c r="B2061" s="275" t="s">
        <v>92</v>
      </c>
      <c r="C2061" s="276"/>
      <c r="D2061" s="185" t="s">
        <v>398</v>
      </c>
      <c r="E2061" s="239" t="s">
        <v>93</v>
      </c>
      <c r="F2061" s="186">
        <v>0</v>
      </c>
      <c r="G2061" s="277" t="s">
        <v>94</v>
      </c>
      <c r="H2061" s="278"/>
    </row>
    <row r="2062" spans="1:8" x14ac:dyDescent="0.25">
      <c r="A2062" s="274"/>
      <c r="B2062" s="281" t="s">
        <v>95</v>
      </c>
      <c r="C2062" s="282"/>
      <c r="D2062" s="187">
        <v>44033</v>
      </c>
      <c r="E2062" s="240" t="s">
        <v>96</v>
      </c>
      <c r="F2062" s="187">
        <v>44033</v>
      </c>
      <c r="G2062" s="279"/>
      <c r="H2062" s="280"/>
    </row>
    <row r="2063" spans="1:8" x14ac:dyDescent="0.25">
      <c r="A2063" s="122" t="s">
        <v>11885</v>
      </c>
      <c r="B2063" s="123" t="s">
        <v>97</v>
      </c>
      <c r="C2063" s="123" t="s">
        <v>98</v>
      </c>
      <c r="D2063" s="123" t="s">
        <v>3</v>
      </c>
      <c r="E2063" s="123" t="s">
        <v>4</v>
      </c>
      <c r="F2063" s="123" t="s">
        <v>99</v>
      </c>
      <c r="G2063" s="123" t="s">
        <v>100</v>
      </c>
      <c r="H2063" s="124" t="s">
        <v>101</v>
      </c>
    </row>
    <row r="2064" spans="1:8" ht="25.5" x14ac:dyDescent="0.25">
      <c r="A2064" s="125" t="s">
        <v>398</v>
      </c>
      <c r="B2064" s="115" t="s">
        <v>9</v>
      </c>
      <c r="C2064" s="115">
        <v>88274</v>
      </c>
      <c r="D2064" s="127" t="str">
        <f>IF(A2064="COMPOSIÇÃO",VLOOKUP(C2064,'SINAPI_COMPOSIÇÕES 062020'!A:B,2,FALSE),VLOOKUP(C2064,'SINAPI_INSUMOS 062020'!A:B,2,FALSE))</f>
        <v>MARMORISTA/GRANITEIRO COM ENCARGOS COMPLEMENTARES</v>
      </c>
      <c r="E2064" s="126" t="str">
        <f>IF(A2064="COMPOSIÇÃO",VLOOKUP(C2064,'SINAPI_COMPOSIÇÕES 062020'!A:C,3,FALSE),VLOOKUP(C2064,'SINAPI_INSUMOS 062020'!A:C,3,FALSE))</f>
        <v>H</v>
      </c>
      <c r="F2064" s="74">
        <v>0.6</v>
      </c>
      <c r="G2064" s="128">
        <f>IF(A2064="COMPOSIÇÃO",VLOOKUP(C2064,'SINAPI_COMPOSIÇÕES 062020'!A:D,4,FALSE),VLOOKUP(C2064,'SINAPI_INSUMOS 062020'!A:D,4,FALSE))</f>
        <v>17.98</v>
      </c>
      <c r="H2064" s="75">
        <f t="shared" ref="H2064:H2065" si="160">TRUNC(G2064*F2064,2)</f>
        <v>10.78</v>
      </c>
    </row>
    <row r="2065" spans="1:8" ht="25.5" x14ac:dyDescent="0.25">
      <c r="A2065" s="125" t="s">
        <v>398</v>
      </c>
      <c r="B2065" s="115" t="s">
        <v>9</v>
      </c>
      <c r="C2065" s="115">
        <v>88316</v>
      </c>
      <c r="D2065" s="127" t="str">
        <f>IF(A2065="COMPOSIÇÃO",VLOOKUP(C2065,'SINAPI_COMPOSIÇÕES 062020'!A:B,2,FALSE),VLOOKUP(C2065,'SINAPI_INSUMOS 062020'!A:B,2,FALSE))</f>
        <v>SERVENTE COM ENCARGOS COMPLEMENTARES</v>
      </c>
      <c r="E2065" s="126" t="str">
        <f>IF(A2065="COMPOSIÇÃO",VLOOKUP(C2065,'SINAPI_COMPOSIÇÕES 062020'!A:C,3,FALSE),VLOOKUP(C2065,'SINAPI_INSUMOS 062020'!A:C,3,FALSE))</f>
        <v>H</v>
      </c>
      <c r="F2065" s="74">
        <v>0.6</v>
      </c>
      <c r="G2065" s="128">
        <f>IF(A2065="COMPOSIÇÃO",VLOOKUP(C2065,'SINAPI_COMPOSIÇÕES 062020'!A:D,4,FALSE),VLOOKUP(C2065,'SINAPI_INSUMOS 062020'!A:D,4,FALSE))</f>
        <v>14.37</v>
      </c>
      <c r="H2065" s="75">
        <f t="shared" si="160"/>
        <v>8.6199999999999992</v>
      </c>
    </row>
    <row r="2066" spans="1:8" ht="13.5" thickBot="1" x14ac:dyDescent="0.3">
      <c r="A2066" s="267" t="str">
        <f>CONCATENATE("TOTAL DO ÍTEM - ",A2060)</f>
        <v>TOTAL DO ÍTEM - MPMT-02570</v>
      </c>
      <c r="B2066" s="268"/>
      <c r="C2066" s="268"/>
      <c r="D2066" s="268"/>
      <c r="E2066" s="268"/>
      <c r="F2066" s="268"/>
      <c r="G2066" s="269"/>
      <c r="H2066" s="188">
        <f>TRUNC(SUM(H2064:H2065),2)</f>
        <v>19.399999999999999</v>
      </c>
    </row>
    <row r="2067" spans="1:8" ht="13.5" thickBot="1" x14ac:dyDescent="0.3">
      <c r="A2067" s="302" t="s">
        <v>12494</v>
      </c>
      <c r="B2067" s="303"/>
      <c r="C2067" s="303"/>
      <c r="D2067" s="303"/>
      <c r="E2067" s="303"/>
      <c r="F2067" s="303"/>
      <c r="G2067" s="303"/>
      <c r="H2067" s="304"/>
    </row>
    <row r="2068" spans="1:8" ht="13.5" thickBot="1" x14ac:dyDescent="0.3"/>
    <row r="2069" spans="1:8" ht="25.5" x14ac:dyDescent="0.25">
      <c r="A2069" s="120" t="s">
        <v>90</v>
      </c>
      <c r="B2069" s="286" t="s">
        <v>91</v>
      </c>
      <c r="C2069" s="287"/>
      <c r="D2069" s="287"/>
      <c r="E2069" s="287"/>
      <c r="F2069" s="287"/>
      <c r="G2069" s="288"/>
      <c r="H2069" s="121" t="s">
        <v>4</v>
      </c>
    </row>
    <row r="2070" spans="1:8" ht="13.5" thickBot="1" x14ac:dyDescent="0.3">
      <c r="A2070" s="113" t="s">
        <v>12626</v>
      </c>
      <c r="B2070" s="289" t="s">
        <v>12627</v>
      </c>
      <c r="C2070" s="290"/>
      <c r="D2070" s="290"/>
      <c r="E2070" s="290"/>
      <c r="F2070" s="290"/>
      <c r="G2070" s="291"/>
      <c r="H2070" s="114" t="s">
        <v>4</v>
      </c>
    </row>
    <row r="2071" spans="1:8" x14ac:dyDescent="0.25">
      <c r="A2071" s="273" t="s">
        <v>13834</v>
      </c>
      <c r="B2071" s="275" t="s">
        <v>92</v>
      </c>
      <c r="C2071" s="276"/>
      <c r="D2071" s="185" t="s">
        <v>12628</v>
      </c>
      <c r="E2071" s="239" t="s">
        <v>93</v>
      </c>
      <c r="F2071" s="186">
        <v>0</v>
      </c>
      <c r="G2071" s="277" t="s">
        <v>94</v>
      </c>
      <c r="H2071" s="278"/>
    </row>
    <row r="2072" spans="1:8" x14ac:dyDescent="0.25">
      <c r="A2072" s="274"/>
      <c r="B2072" s="281" t="s">
        <v>95</v>
      </c>
      <c r="C2072" s="282"/>
      <c r="D2072" s="187">
        <v>43580</v>
      </c>
      <c r="E2072" s="240" t="s">
        <v>96</v>
      </c>
      <c r="F2072" s="187">
        <v>43580</v>
      </c>
      <c r="G2072" s="279"/>
      <c r="H2072" s="280"/>
    </row>
    <row r="2073" spans="1:8" x14ac:dyDescent="0.25">
      <c r="A2073" s="122" t="s">
        <v>11885</v>
      </c>
      <c r="B2073" s="123" t="s">
        <v>97</v>
      </c>
      <c r="C2073" s="123" t="s">
        <v>98</v>
      </c>
      <c r="D2073" s="123" t="s">
        <v>3</v>
      </c>
      <c r="E2073" s="123" t="s">
        <v>4</v>
      </c>
      <c r="F2073" s="123" t="s">
        <v>99</v>
      </c>
      <c r="G2073" s="123" t="s">
        <v>100</v>
      </c>
      <c r="H2073" s="124" t="s">
        <v>101</v>
      </c>
    </row>
    <row r="2074" spans="1:8" ht="25.5" x14ac:dyDescent="0.25">
      <c r="A2074" s="125" t="s">
        <v>398</v>
      </c>
      <c r="B2074" s="115" t="s">
        <v>9</v>
      </c>
      <c r="C2074" s="115">
        <v>88309</v>
      </c>
      <c r="D2074" s="127" t="str">
        <f>IF(A2074="COMPOSIÇÃO",VLOOKUP(C2074,'SINAPI_COMPOSIÇÕES 062020'!A:B,2,FALSE),VLOOKUP(C2074,'SINAPI_INSUMOS 062020'!A:B,2,FALSE))</f>
        <v>PEDREIRO COM ENCARGOS COMPLEMENTARES</v>
      </c>
      <c r="E2074" s="126" t="str">
        <f>IF(A2074="COMPOSIÇÃO",VLOOKUP(C2074,'SINAPI_COMPOSIÇÕES 062020'!A:C,3,FALSE),VLOOKUP(C2074,'SINAPI_INSUMOS 062020'!A:C,3,FALSE))</f>
        <v>H</v>
      </c>
      <c r="F2074" s="220">
        <v>0.96799999999999997</v>
      </c>
      <c r="G2074" s="128">
        <f>IF(A2074="COMPOSIÇÃO",VLOOKUP(C2074,'SINAPI_COMPOSIÇÕES 062020'!A:D,4,FALSE),VLOOKUP(C2074,'SINAPI_INSUMOS 062020'!A:D,4,FALSE))</f>
        <v>17.760000000000002</v>
      </c>
      <c r="H2074" s="75">
        <f t="shared" ref="H2074:H2078" si="161">TRUNC(G2074*F2074,2)</f>
        <v>17.190000000000001</v>
      </c>
    </row>
    <row r="2075" spans="1:8" ht="25.5" x14ac:dyDescent="0.25">
      <c r="A2075" s="125" t="s">
        <v>398</v>
      </c>
      <c r="B2075" s="115" t="s">
        <v>9</v>
      </c>
      <c r="C2075" s="115">
        <v>88316</v>
      </c>
      <c r="D2075" s="127" t="str">
        <f>IF(A2075="COMPOSIÇÃO",VLOOKUP(C2075,'SINAPI_COMPOSIÇÕES 062020'!A:B,2,FALSE),VLOOKUP(C2075,'SINAPI_INSUMOS 062020'!A:B,2,FALSE))</f>
        <v>SERVENTE COM ENCARGOS COMPLEMENTARES</v>
      </c>
      <c r="E2075" s="126" t="str">
        <f>IF(A2075="COMPOSIÇÃO",VLOOKUP(C2075,'SINAPI_COMPOSIÇÕES 062020'!A:C,3,FALSE),VLOOKUP(C2075,'SINAPI_INSUMOS 062020'!A:C,3,FALSE))</f>
        <v>H</v>
      </c>
      <c r="F2075" s="74">
        <v>0.48399999999999999</v>
      </c>
      <c r="G2075" s="128">
        <f>IF(A2075="COMPOSIÇÃO",VLOOKUP(C2075,'SINAPI_COMPOSIÇÕES 062020'!A:D,4,FALSE),VLOOKUP(C2075,'SINAPI_INSUMOS 062020'!A:D,4,FALSE))</f>
        <v>14.37</v>
      </c>
      <c r="H2075" s="75">
        <f t="shared" si="161"/>
        <v>6.95</v>
      </c>
    </row>
    <row r="2076" spans="1:8" ht="38.25" x14ac:dyDescent="0.25">
      <c r="A2076" s="125" t="s">
        <v>400</v>
      </c>
      <c r="B2076" s="115" t="s">
        <v>9</v>
      </c>
      <c r="C2076" s="115">
        <v>142</v>
      </c>
      <c r="D2076" s="127" t="str">
        <f>IF(A2076="COMPOSIÇÃO",VLOOKUP(C2076,'SINAPI_COMPOSIÇÕES 062020'!A:B,2,FALSE),VLOOKUP(C2076,'SINAPI_INSUMOS 062020'!A:B,2,FALSE))</f>
        <v>SELANTE ELASTICO MONOCOMPONENTE A BASE DE POLIURETANO (PU) PARA JUNTAS DIVERSAS</v>
      </c>
      <c r="E2076" s="126" t="str">
        <f>IF(A2076="COMPOSIÇÃO",VLOOKUP(C2076,'SINAPI_COMPOSIÇÕES 062020'!A:C,3,FALSE),VLOOKUP(C2076,'SINAPI_INSUMOS 062020'!A:C,3,FALSE))</f>
        <v xml:space="preserve">310ML </v>
      </c>
      <c r="F2076" s="74">
        <v>1.613</v>
      </c>
      <c r="G2076" s="128">
        <f>IF(A2076="COMPOSIÇÃO",VLOOKUP(C2076,'SINAPI_COMPOSIÇÕES 062020'!A:D,4,FALSE),VLOOKUP(C2076,'SINAPI_INSUMOS 062020'!A:D,4,FALSE))</f>
        <v>24.17</v>
      </c>
      <c r="H2076" s="75">
        <f t="shared" si="161"/>
        <v>38.979999999999997</v>
      </c>
    </row>
    <row r="2077" spans="1:8" ht="51" x14ac:dyDescent="0.25">
      <c r="A2077" s="125" t="s">
        <v>400</v>
      </c>
      <c r="B2077" s="115" t="s">
        <v>9</v>
      </c>
      <c r="C2077" s="115">
        <v>7568</v>
      </c>
      <c r="D2077" s="127" t="str">
        <f>IF(A2077="COMPOSIÇÃO",VLOOKUP(C2077,'SINAPI_COMPOSIÇÕES 062020'!A:B,2,FALSE),VLOOKUP(C2077,'SINAPI_INSUMOS 062020'!A:B,2,FALSE))</f>
        <v>BUCHA DE NYLON SEM ABA S10, COM PARAFUSO DE 6,10 X 65 MM EM ACO ZINCADO COM ROSCA SOBERBA, CABECA CHATA E FENDA PHILLIPS</v>
      </c>
      <c r="E2077" s="126" t="str">
        <f>IF(A2077="COMPOSIÇÃO",VLOOKUP(C2077,'SINAPI_COMPOSIÇÕES 062020'!A:C,3,FALSE),VLOOKUP(C2077,'SINAPI_INSUMOS 062020'!A:C,3,FALSE))</f>
        <v xml:space="preserve">UN    </v>
      </c>
      <c r="F2077" s="74">
        <v>8.8000000000000007</v>
      </c>
      <c r="G2077" s="128">
        <f>IF(A2077="COMPOSIÇÃO",VLOOKUP(C2077,'SINAPI_COMPOSIÇÕES 062020'!A:D,4,FALSE),VLOOKUP(C2077,'SINAPI_INSUMOS 062020'!A:D,4,FALSE))</f>
        <v>0.43</v>
      </c>
      <c r="H2077" s="75">
        <f t="shared" si="161"/>
        <v>3.78</v>
      </c>
    </row>
    <row r="2078" spans="1:8" ht="38.25" x14ac:dyDescent="0.25">
      <c r="A2078" s="125" t="s">
        <v>400</v>
      </c>
      <c r="B2078" s="115" t="s">
        <v>9</v>
      </c>
      <c r="C2078" s="115">
        <v>10496</v>
      </c>
      <c r="D2078" s="127" t="str">
        <f>IF(A2078="COMPOSIÇÃO",VLOOKUP(C2078,'SINAPI_COMPOSIÇÕES 062020'!A:B,2,FALSE),VLOOKUP(C2078,'SINAPI_INSUMOS 062020'!A:B,2,FALSE))</f>
        <v>VIDRO COMUM LAMINADO, LISO, INCOLOR, DUPLO, ESPESSURA TOTAL 6 MM (CADA CAMADA E= 3 MM) - COLOCADO</v>
      </c>
      <c r="E2078" s="126" t="str">
        <f>IF(A2078="COMPOSIÇÃO",VLOOKUP(C2078,'SINAPI_COMPOSIÇÕES 062020'!A:C,3,FALSE),VLOOKUP(C2078,'SINAPI_INSUMOS 062020'!A:C,3,FALSE))</f>
        <v xml:space="preserve">M2    </v>
      </c>
      <c r="F2078" s="74">
        <v>0.62</v>
      </c>
      <c r="G2078" s="128">
        <f>IF(A2078="COMPOSIÇÃO",VLOOKUP(C2078,'SINAPI_COMPOSIÇÕES 062020'!A:D,4,FALSE),VLOOKUP(C2078,'SINAPI_INSUMOS 062020'!A:D,4,FALSE))</f>
        <v>463.05</v>
      </c>
      <c r="H2078" s="75">
        <f t="shared" si="161"/>
        <v>287.08999999999997</v>
      </c>
    </row>
    <row r="2079" spans="1:8" ht="38.25" x14ac:dyDescent="0.25">
      <c r="A2079" s="125" t="s">
        <v>11958</v>
      </c>
      <c r="B2079" s="115" t="s">
        <v>11959</v>
      </c>
      <c r="C2079" s="115" t="s">
        <v>11960</v>
      </c>
      <c r="D2079" s="194" t="str">
        <f>B2083</f>
        <v>PORTA EM CHAPA DE AÇO REFORÇADA, COM PAINEIS REBAIXADOS, COM GUARNIÇÕES, 80X210CM, COM GRADE E VIDRO</v>
      </c>
      <c r="E2079" s="115" t="str">
        <f>H2083</f>
        <v>UND</v>
      </c>
      <c r="F2079" s="74">
        <v>1</v>
      </c>
      <c r="G2079" s="195">
        <f>H2086</f>
        <v>700</v>
      </c>
      <c r="H2079" s="75">
        <f t="shared" ref="H2079" si="162">TRUNC(G2079*F2079,2)</f>
        <v>700</v>
      </c>
    </row>
    <row r="2080" spans="1:8" ht="13.5" thickBot="1" x14ac:dyDescent="0.3">
      <c r="A2080" s="267" t="str">
        <f>CONCATENATE("TOTAL DO ÍTEM - ",A2070)</f>
        <v>TOTAL DO ÍTEM - MPMT-02571</v>
      </c>
      <c r="B2080" s="268"/>
      <c r="C2080" s="268"/>
      <c r="D2080" s="268"/>
      <c r="E2080" s="268"/>
      <c r="F2080" s="268"/>
      <c r="G2080" s="269"/>
      <c r="H2080" s="188">
        <f>TRUNC(SUM(H2074:H2079),2)</f>
        <v>1053.99</v>
      </c>
    </row>
    <row r="2081" spans="1:8" ht="13.5" thickBot="1" x14ac:dyDescent="0.3">
      <c r="A2081" s="270" t="s">
        <v>12629</v>
      </c>
      <c r="B2081" s="271"/>
      <c r="C2081" s="271"/>
      <c r="D2081" s="271"/>
      <c r="E2081" s="271"/>
      <c r="F2081" s="271"/>
      <c r="G2081" s="271"/>
      <c r="H2081" s="272"/>
    </row>
    <row r="2082" spans="1:8" x14ac:dyDescent="0.25">
      <c r="A2082" s="196"/>
      <c r="B2082" s="292" t="s">
        <v>11962</v>
      </c>
      <c r="C2082" s="292"/>
      <c r="D2082" s="292"/>
      <c r="E2082" s="292"/>
      <c r="F2082" s="292"/>
      <c r="G2082" s="292"/>
      <c r="H2082" s="197" t="s">
        <v>11963</v>
      </c>
    </row>
    <row r="2083" spans="1:8" ht="13.5" thickBot="1" x14ac:dyDescent="0.3">
      <c r="A2083" s="234" t="s">
        <v>11960</v>
      </c>
      <c r="B2083" s="293" t="s">
        <v>12630</v>
      </c>
      <c r="C2083" s="293"/>
      <c r="D2083" s="293"/>
      <c r="E2083" s="293"/>
      <c r="F2083" s="293"/>
      <c r="G2083" s="293"/>
      <c r="H2083" s="235" t="s">
        <v>4</v>
      </c>
    </row>
    <row r="2084" spans="1:8" ht="25.5" x14ac:dyDescent="0.25">
      <c r="A2084" s="213" t="s">
        <v>11965</v>
      </c>
      <c r="B2084" s="241" t="s">
        <v>11966</v>
      </c>
      <c r="C2084" s="241" t="s">
        <v>11967</v>
      </c>
      <c r="D2084" s="241" t="s">
        <v>11968</v>
      </c>
      <c r="E2084" s="294" t="s">
        <v>11969</v>
      </c>
      <c r="F2084" s="294"/>
      <c r="G2084" s="241" t="s">
        <v>4</v>
      </c>
      <c r="H2084" s="214" t="s">
        <v>11970</v>
      </c>
    </row>
    <row r="2085" spans="1:8" x14ac:dyDescent="0.25">
      <c r="A2085" s="205">
        <v>44033</v>
      </c>
      <c r="B2085" s="206"/>
      <c r="C2085" s="206" t="s">
        <v>12631</v>
      </c>
      <c r="D2085" s="206" t="s">
        <v>12632</v>
      </c>
      <c r="E2085" s="306"/>
      <c r="F2085" s="306"/>
      <c r="G2085" s="115" t="s">
        <v>4</v>
      </c>
      <c r="H2085" s="218">
        <v>700</v>
      </c>
    </row>
    <row r="2086" spans="1:8" ht="13.5" thickBot="1" x14ac:dyDescent="0.3">
      <c r="A2086" s="296" t="s">
        <v>11981</v>
      </c>
      <c r="B2086" s="297"/>
      <c r="C2086" s="297"/>
      <c r="D2086" s="297"/>
      <c r="E2086" s="297"/>
      <c r="F2086" s="297"/>
      <c r="G2086" s="298"/>
      <c r="H2086" s="188">
        <f>TRUNC(MEDIAN(H2085:H2085),2)</f>
        <v>700</v>
      </c>
    </row>
    <row r="2087" spans="1:8" ht="13.5" thickBot="1" x14ac:dyDescent="0.3">
      <c r="A2087" s="189"/>
      <c r="B2087" s="189"/>
      <c r="C2087" s="189"/>
      <c r="D2087" s="190"/>
      <c r="E2087" s="189"/>
      <c r="F2087" s="191"/>
      <c r="G2087" s="191"/>
      <c r="H2087" s="191"/>
    </row>
    <row r="2088" spans="1:8" ht="25.5" x14ac:dyDescent="0.25">
      <c r="A2088" s="120" t="s">
        <v>90</v>
      </c>
      <c r="B2088" s="286" t="s">
        <v>91</v>
      </c>
      <c r="C2088" s="287"/>
      <c r="D2088" s="287"/>
      <c r="E2088" s="287"/>
      <c r="F2088" s="287"/>
      <c r="G2088" s="288"/>
      <c r="H2088" s="121" t="s">
        <v>4</v>
      </c>
    </row>
    <row r="2089" spans="1:8" ht="13.5" thickBot="1" x14ac:dyDescent="0.3">
      <c r="A2089" s="113" t="s">
        <v>12633</v>
      </c>
      <c r="B2089" s="289" t="s">
        <v>12634</v>
      </c>
      <c r="C2089" s="290"/>
      <c r="D2089" s="290"/>
      <c r="E2089" s="290"/>
      <c r="F2089" s="290"/>
      <c r="G2089" s="291"/>
      <c r="H2089" s="114" t="s">
        <v>4</v>
      </c>
    </row>
    <row r="2090" spans="1:8" x14ac:dyDescent="0.25">
      <c r="A2090" s="273" t="s">
        <v>13834</v>
      </c>
      <c r="B2090" s="275" t="s">
        <v>92</v>
      </c>
      <c r="C2090" s="276"/>
      <c r="D2090" s="185" t="s">
        <v>12628</v>
      </c>
      <c r="E2090" s="239" t="s">
        <v>93</v>
      </c>
      <c r="F2090" s="186">
        <v>0</v>
      </c>
      <c r="G2090" s="277" t="s">
        <v>94</v>
      </c>
      <c r="H2090" s="278"/>
    </row>
    <row r="2091" spans="1:8" x14ac:dyDescent="0.25">
      <c r="A2091" s="274"/>
      <c r="B2091" s="281" t="s">
        <v>95</v>
      </c>
      <c r="C2091" s="282"/>
      <c r="D2091" s="187">
        <v>43580</v>
      </c>
      <c r="E2091" s="240" t="s">
        <v>96</v>
      </c>
      <c r="F2091" s="187">
        <v>43580</v>
      </c>
      <c r="G2091" s="279"/>
      <c r="H2091" s="280"/>
    </row>
    <row r="2092" spans="1:8" x14ac:dyDescent="0.25">
      <c r="A2092" s="122" t="s">
        <v>11885</v>
      </c>
      <c r="B2092" s="123" t="s">
        <v>97</v>
      </c>
      <c r="C2092" s="123" t="s">
        <v>98</v>
      </c>
      <c r="D2092" s="123" t="s">
        <v>3</v>
      </c>
      <c r="E2092" s="123" t="s">
        <v>4</v>
      </c>
      <c r="F2092" s="123" t="s">
        <v>99</v>
      </c>
      <c r="G2092" s="123" t="s">
        <v>100</v>
      </c>
      <c r="H2092" s="124" t="s">
        <v>101</v>
      </c>
    </row>
    <row r="2093" spans="1:8" ht="25.5" x14ac:dyDescent="0.25">
      <c r="A2093" s="125" t="s">
        <v>398</v>
      </c>
      <c r="B2093" s="115" t="s">
        <v>9</v>
      </c>
      <c r="C2093" s="115">
        <v>88309</v>
      </c>
      <c r="D2093" s="127" t="str">
        <f>IF(A2093="COMPOSIÇÃO",VLOOKUP(C2093,'SINAPI_COMPOSIÇÕES 062020'!A:B,2,FALSE),VLOOKUP(C2093,'SINAPI_INSUMOS 062020'!A:B,2,FALSE))</f>
        <v>PEDREIRO COM ENCARGOS COMPLEMENTARES</v>
      </c>
      <c r="E2093" s="126" t="str">
        <f>IF(A2093="COMPOSIÇÃO",VLOOKUP(C2093,'SINAPI_COMPOSIÇÕES 062020'!A:C,3,FALSE),VLOOKUP(C2093,'SINAPI_INSUMOS 062020'!A:C,3,FALSE))</f>
        <v>H</v>
      </c>
      <c r="F2093" s="220">
        <v>0.96799999999999997</v>
      </c>
      <c r="G2093" s="128">
        <f>IF(A2093="COMPOSIÇÃO",VLOOKUP(C2093,'SINAPI_COMPOSIÇÕES 062020'!A:D,4,FALSE),VLOOKUP(C2093,'SINAPI_INSUMOS 062020'!A:D,4,FALSE))</f>
        <v>17.760000000000002</v>
      </c>
      <c r="H2093" s="75">
        <f t="shared" ref="H2093:H2097" si="163">TRUNC(G2093*F2093,2)</f>
        <v>17.190000000000001</v>
      </c>
    </row>
    <row r="2094" spans="1:8" ht="25.5" x14ac:dyDescent="0.25">
      <c r="A2094" s="125" t="s">
        <v>398</v>
      </c>
      <c r="B2094" s="115" t="s">
        <v>9</v>
      </c>
      <c r="C2094" s="115">
        <v>88316</v>
      </c>
      <c r="D2094" s="127" t="str">
        <f>IF(A2094="COMPOSIÇÃO",VLOOKUP(C2094,'SINAPI_COMPOSIÇÕES 062020'!A:B,2,FALSE),VLOOKUP(C2094,'SINAPI_INSUMOS 062020'!A:B,2,FALSE))</f>
        <v>SERVENTE COM ENCARGOS COMPLEMENTARES</v>
      </c>
      <c r="E2094" s="126" t="str">
        <f>IF(A2094="COMPOSIÇÃO",VLOOKUP(C2094,'SINAPI_COMPOSIÇÕES 062020'!A:C,3,FALSE),VLOOKUP(C2094,'SINAPI_INSUMOS 062020'!A:C,3,FALSE))</f>
        <v>H</v>
      </c>
      <c r="F2094" s="74">
        <v>0.48399999999999999</v>
      </c>
      <c r="G2094" s="128">
        <f>IF(A2094="COMPOSIÇÃO",VLOOKUP(C2094,'SINAPI_COMPOSIÇÕES 062020'!A:D,4,FALSE),VLOOKUP(C2094,'SINAPI_INSUMOS 062020'!A:D,4,FALSE))</f>
        <v>14.37</v>
      </c>
      <c r="H2094" s="75">
        <f t="shared" si="163"/>
        <v>6.95</v>
      </c>
    </row>
    <row r="2095" spans="1:8" ht="38.25" x14ac:dyDescent="0.25">
      <c r="A2095" s="125" t="s">
        <v>400</v>
      </c>
      <c r="B2095" s="115" t="s">
        <v>9</v>
      </c>
      <c r="C2095" s="115">
        <v>142</v>
      </c>
      <c r="D2095" s="127" t="str">
        <f>IF(A2095="COMPOSIÇÃO",VLOOKUP(C2095,'SINAPI_COMPOSIÇÕES 062020'!A:B,2,FALSE),VLOOKUP(C2095,'SINAPI_INSUMOS 062020'!A:B,2,FALSE))</f>
        <v>SELANTE ELASTICO MONOCOMPONENTE A BASE DE POLIURETANO (PU) PARA JUNTAS DIVERSAS</v>
      </c>
      <c r="E2095" s="126" t="str">
        <f>IF(A2095="COMPOSIÇÃO",VLOOKUP(C2095,'SINAPI_COMPOSIÇÕES 062020'!A:C,3,FALSE),VLOOKUP(C2095,'SINAPI_INSUMOS 062020'!A:C,3,FALSE))</f>
        <v xml:space="preserve">310ML </v>
      </c>
      <c r="F2095" s="74">
        <v>1.613</v>
      </c>
      <c r="G2095" s="128">
        <f>IF(A2095="COMPOSIÇÃO",VLOOKUP(C2095,'SINAPI_COMPOSIÇÕES 062020'!A:D,4,FALSE),VLOOKUP(C2095,'SINAPI_INSUMOS 062020'!A:D,4,FALSE))</f>
        <v>24.17</v>
      </c>
      <c r="H2095" s="75">
        <f t="shared" si="163"/>
        <v>38.979999999999997</v>
      </c>
    </row>
    <row r="2096" spans="1:8" ht="51" x14ac:dyDescent="0.25">
      <c r="A2096" s="125" t="s">
        <v>400</v>
      </c>
      <c r="B2096" s="115" t="s">
        <v>9</v>
      </c>
      <c r="C2096" s="115">
        <v>7568</v>
      </c>
      <c r="D2096" s="127" t="str">
        <f>IF(A2096="COMPOSIÇÃO",VLOOKUP(C2096,'SINAPI_COMPOSIÇÕES 062020'!A:B,2,FALSE),VLOOKUP(C2096,'SINAPI_INSUMOS 062020'!A:B,2,FALSE))</f>
        <v>BUCHA DE NYLON SEM ABA S10, COM PARAFUSO DE 6,10 X 65 MM EM ACO ZINCADO COM ROSCA SOBERBA, CABECA CHATA E FENDA PHILLIPS</v>
      </c>
      <c r="E2096" s="126" t="str">
        <f>IF(A2096="COMPOSIÇÃO",VLOOKUP(C2096,'SINAPI_COMPOSIÇÕES 062020'!A:C,3,FALSE),VLOOKUP(C2096,'SINAPI_INSUMOS 062020'!A:C,3,FALSE))</f>
        <v xml:space="preserve">UN    </v>
      </c>
      <c r="F2096" s="74">
        <v>8.8000000000000007</v>
      </c>
      <c r="G2096" s="128">
        <f>IF(A2096="COMPOSIÇÃO",VLOOKUP(C2096,'SINAPI_COMPOSIÇÕES 062020'!A:D,4,FALSE),VLOOKUP(C2096,'SINAPI_INSUMOS 062020'!A:D,4,FALSE))</f>
        <v>0.43</v>
      </c>
      <c r="H2096" s="75">
        <f t="shared" si="163"/>
        <v>3.78</v>
      </c>
    </row>
    <row r="2097" spans="1:8" ht="38.25" x14ac:dyDescent="0.25">
      <c r="A2097" s="125" t="s">
        <v>400</v>
      </c>
      <c r="B2097" s="115" t="s">
        <v>9</v>
      </c>
      <c r="C2097" s="115">
        <v>10496</v>
      </c>
      <c r="D2097" s="127" t="str">
        <f>IF(A2097="COMPOSIÇÃO",VLOOKUP(C2097,'SINAPI_COMPOSIÇÕES 062020'!A:B,2,FALSE),VLOOKUP(C2097,'SINAPI_INSUMOS 062020'!A:B,2,FALSE))</f>
        <v>VIDRO COMUM LAMINADO, LISO, INCOLOR, DUPLO, ESPESSURA TOTAL 6 MM (CADA CAMADA E= 3 MM) - COLOCADO</v>
      </c>
      <c r="E2097" s="126" t="str">
        <f>IF(A2097="COMPOSIÇÃO",VLOOKUP(C2097,'SINAPI_COMPOSIÇÕES 062020'!A:C,3,FALSE),VLOOKUP(C2097,'SINAPI_INSUMOS 062020'!A:C,3,FALSE))</f>
        <v xml:space="preserve">M2    </v>
      </c>
      <c r="F2097" s="74">
        <v>0.72</v>
      </c>
      <c r="G2097" s="128">
        <f>IF(A2097="COMPOSIÇÃO",VLOOKUP(C2097,'SINAPI_COMPOSIÇÕES 062020'!A:D,4,FALSE),VLOOKUP(C2097,'SINAPI_INSUMOS 062020'!A:D,4,FALSE))</f>
        <v>463.05</v>
      </c>
      <c r="H2097" s="75">
        <f t="shared" si="163"/>
        <v>333.39</v>
      </c>
    </row>
    <row r="2098" spans="1:8" ht="38.25" x14ac:dyDescent="0.25">
      <c r="A2098" s="125" t="s">
        <v>11958</v>
      </c>
      <c r="B2098" s="115" t="s">
        <v>11959</v>
      </c>
      <c r="C2098" s="115" t="s">
        <v>11960</v>
      </c>
      <c r="D2098" s="194" t="str">
        <f>B2102</f>
        <v>PORTA EM CHAPA DE AÇO REFORÇADA, COM PAINEIS REBAIXADOS, COM GUARNIÇÕES, 90X210CM, COM GRADE E VIDRO</v>
      </c>
      <c r="E2098" s="115" t="str">
        <f>H2102</f>
        <v>UND</v>
      </c>
      <c r="F2098" s="74">
        <v>1</v>
      </c>
      <c r="G2098" s="195">
        <f>H2105</f>
        <v>750</v>
      </c>
      <c r="H2098" s="75">
        <f t="shared" ref="H2098" si="164">TRUNC(G2098*F2098,2)</f>
        <v>750</v>
      </c>
    </row>
    <row r="2099" spans="1:8" ht="13.5" thickBot="1" x14ac:dyDescent="0.3">
      <c r="A2099" s="267" t="str">
        <f>CONCATENATE("TOTAL DO ÍTEM - ",A2089)</f>
        <v>TOTAL DO ÍTEM - MPMT-02572</v>
      </c>
      <c r="B2099" s="268"/>
      <c r="C2099" s="268"/>
      <c r="D2099" s="268"/>
      <c r="E2099" s="268"/>
      <c r="F2099" s="268"/>
      <c r="G2099" s="269"/>
      <c r="H2099" s="188">
        <f>TRUNC(SUM(H2093:H2098),2)</f>
        <v>1150.29</v>
      </c>
    </row>
    <row r="2100" spans="1:8" ht="13.5" thickBot="1" x14ac:dyDescent="0.3">
      <c r="A2100" s="270" t="s">
        <v>12629</v>
      </c>
      <c r="B2100" s="271"/>
      <c r="C2100" s="271"/>
      <c r="D2100" s="271"/>
      <c r="E2100" s="271"/>
      <c r="F2100" s="271"/>
      <c r="G2100" s="271"/>
      <c r="H2100" s="272"/>
    </row>
    <row r="2101" spans="1:8" x14ac:dyDescent="0.25">
      <c r="A2101" s="196"/>
      <c r="B2101" s="292" t="s">
        <v>11962</v>
      </c>
      <c r="C2101" s="292"/>
      <c r="D2101" s="292"/>
      <c r="E2101" s="292"/>
      <c r="F2101" s="292"/>
      <c r="G2101" s="292"/>
      <c r="H2101" s="197" t="s">
        <v>11963</v>
      </c>
    </row>
    <row r="2102" spans="1:8" ht="13.5" thickBot="1" x14ac:dyDescent="0.3">
      <c r="A2102" s="234" t="s">
        <v>11960</v>
      </c>
      <c r="B2102" s="293" t="s">
        <v>12635</v>
      </c>
      <c r="C2102" s="293"/>
      <c r="D2102" s="293"/>
      <c r="E2102" s="293"/>
      <c r="F2102" s="293"/>
      <c r="G2102" s="293"/>
      <c r="H2102" s="235" t="s">
        <v>4</v>
      </c>
    </row>
    <row r="2103" spans="1:8" ht="25.5" x14ac:dyDescent="0.25">
      <c r="A2103" s="213" t="s">
        <v>11965</v>
      </c>
      <c r="B2103" s="241" t="s">
        <v>11966</v>
      </c>
      <c r="C2103" s="241" t="s">
        <v>11967</v>
      </c>
      <c r="D2103" s="241" t="s">
        <v>11968</v>
      </c>
      <c r="E2103" s="294" t="s">
        <v>11969</v>
      </c>
      <c r="F2103" s="294"/>
      <c r="G2103" s="241" t="s">
        <v>4</v>
      </c>
      <c r="H2103" s="214" t="s">
        <v>11970</v>
      </c>
    </row>
    <row r="2104" spans="1:8" x14ac:dyDescent="0.25">
      <c r="A2104" s="205">
        <v>44033</v>
      </c>
      <c r="B2104" s="206"/>
      <c r="C2104" s="206" t="s">
        <v>12631</v>
      </c>
      <c r="D2104" s="206" t="s">
        <v>12632</v>
      </c>
      <c r="E2104" s="306"/>
      <c r="F2104" s="306"/>
      <c r="G2104" s="115" t="s">
        <v>4</v>
      </c>
      <c r="H2104" s="218">
        <v>750</v>
      </c>
    </row>
    <row r="2105" spans="1:8" ht="13.5" thickBot="1" x14ac:dyDescent="0.3">
      <c r="A2105" s="296" t="s">
        <v>11981</v>
      </c>
      <c r="B2105" s="297"/>
      <c r="C2105" s="297"/>
      <c r="D2105" s="297"/>
      <c r="E2105" s="297"/>
      <c r="F2105" s="297"/>
      <c r="G2105" s="298"/>
      <c r="H2105" s="188">
        <f>TRUNC(MEDIAN(H2104:H2104),2)</f>
        <v>750</v>
      </c>
    </row>
    <row r="2106" spans="1:8" ht="13.5" thickBot="1" x14ac:dyDescent="0.3">
      <c r="A2106" s="189"/>
      <c r="B2106" s="189"/>
      <c r="C2106" s="189"/>
      <c r="D2106" s="190"/>
      <c r="E2106" s="189"/>
      <c r="F2106" s="191"/>
      <c r="G2106" s="191"/>
      <c r="H2106" s="191"/>
    </row>
    <row r="2107" spans="1:8" ht="25.5" x14ac:dyDescent="0.25">
      <c r="A2107" s="120" t="s">
        <v>90</v>
      </c>
      <c r="B2107" s="286" t="s">
        <v>91</v>
      </c>
      <c r="C2107" s="287"/>
      <c r="D2107" s="287"/>
      <c r="E2107" s="287"/>
      <c r="F2107" s="287"/>
      <c r="G2107" s="288"/>
      <c r="H2107" s="121" t="s">
        <v>4</v>
      </c>
    </row>
    <row r="2108" spans="1:8" ht="13.5" thickBot="1" x14ac:dyDescent="0.3">
      <c r="A2108" s="113" t="s">
        <v>12636</v>
      </c>
      <c r="B2108" s="289" t="s">
        <v>12637</v>
      </c>
      <c r="C2108" s="290"/>
      <c r="D2108" s="290"/>
      <c r="E2108" s="290"/>
      <c r="F2108" s="290"/>
      <c r="G2108" s="291"/>
      <c r="H2108" s="114" t="s">
        <v>4</v>
      </c>
    </row>
    <row r="2109" spans="1:8" x14ac:dyDescent="0.25">
      <c r="A2109" s="273" t="s">
        <v>13834</v>
      </c>
      <c r="B2109" s="275" t="s">
        <v>92</v>
      </c>
      <c r="C2109" s="276"/>
      <c r="D2109" s="185" t="s">
        <v>12628</v>
      </c>
      <c r="E2109" s="239" t="s">
        <v>93</v>
      </c>
      <c r="F2109" s="186">
        <v>0</v>
      </c>
      <c r="G2109" s="277" t="s">
        <v>94</v>
      </c>
      <c r="H2109" s="278"/>
    </row>
    <row r="2110" spans="1:8" x14ac:dyDescent="0.25">
      <c r="A2110" s="274"/>
      <c r="B2110" s="281" t="s">
        <v>95</v>
      </c>
      <c r="C2110" s="282"/>
      <c r="D2110" s="187">
        <v>43580</v>
      </c>
      <c r="E2110" s="240" t="s">
        <v>96</v>
      </c>
      <c r="F2110" s="187">
        <v>43580</v>
      </c>
      <c r="G2110" s="279"/>
      <c r="H2110" s="280"/>
    </row>
    <row r="2111" spans="1:8" x14ac:dyDescent="0.25">
      <c r="A2111" s="122" t="s">
        <v>11885</v>
      </c>
      <c r="B2111" s="123" t="s">
        <v>97</v>
      </c>
      <c r="C2111" s="123" t="s">
        <v>98</v>
      </c>
      <c r="D2111" s="123" t="s">
        <v>3</v>
      </c>
      <c r="E2111" s="123" t="s">
        <v>4</v>
      </c>
      <c r="F2111" s="123" t="s">
        <v>99</v>
      </c>
      <c r="G2111" s="123" t="s">
        <v>100</v>
      </c>
      <c r="H2111" s="124" t="s">
        <v>101</v>
      </c>
    </row>
    <row r="2112" spans="1:8" ht="25.5" x14ac:dyDescent="0.25">
      <c r="A2112" s="125" t="s">
        <v>398</v>
      </c>
      <c r="B2112" s="115" t="s">
        <v>9</v>
      </c>
      <c r="C2112" s="115">
        <v>88309</v>
      </c>
      <c r="D2112" s="127" t="str">
        <f>IF(A2112="COMPOSIÇÃO",VLOOKUP(C2112,'SINAPI_COMPOSIÇÕES 062020'!A:B,2,FALSE),VLOOKUP(C2112,'SINAPI_INSUMOS 062020'!A:B,2,FALSE))</f>
        <v>PEDREIRO COM ENCARGOS COMPLEMENTARES</v>
      </c>
      <c r="E2112" s="126" t="str">
        <f>IF(A2112="COMPOSIÇÃO",VLOOKUP(C2112,'SINAPI_COMPOSIÇÕES 062020'!A:C,3,FALSE),VLOOKUP(C2112,'SINAPI_INSUMOS 062020'!A:C,3,FALSE))</f>
        <v>H</v>
      </c>
      <c r="F2112" s="220">
        <v>0.96799999999999997</v>
      </c>
      <c r="G2112" s="128">
        <f>IF(A2112="COMPOSIÇÃO",VLOOKUP(C2112,'SINAPI_COMPOSIÇÕES 062020'!A:D,4,FALSE),VLOOKUP(C2112,'SINAPI_INSUMOS 062020'!A:D,4,FALSE))</f>
        <v>17.760000000000002</v>
      </c>
      <c r="H2112" s="75">
        <f t="shared" ref="H2112:H2115" si="165">TRUNC(G2112*F2112,2)</f>
        <v>17.190000000000001</v>
      </c>
    </row>
    <row r="2113" spans="1:8" ht="25.5" x14ac:dyDescent="0.25">
      <c r="A2113" s="125" t="s">
        <v>398</v>
      </c>
      <c r="B2113" s="115" t="s">
        <v>9</v>
      </c>
      <c r="C2113" s="115">
        <v>88316</v>
      </c>
      <c r="D2113" s="127" t="str">
        <f>IF(A2113="COMPOSIÇÃO",VLOOKUP(C2113,'SINAPI_COMPOSIÇÕES 062020'!A:B,2,FALSE),VLOOKUP(C2113,'SINAPI_INSUMOS 062020'!A:B,2,FALSE))</f>
        <v>SERVENTE COM ENCARGOS COMPLEMENTARES</v>
      </c>
      <c r="E2113" s="126" t="str">
        <f>IF(A2113="COMPOSIÇÃO",VLOOKUP(C2113,'SINAPI_COMPOSIÇÕES 062020'!A:C,3,FALSE),VLOOKUP(C2113,'SINAPI_INSUMOS 062020'!A:C,3,FALSE))</f>
        <v>H</v>
      </c>
      <c r="F2113" s="74">
        <v>0.48399999999999999</v>
      </c>
      <c r="G2113" s="128">
        <f>IF(A2113="COMPOSIÇÃO",VLOOKUP(C2113,'SINAPI_COMPOSIÇÕES 062020'!A:D,4,FALSE),VLOOKUP(C2113,'SINAPI_INSUMOS 062020'!A:D,4,FALSE))</f>
        <v>14.37</v>
      </c>
      <c r="H2113" s="75">
        <f t="shared" si="165"/>
        <v>6.95</v>
      </c>
    </row>
    <row r="2114" spans="1:8" ht="38.25" x14ac:dyDescent="0.25">
      <c r="A2114" s="125" t="s">
        <v>400</v>
      </c>
      <c r="B2114" s="115" t="s">
        <v>9</v>
      </c>
      <c r="C2114" s="115">
        <v>142</v>
      </c>
      <c r="D2114" s="127" t="str">
        <f>IF(A2114="COMPOSIÇÃO",VLOOKUP(C2114,'SINAPI_COMPOSIÇÕES 062020'!A:B,2,FALSE),VLOOKUP(C2114,'SINAPI_INSUMOS 062020'!A:B,2,FALSE))</f>
        <v>SELANTE ELASTICO MONOCOMPONENTE A BASE DE POLIURETANO (PU) PARA JUNTAS DIVERSAS</v>
      </c>
      <c r="E2114" s="126" t="str">
        <f>IF(A2114="COMPOSIÇÃO",VLOOKUP(C2114,'SINAPI_COMPOSIÇÕES 062020'!A:C,3,FALSE),VLOOKUP(C2114,'SINAPI_INSUMOS 062020'!A:C,3,FALSE))</f>
        <v xml:space="preserve">310ML </v>
      </c>
      <c r="F2114" s="74">
        <v>1.613</v>
      </c>
      <c r="G2114" s="128">
        <f>IF(A2114="COMPOSIÇÃO",VLOOKUP(C2114,'SINAPI_COMPOSIÇÕES 062020'!A:D,4,FALSE),VLOOKUP(C2114,'SINAPI_INSUMOS 062020'!A:D,4,FALSE))</f>
        <v>24.17</v>
      </c>
      <c r="H2114" s="75">
        <f t="shared" si="165"/>
        <v>38.979999999999997</v>
      </c>
    </row>
    <row r="2115" spans="1:8" ht="51" x14ac:dyDescent="0.25">
      <c r="A2115" s="125" t="s">
        <v>400</v>
      </c>
      <c r="B2115" s="115" t="s">
        <v>9</v>
      </c>
      <c r="C2115" s="115">
        <v>7568</v>
      </c>
      <c r="D2115" s="127" t="str">
        <f>IF(A2115="COMPOSIÇÃO",VLOOKUP(C2115,'SINAPI_COMPOSIÇÕES 062020'!A:B,2,FALSE),VLOOKUP(C2115,'SINAPI_INSUMOS 062020'!A:B,2,FALSE))</f>
        <v>BUCHA DE NYLON SEM ABA S10, COM PARAFUSO DE 6,10 X 65 MM EM ACO ZINCADO COM ROSCA SOBERBA, CABECA CHATA E FENDA PHILLIPS</v>
      </c>
      <c r="E2115" s="126" t="str">
        <f>IF(A2115="COMPOSIÇÃO",VLOOKUP(C2115,'SINAPI_COMPOSIÇÕES 062020'!A:C,3,FALSE),VLOOKUP(C2115,'SINAPI_INSUMOS 062020'!A:C,3,FALSE))</f>
        <v xml:space="preserve">UN    </v>
      </c>
      <c r="F2115" s="74">
        <v>8.8000000000000007</v>
      </c>
      <c r="G2115" s="128">
        <f>IF(A2115="COMPOSIÇÃO",VLOOKUP(C2115,'SINAPI_COMPOSIÇÕES 062020'!A:D,4,FALSE),VLOOKUP(C2115,'SINAPI_INSUMOS 062020'!A:D,4,FALSE))</f>
        <v>0.43</v>
      </c>
      <c r="H2115" s="75">
        <f t="shared" si="165"/>
        <v>3.78</v>
      </c>
    </row>
    <row r="2116" spans="1:8" ht="25.5" x14ac:dyDescent="0.25">
      <c r="A2116" s="125" t="s">
        <v>11958</v>
      </c>
      <c r="B2116" s="115" t="s">
        <v>11959</v>
      </c>
      <c r="C2116" s="115" t="s">
        <v>11960</v>
      </c>
      <c r="D2116" s="194" t="str">
        <f>B2120</f>
        <v>PORTA EM CHAPA DE AÇO REFORÇADA, CORRER, COM GUARNIÇÕES, 80X210CM</v>
      </c>
      <c r="E2116" s="115" t="str">
        <f>H2120</f>
        <v>UND</v>
      </c>
      <c r="F2116" s="74">
        <v>1</v>
      </c>
      <c r="G2116" s="195">
        <f>H2123</f>
        <v>600</v>
      </c>
      <c r="H2116" s="75">
        <f t="shared" ref="H2116" si="166">TRUNC(G2116*F2116,2)</f>
        <v>600</v>
      </c>
    </row>
    <row r="2117" spans="1:8" ht="13.5" thickBot="1" x14ac:dyDescent="0.3">
      <c r="A2117" s="267" t="str">
        <f>CONCATENATE("TOTAL DO ÍTEM - ",A2108)</f>
        <v>TOTAL DO ÍTEM - MPMT-02573</v>
      </c>
      <c r="B2117" s="268"/>
      <c r="C2117" s="268"/>
      <c r="D2117" s="268"/>
      <c r="E2117" s="268"/>
      <c r="F2117" s="268"/>
      <c r="G2117" s="269"/>
      <c r="H2117" s="188">
        <f>TRUNC(SUM(H2112:H2116),2)</f>
        <v>666.9</v>
      </c>
    </row>
    <row r="2118" spans="1:8" ht="13.5" thickBot="1" x14ac:dyDescent="0.3">
      <c r="A2118" s="270" t="s">
        <v>12629</v>
      </c>
      <c r="B2118" s="271"/>
      <c r="C2118" s="271"/>
      <c r="D2118" s="271"/>
      <c r="E2118" s="271"/>
      <c r="F2118" s="271"/>
      <c r="G2118" s="271"/>
      <c r="H2118" s="272"/>
    </row>
    <row r="2119" spans="1:8" x14ac:dyDescent="0.25">
      <c r="A2119" s="196"/>
      <c r="B2119" s="292" t="s">
        <v>11962</v>
      </c>
      <c r="C2119" s="292"/>
      <c r="D2119" s="292"/>
      <c r="E2119" s="292"/>
      <c r="F2119" s="292"/>
      <c r="G2119" s="292"/>
      <c r="H2119" s="197" t="s">
        <v>11963</v>
      </c>
    </row>
    <row r="2120" spans="1:8" ht="13.5" thickBot="1" x14ac:dyDescent="0.3">
      <c r="A2120" s="234" t="s">
        <v>11960</v>
      </c>
      <c r="B2120" s="293" t="s">
        <v>12638</v>
      </c>
      <c r="C2120" s="293"/>
      <c r="D2120" s="293"/>
      <c r="E2120" s="293"/>
      <c r="F2120" s="293"/>
      <c r="G2120" s="293"/>
      <c r="H2120" s="235" t="s">
        <v>4</v>
      </c>
    </row>
    <row r="2121" spans="1:8" ht="25.5" x14ac:dyDescent="0.25">
      <c r="A2121" s="213" t="s">
        <v>11965</v>
      </c>
      <c r="B2121" s="241" t="s">
        <v>11966</v>
      </c>
      <c r="C2121" s="241" t="s">
        <v>11967</v>
      </c>
      <c r="D2121" s="241" t="s">
        <v>11968</v>
      </c>
      <c r="E2121" s="294" t="s">
        <v>11969</v>
      </c>
      <c r="F2121" s="294"/>
      <c r="G2121" s="241" t="s">
        <v>4</v>
      </c>
      <c r="H2121" s="214" t="s">
        <v>11970</v>
      </c>
    </row>
    <row r="2122" spans="1:8" x14ac:dyDescent="0.25">
      <c r="A2122" s="205">
        <v>44033</v>
      </c>
      <c r="B2122" s="206"/>
      <c r="C2122" s="206" t="s">
        <v>12631</v>
      </c>
      <c r="D2122" s="206" t="s">
        <v>12632</v>
      </c>
      <c r="E2122" s="306"/>
      <c r="F2122" s="306"/>
      <c r="G2122" s="115" t="s">
        <v>4</v>
      </c>
      <c r="H2122" s="218">
        <v>600</v>
      </c>
    </row>
    <row r="2123" spans="1:8" ht="13.5" thickBot="1" x14ac:dyDescent="0.3">
      <c r="A2123" s="296" t="s">
        <v>11981</v>
      </c>
      <c r="B2123" s="297"/>
      <c r="C2123" s="297"/>
      <c r="D2123" s="297"/>
      <c r="E2123" s="297"/>
      <c r="F2123" s="297"/>
      <c r="G2123" s="298"/>
      <c r="H2123" s="188">
        <f>TRUNC(MEDIAN(H2122:H2122),2)</f>
        <v>600</v>
      </c>
    </row>
    <row r="2124" spans="1:8" ht="13.5" thickBot="1" x14ac:dyDescent="0.3"/>
    <row r="2125" spans="1:8" ht="25.5" x14ac:dyDescent="0.25">
      <c r="A2125" s="120" t="s">
        <v>90</v>
      </c>
      <c r="B2125" s="286" t="s">
        <v>91</v>
      </c>
      <c r="C2125" s="287"/>
      <c r="D2125" s="287"/>
      <c r="E2125" s="287"/>
      <c r="F2125" s="287"/>
      <c r="G2125" s="288"/>
      <c r="H2125" s="121" t="s">
        <v>4</v>
      </c>
    </row>
    <row r="2126" spans="1:8" ht="13.5" thickBot="1" x14ac:dyDescent="0.3">
      <c r="A2126" s="113" t="s">
        <v>12639</v>
      </c>
      <c r="B2126" s="289" t="s">
        <v>12640</v>
      </c>
      <c r="C2126" s="290"/>
      <c r="D2126" s="290"/>
      <c r="E2126" s="290"/>
      <c r="F2126" s="290"/>
      <c r="G2126" s="291"/>
      <c r="H2126" s="114" t="s">
        <v>4</v>
      </c>
    </row>
    <row r="2127" spans="1:8" x14ac:dyDescent="0.25">
      <c r="A2127" s="273" t="s">
        <v>13834</v>
      </c>
      <c r="B2127" s="275" t="s">
        <v>92</v>
      </c>
      <c r="C2127" s="276"/>
      <c r="D2127" s="185" t="s">
        <v>12641</v>
      </c>
      <c r="E2127" s="239" t="s">
        <v>93</v>
      </c>
      <c r="F2127" s="186">
        <v>0</v>
      </c>
      <c r="G2127" s="277" t="s">
        <v>94</v>
      </c>
      <c r="H2127" s="278"/>
    </row>
    <row r="2128" spans="1:8" x14ac:dyDescent="0.25">
      <c r="A2128" s="274"/>
      <c r="B2128" s="281" t="s">
        <v>95</v>
      </c>
      <c r="C2128" s="282"/>
      <c r="D2128" s="187">
        <v>44033</v>
      </c>
      <c r="E2128" s="240" t="s">
        <v>96</v>
      </c>
      <c r="F2128" s="187">
        <v>44033</v>
      </c>
      <c r="G2128" s="279"/>
      <c r="H2128" s="280"/>
    </row>
    <row r="2129" spans="1:8" x14ac:dyDescent="0.25">
      <c r="A2129" s="122" t="s">
        <v>11885</v>
      </c>
      <c r="B2129" s="123" t="s">
        <v>97</v>
      </c>
      <c r="C2129" s="123" t="s">
        <v>98</v>
      </c>
      <c r="D2129" s="123" t="s">
        <v>3</v>
      </c>
      <c r="E2129" s="123" t="s">
        <v>4</v>
      </c>
      <c r="F2129" s="123" t="s">
        <v>99</v>
      </c>
      <c r="G2129" s="123" t="s">
        <v>100</v>
      </c>
      <c r="H2129" s="124" t="s">
        <v>101</v>
      </c>
    </row>
    <row r="2130" spans="1:8" ht="25.5" x14ac:dyDescent="0.25">
      <c r="A2130" s="125" t="s">
        <v>398</v>
      </c>
      <c r="B2130" s="115" t="s">
        <v>9</v>
      </c>
      <c r="C2130" s="115">
        <v>88309</v>
      </c>
      <c r="D2130" s="127" t="str">
        <f>IF(A2130="COMPOSIÇÃO",VLOOKUP(C2130,'SINAPI_COMPOSIÇÕES 062020'!A:B,2,FALSE),VLOOKUP(C2130,'SINAPI_INSUMOS 062020'!A:B,2,FALSE))</f>
        <v>PEDREIRO COM ENCARGOS COMPLEMENTARES</v>
      </c>
      <c r="E2130" s="126" t="str">
        <f>IF(A2130="COMPOSIÇÃO",VLOOKUP(C2130,'SINAPI_COMPOSIÇÕES 062020'!A:C,3,FALSE),VLOOKUP(C2130,'SINAPI_INSUMOS 062020'!A:C,3,FALSE))</f>
        <v>H</v>
      </c>
      <c r="F2130" s="74">
        <v>2</v>
      </c>
      <c r="G2130" s="128">
        <f>IF(A2130="COMPOSIÇÃO",VLOOKUP(C2130,'SINAPI_COMPOSIÇÕES 062020'!A:D,4,FALSE),VLOOKUP(C2130,'SINAPI_INSUMOS 062020'!A:D,4,FALSE))</f>
        <v>17.760000000000002</v>
      </c>
      <c r="H2130" s="75">
        <f t="shared" ref="H2130:H2139" si="167">TRUNC(G2130*F2130,2)</f>
        <v>35.520000000000003</v>
      </c>
    </row>
    <row r="2131" spans="1:8" ht="25.5" x14ac:dyDescent="0.25">
      <c r="A2131" s="125" t="s">
        <v>398</v>
      </c>
      <c r="B2131" s="115" t="s">
        <v>9</v>
      </c>
      <c r="C2131" s="115">
        <v>88316</v>
      </c>
      <c r="D2131" s="127" t="str">
        <f>IF(A2131="COMPOSIÇÃO",VLOOKUP(C2131,'SINAPI_COMPOSIÇÕES 062020'!A:B,2,FALSE),VLOOKUP(C2131,'SINAPI_INSUMOS 062020'!A:B,2,FALSE))</f>
        <v>SERVENTE COM ENCARGOS COMPLEMENTARES</v>
      </c>
      <c r="E2131" s="126" t="str">
        <f>IF(A2131="COMPOSIÇÃO",VLOOKUP(C2131,'SINAPI_COMPOSIÇÕES 062020'!A:C,3,FALSE),VLOOKUP(C2131,'SINAPI_INSUMOS 062020'!A:C,3,FALSE))</f>
        <v>H</v>
      </c>
      <c r="F2131" s="74">
        <v>7</v>
      </c>
      <c r="G2131" s="128">
        <f>IF(A2131="COMPOSIÇÃO",VLOOKUP(C2131,'SINAPI_COMPOSIÇÕES 062020'!A:D,4,FALSE),VLOOKUP(C2131,'SINAPI_INSUMOS 062020'!A:D,4,FALSE))</f>
        <v>14.37</v>
      </c>
      <c r="H2131" s="75">
        <f t="shared" si="167"/>
        <v>100.59</v>
      </c>
    </row>
    <row r="2132" spans="1:8" ht="25.5" x14ac:dyDescent="0.25">
      <c r="A2132" s="125" t="s">
        <v>398</v>
      </c>
      <c r="B2132" s="115" t="s">
        <v>9</v>
      </c>
      <c r="C2132" s="115">
        <v>88261</v>
      </c>
      <c r="D2132" s="127" t="str">
        <f>IF(A2132="COMPOSIÇÃO",VLOOKUP(C2132,'SINAPI_COMPOSIÇÕES 062020'!A:B,2,FALSE),VLOOKUP(C2132,'SINAPI_INSUMOS 062020'!A:B,2,FALSE))</f>
        <v>CARPINTEIRO DE ESQUADRIA COM ENCARGOS COMPLEMENTARES</v>
      </c>
      <c r="E2132" s="126" t="str">
        <f>IF(A2132="COMPOSIÇÃO",VLOOKUP(C2132,'SINAPI_COMPOSIÇÕES 062020'!A:C,3,FALSE),VLOOKUP(C2132,'SINAPI_INSUMOS 062020'!A:C,3,FALSE))</f>
        <v>H</v>
      </c>
      <c r="F2132" s="74">
        <v>5</v>
      </c>
      <c r="G2132" s="128">
        <f>IF(A2132="COMPOSIÇÃO",VLOOKUP(C2132,'SINAPI_COMPOSIÇÕES 062020'!A:D,4,FALSE),VLOOKUP(C2132,'SINAPI_INSUMOS 062020'!A:D,4,FALSE))</f>
        <v>18.84</v>
      </c>
      <c r="H2132" s="75">
        <f t="shared" si="167"/>
        <v>94.2</v>
      </c>
    </row>
    <row r="2133" spans="1:8" ht="38.25" x14ac:dyDescent="0.25">
      <c r="A2133" s="125" t="s">
        <v>400</v>
      </c>
      <c r="B2133" s="115" t="s">
        <v>9</v>
      </c>
      <c r="C2133" s="115">
        <v>5002</v>
      </c>
      <c r="D2133" s="127" t="str">
        <f>IF(A2133="COMPOSIÇÃO",VLOOKUP(C2133,'SINAPI_COMPOSIÇÕES 062020'!A:B,2,FALSE),VLOOKUP(C2133,'SINAPI_INSUMOS 062020'!A:B,2,FALSE))</f>
        <v>PORTA DE MADEIRA QUADRICULADA PARA VIDRO, DE CORRER (EUCALIPTO OU EQUIVALENTE REGIONAL), E = *3,5* CM</v>
      </c>
      <c r="E2133" s="126" t="str">
        <f>IF(A2133="COMPOSIÇÃO",VLOOKUP(C2133,'SINAPI_COMPOSIÇÕES 062020'!A:C,3,FALSE),VLOOKUP(C2133,'SINAPI_INSUMOS 062020'!A:C,3,FALSE))</f>
        <v xml:space="preserve">M2    </v>
      </c>
      <c r="F2133" s="74">
        <f>0.8*2.1</f>
        <v>1.6800000000000002</v>
      </c>
      <c r="G2133" s="128">
        <f>IF(A2133="COMPOSIÇÃO",VLOOKUP(C2133,'SINAPI_COMPOSIÇÕES 062020'!A:D,4,FALSE),VLOOKUP(C2133,'SINAPI_INSUMOS 062020'!A:D,4,FALSE))</f>
        <v>273.99</v>
      </c>
      <c r="H2133" s="75">
        <f t="shared" si="167"/>
        <v>460.3</v>
      </c>
    </row>
    <row r="2134" spans="1:8" ht="38.25" x14ac:dyDescent="0.25">
      <c r="A2134" s="125" t="s">
        <v>400</v>
      </c>
      <c r="B2134" s="115" t="s">
        <v>9</v>
      </c>
      <c r="C2134" s="115">
        <v>10496</v>
      </c>
      <c r="D2134" s="127" t="str">
        <f>IF(A2134="COMPOSIÇÃO",VLOOKUP(C2134,'SINAPI_COMPOSIÇÕES 062020'!A:B,2,FALSE),VLOOKUP(C2134,'SINAPI_INSUMOS 062020'!A:B,2,FALSE))</f>
        <v>VIDRO COMUM LAMINADO, LISO, INCOLOR, DUPLO, ESPESSURA TOTAL 6 MM (CADA CAMADA E= 3 MM) - COLOCADO</v>
      </c>
      <c r="E2134" s="126" t="str">
        <f>IF(A2134="COMPOSIÇÃO",VLOOKUP(C2134,'SINAPI_COMPOSIÇÕES 062020'!A:C,3,FALSE),VLOOKUP(C2134,'SINAPI_INSUMOS 062020'!A:C,3,FALSE))</f>
        <v xml:space="preserve">M2    </v>
      </c>
      <c r="F2134" s="74">
        <v>0.48</v>
      </c>
      <c r="G2134" s="128">
        <f>IF(A2134="COMPOSIÇÃO",VLOOKUP(C2134,'SINAPI_COMPOSIÇÕES 062020'!A:D,4,FALSE),VLOOKUP(C2134,'SINAPI_INSUMOS 062020'!A:D,4,FALSE))</f>
        <v>463.05</v>
      </c>
      <c r="H2134" s="75">
        <f t="shared" si="167"/>
        <v>222.26</v>
      </c>
    </row>
    <row r="2135" spans="1:8" ht="25.5" x14ac:dyDescent="0.25">
      <c r="A2135" s="125" t="s">
        <v>400</v>
      </c>
      <c r="B2135" s="115" t="s">
        <v>9</v>
      </c>
      <c r="C2135" s="115">
        <v>38124</v>
      </c>
      <c r="D2135" s="127" t="str">
        <f>IF(A2135="COMPOSIÇÃO",VLOOKUP(C2135,'SINAPI_COMPOSIÇÕES 062020'!A:B,2,FALSE),VLOOKUP(C2135,'SINAPI_INSUMOS 062020'!A:B,2,FALSE))</f>
        <v>ESPUMA EXPANSIVA DE POLIURETANO, APLICACAO MANUAL - 500 ML</v>
      </c>
      <c r="E2135" s="126" t="str">
        <f>IF(A2135="COMPOSIÇÃO",VLOOKUP(C2135,'SINAPI_COMPOSIÇÕES 062020'!A:C,3,FALSE),VLOOKUP(C2135,'SINAPI_INSUMOS 062020'!A:C,3,FALSE))</f>
        <v xml:space="preserve">UN    </v>
      </c>
      <c r="F2135" s="74">
        <v>0.5</v>
      </c>
      <c r="G2135" s="128">
        <f>IF(A2135="COMPOSIÇÃO",VLOOKUP(C2135,'SINAPI_COMPOSIÇÕES 062020'!A:D,4,FALSE),VLOOKUP(C2135,'SINAPI_INSUMOS 062020'!A:D,4,FALSE))</f>
        <v>29.42</v>
      </c>
      <c r="H2135" s="75">
        <f t="shared" si="167"/>
        <v>14.71</v>
      </c>
    </row>
    <row r="2136" spans="1:8" ht="25.5" x14ac:dyDescent="0.25">
      <c r="A2136" s="125" t="s">
        <v>400</v>
      </c>
      <c r="B2136" s="115" t="s">
        <v>9</v>
      </c>
      <c r="C2136" s="115">
        <v>370</v>
      </c>
      <c r="D2136" s="127" t="str">
        <f>IF(A2136="COMPOSIÇÃO",VLOOKUP(C2136,'SINAPI_COMPOSIÇÕES 062020'!A:B,2,FALSE),VLOOKUP(C2136,'SINAPI_INSUMOS 062020'!A:B,2,FALSE))</f>
        <v>AREIA MEDIA - POSTO JAZIDA/FORNECEDOR (RETIRADO NA JAZIDA, SEM TRANSPORTE)</v>
      </c>
      <c r="E2136" s="126" t="str">
        <f>IF(A2136="COMPOSIÇÃO",VLOOKUP(C2136,'SINAPI_COMPOSIÇÕES 062020'!A:C,3,FALSE),VLOOKUP(C2136,'SINAPI_INSUMOS 062020'!A:C,3,FALSE))</f>
        <v xml:space="preserve">M3    </v>
      </c>
      <c r="F2136" s="74">
        <v>2.1000000000000001E-2</v>
      </c>
      <c r="G2136" s="128">
        <f>IF(A2136="COMPOSIÇÃO",VLOOKUP(C2136,'SINAPI_COMPOSIÇÕES 062020'!A:D,4,FALSE),VLOOKUP(C2136,'SINAPI_INSUMOS 062020'!A:D,4,FALSE))</f>
        <v>62.5</v>
      </c>
      <c r="H2136" s="75">
        <f t="shared" si="167"/>
        <v>1.31</v>
      </c>
    </row>
    <row r="2137" spans="1:8" x14ac:dyDescent="0.25">
      <c r="A2137" s="125" t="s">
        <v>400</v>
      </c>
      <c r="B2137" s="115" t="s">
        <v>9</v>
      </c>
      <c r="C2137" s="115">
        <v>1379</v>
      </c>
      <c r="D2137" s="127" t="str">
        <f>IF(A2137="COMPOSIÇÃO",VLOOKUP(C2137,'SINAPI_COMPOSIÇÕES 062020'!A:B,2,FALSE),VLOOKUP(C2137,'SINAPI_INSUMOS 062020'!A:B,2,FALSE))</f>
        <v>CIMENTO PORTLAND COMPOSTO CP II-32</v>
      </c>
      <c r="E2137" s="126" t="str">
        <f>IF(A2137="COMPOSIÇÃO",VLOOKUP(C2137,'SINAPI_COMPOSIÇÕES 062020'!A:C,3,FALSE),VLOOKUP(C2137,'SINAPI_INSUMOS 062020'!A:C,3,FALSE))</f>
        <v xml:space="preserve">KG    </v>
      </c>
      <c r="F2137" s="74">
        <v>3.3</v>
      </c>
      <c r="G2137" s="128">
        <f>IF(A2137="COMPOSIÇÃO",VLOOKUP(C2137,'SINAPI_COMPOSIÇÕES 062020'!A:D,4,FALSE),VLOOKUP(C2137,'SINAPI_INSUMOS 062020'!A:D,4,FALSE))</f>
        <v>0.49</v>
      </c>
      <c r="H2137" s="75">
        <f t="shared" si="167"/>
        <v>1.61</v>
      </c>
    </row>
    <row r="2138" spans="1:8" ht="25.5" x14ac:dyDescent="0.25">
      <c r="A2138" s="125" t="s">
        <v>400</v>
      </c>
      <c r="B2138" s="115" t="s">
        <v>9</v>
      </c>
      <c r="C2138" s="115">
        <v>5075</v>
      </c>
      <c r="D2138" s="127" t="str">
        <f>IF(A2138="COMPOSIÇÃO",VLOOKUP(C2138,'SINAPI_COMPOSIÇÕES 062020'!A:B,2,FALSE),VLOOKUP(C2138,'SINAPI_INSUMOS 062020'!A:B,2,FALSE))</f>
        <v>PREGO DE ACO POLIDO COM CABECA 18 X 30 (2 3/4 X 10)</v>
      </c>
      <c r="E2138" s="126" t="str">
        <f>IF(A2138="COMPOSIÇÃO",VLOOKUP(C2138,'SINAPI_COMPOSIÇÕES 062020'!A:C,3,FALSE),VLOOKUP(C2138,'SINAPI_INSUMOS 062020'!A:C,3,FALSE))</f>
        <v xml:space="preserve">KG    </v>
      </c>
      <c r="F2138" s="74">
        <v>0.05</v>
      </c>
      <c r="G2138" s="128">
        <f>IF(A2138="COMPOSIÇÃO",VLOOKUP(C2138,'SINAPI_COMPOSIÇÕES 062020'!A:D,4,FALSE),VLOOKUP(C2138,'SINAPI_INSUMOS 062020'!A:D,4,FALSE))</f>
        <v>11.18</v>
      </c>
      <c r="H2138" s="75">
        <f t="shared" si="167"/>
        <v>0.55000000000000004</v>
      </c>
    </row>
    <row r="2139" spans="1:8" ht="51" x14ac:dyDescent="0.25">
      <c r="A2139" s="125" t="s">
        <v>400</v>
      </c>
      <c r="B2139" s="115" t="s">
        <v>9</v>
      </c>
      <c r="C2139" s="115">
        <v>38165</v>
      </c>
      <c r="D2139" s="127" t="str">
        <f>IF(A2139="COMPOSIÇÃO",VLOOKUP(C2139,'SINAPI_COMPOSIÇÕES 062020'!A:B,2,FALSE),VLOOKUP(C2139,'SINAPI_INSUMOS 062020'!A:B,2,FALSE))</f>
        <v>FECHO / FECHADURA COM PUXADOR CONCHA, COM TRANCA TIPO TRAVA, PARA JANELA / PORTA DE CORRER (INCLUI TESTA, FECHADURA, PUXADOR) - COMPLETA</v>
      </c>
      <c r="E2139" s="126" t="str">
        <f>IF(A2139="COMPOSIÇÃO",VLOOKUP(C2139,'SINAPI_COMPOSIÇÕES 062020'!A:C,3,FALSE),VLOOKUP(C2139,'SINAPI_INSUMOS 062020'!A:C,3,FALSE))</f>
        <v xml:space="preserve">CJ    </v>
      </c>
      <c r="F2139" s="74">
        <v>1</v>
      </c>
      <c r="G2139" s="128">
        <f>IF(A2139="COMPOSIÇÃO",VLOOKUP(C2139,'SINAPI_COMPOSIÇÕES 062020'!A:D,4,FALSE),VLOOKUP(C2139,'SINAPI_INSUMOS 062020'!A:D,4,FALSE))</f>
        <v>57.17</v>
      </c>
      <c r="H2139" s="75">
        <f t="shared" si="167"/>
        <v>57.17</v>
      </c>
    </row>
    <row r="2140" spans="1:8" ht="13.5" thickBot="1" x14ac:dyDescent="0.3">
      <c r="A2140" s="267" t="str">
        <f>CONCATENATE("TOTAL DO ÍTEM - ",A2126)</f>
        <v>TOTAL DO ÍTEM - MPMT-02574</v>
      </c>
      <c r="B2140" s="268"/>
      <c r="C2140" s="268"/>
      <c r="D2140" s="268"/>
      <c r="E2140" s="268"/>
      <c r="F2140" s="268"/>
      <c r="G2140" s="269"/>
      <c r="H2140" s="188">
        <f>TRUNC(SUM(H2130:H2139),2)</f>
        <v>988.22</v>
      </c>
    </row>
    <row r="2141" spans="1:8" ht="13.5" thickBot="1" x14ac:dyDescent="0.3">
      <c r="A2141" s="302" t="s">
        <v>12642</v>
      </c>
      <c r="B2141" s="303"/>
      <c r="C2141" s="303"/>
      <c r="D2141" s="303"/>
      <c r="E2141" s="303"/>
      <c r="F2141" s="303"/>
      <c r="G2141" s="303"/>
      <c r="H2141" s="304"/>
    </row>
    <row r="2142" spans="1:8" ht="13.5" thickBot="1" x14ac:dyDescent="0.3">
      <c r="A2142" s="189"/>
      <c r="B2142" s="189"/>
      <c r="C2142" s="189"/>
      <c r="D2142" s="190"/>
      <c r="E2142" s="189"/>
      <c r="F2142" s="191"/>
      <c r="G2142" s="191"/>
      <c r="H2142" s="191"/>
    </row>
    <row r="2143" spans="1:8" ht="25.5" x14ac:dyDescent="0.25">
      <c r="A2143" s="120" t="s">
        <v>90</v>
      </c>
      <c r="B2143" s="286" t="s">
        <v>91</v>
      </c>
      <c r="C2143" s="287"/>
      <c r="D2143" s="287"/>
      <c r="E2143" s="287"/>
      <c r="F2143" s="287"/>
      <c r="G2143" s="288"/>
      <c r="H2143" s="121" t="s">
        <v>4</v>
      </c>
    </row>
    <row r="2144" spans="1:8" ht="13.5" thickBot="1" x14ac:dyDescent="0.3">
      <c r="A2144" s="113" t="s">
        <v>12643</v>
      </c>
      <c r="B2144" s="289" t="s">
        <v>12644</v>
      </c>
      <c r="C2144" s="290"/>
      <c r="D2144" s="290"/>
      <c r="E2144" s="290"/>
      <c r="F2144" s="290"/>
      <c r="G2144" s="291"/>
      <c r="H2144" s="114" t="s">
        <v>4</v>
      </c>
    </row>
    <row r="2145" spans="1:8" x14ac:dyDescent="0.25">
      <c r="A2145" s="273" t="s">
        <v>13834</v>
      </c>
      <c r="B2145" s="275" t="s">
        <v>92</v>
      </c>
      <c r="C2145" s="276"/>
      <c r="D2145" s="185" t="s">
        <v>12641</v>
      </c>
      <c r="E2145" s="239" t="s">
        <v>93</v>
      </c>
      <c r="F2145" s="186">
        <v>0</v>
      </c>
      <c r="G2145" s="277" t="s">
        <v>94</v>
      </c>
      <c r="H2145" s="278"/>
    </row>
    <row r="2146" spans="1:8" x14ac:dyDescent="0.25">
      <c r="A2146" s="274"/>
      <c r="B2146" s="281" t="s">
        <v>95</v>
      </c>
      <c r="C2146" s="282"/>
      <c r="D2146" s="187">
        <v>44033</v>
      </c>
      <c r="E2146" s="240" t="s">
        <v>96</v>
      </c>
      <c r="F2146" s="187">
        <v>44033</v>
      </c>
      <c r="G2146" s="279"/>
      <c r="H2146" s="280"/>
    </row>
    <row r="2147" spans="1:8" x14ac:dyDescent="0.25">
      <c r="A2147" s="122" t="s">
        <v>11885</v>
      </c>
      <c r="B2147" s="123" t="s">
        <v>97</v>
      </c>
      <c r="C2147" s="123" t="s">
        <v>98</v>
      </c>
      <c r="D2147" s="123" t="s">
        <v>3</v>
      </c>
      <c r="E2147" s="123" t="s">
        <v>4</v>
      </c>
      <c r="F2147" s="123" t="s">
        <v>99</v>
      </c>
      <c r="G2147" s="123" t="s">
        <v>100</v>
      </c>
      <c r="H2147" s="124" t="s">
        <v>101</v>
      </c>
    </row>
    <row r="2148" spans="1:8" ht="25.5" x14ac:dyDescent="0.25">
      <c r="A2148" s="125" t="s">
        <v>398</v>
      </c>
      <c r="B2148" s="115" t="s">
        <v>9</v>
      </c>
      <c r="C2148" s="115">
        <v>88309</v>
      </c>
      <c r="D2148" s="127" t="str">
        <f>IF(A2148="COMPOSIÇÃO",VLOOKUP(C2148,'SINAPI_COMPOSIÇÕES 062020'!A:B,2,FALSE),VLOOKUP(C2148,'SINAPI_INSUMOS 062020'!A:B,2,FALSE))</f>
        <v>PEDREIRO COM ENCARGOS COMPLEMENTARES</v>
      </c>
      <c r="E2148" s="126" t="str">
        <f>IF(A2148="COMPOSIÇÃO",VLOOKUP(C2148,'SINAPI_COMPOSIÇÕES 062020'!A:C,3,FALSE),VLOOKUP(C2148,'SINAPI_INSUMOS 062020'!A:C,3,FALSE))</f>
        <v>H</v>
      </c>
      <c r="F2148" s="74">
        <v>2</v>
      </c>
      <c r="G2148" s="128">
        <f>IF(A2148="COMPOSIÇÃO",VLOOKUP(C2148,'SINAPI_COMPOSIÇÕES 062020'!A:D,4,FALSE),VLOOKUP(C2148,'SINAPI_INSUMOS 062020'!A:D,4,FALSE))</f>
        <v>17.760000000000002</v>
      </c>
      <c r="H2148" s="75">
        <f t="shared" ref="H2148:H2157" si="168">TRUNC(G2148*F2148,2)</f>
        <v>35.520000000000003</v>
      </c>
    </row>
    <row r="2149" spans="1:8" ht="25.5" x14ac:dyDescent="0.25">
      <c r="A2149" s="125" t="s">
        <v>398</v>
      </c>
      <c r="B2149" s="115" t="s">
        <v>9</v>
      </c>
      <c r="C2149" s="115">
        <v>88316</v>
      </c>
      <c r="D2149" s="127" t="str">
        <f>IF(A2149="COMPOSIÇÃO",VLOOKUP(C2149,'SINAPI_COMPOSIÇÕES 062020'!A:B,2,FALSE),VLOOKUP(C2149,'SINAPI_INSUMOS 062020'!A:B,2,FALSE))</f>
        <v>SERVENTE COM ENCARGOS COMPLEMENTARES</v>
      </c>
      <c r="E2149" s="126" t="str">
        <f>IF(A2149="COMPOSIÇÃO",VLOOKUP(C2149,'SINAPI_COMPOSIÇÕES 062020'!A:C,3,FALSE),VLOOKUP(C2149,'SINAPI_INSUMOS 062020'!A:C,3,FALSE))</f>
        <v>H</v>
      </c>
      <c r="F2149" s="74">
        <v>7</v>
      </c>
      <c r="G2149" s="128">
        <f>IF(A2149="COMPOSIÇÃO",VLOOKUP(C2149,'SINAPI_COMPOSIÇÕES 062020'!A:D,4,FALSE),VLOOKUP(C2149,'SINAPI_INSUMOS 062020'!A:D,4,FALSE))</f>
        <v>14.37</v>
      </c>
      <c r="H2149" s="75">
        <f t="shared" si="168"/>
        <v>100.59</v>
      </c>
    </row>
    <row r="2150" spans="1:8" ht="25.5" x14ac:dyDescent="0.25">
      <c r="A2150" s="125" t="s">
        <v>398</v>
      </c>
      <c r="B2150" s="115" t="s">
        <v>9</v>
      </c>
      <c r="C2150" s="115">
        <v>88261</v>
      </c>
      <c r="D2150" s="127" t="str">
        <f>IF(A2150="COMPOSIÇÃO",VLOOKUP(C2150,'SINAPI_COMPOSIÇÕES 062020'!A:B,2,FALSE),VLOOKUP(C2150,'SINAPI_INSUMOS 062020'!A:B,2,FALSE))</f>
        <v>CARPINTEIRO DE ESQUADRIA COM ENCARGOS COMPLEMENTARES</v>
      </c>
      <c r="E2150" s="126" t="str">
        <f>IF(A2150="COMPOSIÇÃO",VLOOKUP(C2150,'SINAPI_COMPOSIÇÕES 062020'!A:C,3,FALSE),VLOOKUP(C2150,'SINAPI_INSUMOS 062020'!A:C,3,FALSE))</f>
        <v>H</v>
      </c>
      <c r="F2150" s="74">
        <v>5</v>
      </c>
      <c r="G2150" s="128">
        <f>IF(A2150="COMPOSIÇÃO",VLOOKUP(C2150,'SINAPI_COMPOSIÇÕES 062020'!A:D,4,FALSE),VLOOKUP(C2150,'SINAPI_INSUMOS 062020'!A:D,4,FALSE))</f>
        <v>18.84</v>
      </c>
      <c r="H2150" s="75">
        <f t="shared" si="168"/>
        <v>94.2</v>
      </c>
    </row>
    <row r="2151" spans="1:8" ht="38.25" x14ac:dyDescent="0.25">
      <c r="A2151" s="125" t="s">
        <v>400</v>
      </c>
      <c r="B2151" s="115" t="s">
        <v>9</v>
      </c>
      <c r="C2151" s="115">
        <v>5002</v>
      </c>
      <c r="D2151" s="127" t="str">
        <f>IF(A2151="COMPOSIÇÃO",VLOOKUP(C2151,'SINAPI_COMPOSIÇÕES 062020'!A:B,2,FALSE),VLOOKUP(C2151,'SINAPI_INSUMOS 062020'!A:B,2,FALSE))</f>
        <v>PORTA DE MADEIRA QUADRICULADA PARA VIDRO, DE CORRER (EUCALIPTO OU EQUIVALENTE REGIONAL), E = *3,5* CM</v>
      </c>
      <c r="E2151" s="126" t="str">
        <f>IF(A2151="COMPOSIÇÃO",VLOOKUP(C2151,'SINAPI_COMPOSIÇÕES 062020'!A:C,3,FALSE),VLOOKUP(C2151,'SINAPI_INSUMOS 062020'!A:C,3,FALSE))</f>
        <v xml:space="preserve">M2    </v>
      </c>
      <c r="F2151" s="74">
        <f>0.9*2.1</f>
        <v>1.8900000000000001</v>
      </c>
      <c r="G2151" s="128">
        <f>IF(A2151="COMPOSIÇÃO",VLOOKUP(C2151,'SINAPI_COMPOSIÇÕES 062020'!A:D,4,FALSE),VLOOKUP(C2151,'SINAPI_INSUMOS 062020'!A:D,4,FALSE))</f>
        <v>273.99</v>
      </c>
      <c r="H2151" s="75">
        <f t="shared" si="168"/>
        <v>517.84</v>
      </c>
    </row>
    <row r="2152" spans="1:8" ht="38.25" x14ac:dyDescent="0.25">
      <c r="A2152" s="125" t="s">
        <v>400</v>
      </c>
      <c r="B2152" s="115" t="s">
        <v>9</v>
      </c>
      <c r="C2152" s="115">
        <v>10496</v>
      </c>
      <c r="D2152" s="127" t="str">
        <f>IF(A2152="COMPOSIÇÃO",VLOOKUP(C2152,'SINAPI_COMPOSIÇÕES 062020'!A:B,2,FALSE),VLOOKUP(C2152,'SINAPI_INSUMOS 062020'!A:B,2,FALSE))</f>
        <v>VIDRO COMUM LAMINADO, LISO, INCOLOR, DUPLO, ESPESSURA TOTAL 6 MM (CADA CAMADA E= 3 MM) - COLOCADO</v>
      </c>
      <c r="E2152" s="126" t="str">
        <f>IF(A2152="COMPOSIÇÃO",VLOOKUP(C2152,'SINAPI_COMPOSIÇÕES 062020'!A:C,3,FALSE),VLOOKUP(C2152,'SINAPI_INSUMOS 062020'!A:C,3,FALSE))</f>
        <v xml:space="preserve">M2    </v>
      </c>
      <c r="F2152" s="74">
        <v>0.48</v>
      </c>
      <c r="G2152" s="128">
        <f>IF(A2152="COMPOSIÇÃO",VLOOKUP(C2152,'SINAPI_COMPOSIÇÕES 062020'!A:D,4,FALSE),VLOOKUP(C2152,'SINAPI_INSUMOS 062020'!A:D,4,FALSE))</f>
        <v>463.05</v>
      </c>
      <c r="H2152" s="75">
        <f t="shared" si="168"/>
        <v>222.26</v>
      </c>
    </row>
    <row r="2153" spans="1:8" ht="25.5" x14ac:dyDescent="0.25">
      <c r="A2153" s="125" t="s">
        <v>400</v>
      </c>
      <c r="B2153" s="115" t="s">
        <v>9</v>
      </c>
      <c r="C2153" s="115">
        <v>38124</v>
      </c>
      <c r="D2153" s="127" t="str">
        <f>IF(A2153="COMPOSIÇÃO",VLOOKUP(C2153,'SINAPI_COMPOSIÇÕES 062020'!A:B,2,FALSE),VLOOKUP(C2153,'SINAPI_INSUMOS 062020'!A:B,2,FALSE))</f>
        <v>ESPUMA EXPANSIVA DE POLIURETANO, APLICACAO MANUAL - 500 ML</v>
      </c>
      <c r="E2153" s="126" t="str">
        <f>IF(A2153="COMPOSIÇÃO",VLOOKUP(C2153,'SINAPI_COMPOSIÇÕES 062020'!A:C,3,FALSE),VLOOKUP(C2153,'SINAPI_INSUMOS 062020'!A:C,3,FALSE))</f>
        <v xml:space="preserve">UN    </v>
      </c>
      <c r="F2153" s="74">
        <v>0.5</v>
      </c>
      <c r="G2153" s="128">
        <f>IF(A2153="COMPOSIÇÃO",VLOOKUP(C2153,'SINAPI_COMPOSIÇÕES 062020'!A:D,4,FALSE),VLOOKUP(C2153,'SINAPI_INSUMOS 062020'!A:D,4,FALSE))</f>
        <v>29.42</v>
      </c>
      <c r="H2153" s="75">
        <f t="shared" si="168"/>
        <v>14.71</v>
      </c>
    </row>
    <row r="2154" spans="1:8" ht="25.5" x14ac:dyDescent="0.25">
      <c r="A2154" s="125" t="s">
        <v>400</v>
      </c>
      <c r="B2154" s="115" t="s">
        <v>9</v>
      </c>
      <c r="C2154" s="115">
        <v>370</v>
      </c>
      <c r="D2154" s="127" t="str">
        <f>IF(A2154="COMPOSIÇÃO",VLOOKUP(C2154,'SINAPI_COMPOSIÇÕES 062020'!A:B,2,FALSE),VLOOKUP(C2154,'SINAPI_INSUMOS 062020'!A:B,2,FALSE))</f>
        <v>AREIA MEDIA - POSTO JAZIDA/FORNECEDOR (RETIRADO NA JAZIDA, SEM TRANSPORTE)</v>
      </c>
      <c r="E2154" s="126" t="str">
        <f>IF(A2154="COMPOSIÇÃO",VLOOKUP(C2154,'SINAPI_COMPOSIÇÕES 062020'!A:C,3,FALSE),VLOOKUP(C2154,'SINAPI_INSUMOS 062020'!A:C,3,FALSE))</f>
        <v xml:space="preserve">M3    </v>
      </c>
      <c r="F2154" s="74">
        <v>2.1000000000000001E-2</v>
      </c>
      <c r="G2154" s="128">
        <f>IF(A2154="COMPOSIÇÃO",VLOOKUP(C2154,'SINAPI_COMPOSIÇÕES 062020'!A:D,4,FALSE),VLOOKUP(C2154,'SINAPI_INSUMOS 062020'!A:D,4,FALSE))</f>
        <v>62.5</v>
      </c>
      <c r="H2154" s="75">
        <f t="shared" si="168"/>
        <v>1.31</v>
      </c>
    </row>
    <row r="2155" spans="1:8" x14ac:dyDescent="0.25">
      <c r="A2155" s="125" t="s">
        <v>400</v>
      </c>
      <c r="B2155" s="115" t="s">
        <v>9</v>
      </c>
      <c r="C2155" s="115">
        <v>1379</v>
      </c>
      <c r="D2155" s="127" t="str">
        <f>IF(A2155="COMPOSIÇÃO",VLOOKUP(C2155,'SINAPI_COMPOSIÇÕES 062020'!A:B,2,FALSE),VLOOKUP(C2155,'SINAPI_INSUMOS 062020'!A:B,2,FALSE))</f>
        <v>CIMENTO PORTLAND COMPOSTO CP II-32</v>
      </c>
      <c r="E2155" s="126" t="str">
        <f>IF(A2155="COMPOSIÇÃO",VLOOKUP(C2155,'SINAPI_COMPOSIÇÕES 062020'!A:C,3,FALSE),VLOOKUP(C2155,'SINAPI_INSUMOS 062020'!A:C,3,FALSE))</f>
        <v xml:space="preserve">KG    </v>
      </c>
      <c r="F2155" s="74">
        <v>3.3</v>
      </c>
      <c r="G2155" s="128">
        <f>IF(A2155="COMPOSIÇÃO",VLOOKUP(C2155,'SINAPI_COMPOSIÇÕES 062020'!A:D,4,FALSE),VLOOKUP(C2155,'SINAPI_INSUMOS 062020'!A:D,4,FALSE))</f>
        <v>0.49</v>
      </c>
      <c r="H2155" s="75">
        <f t="shared" si="168"/>
        <v>1.61</v>
      </c>
    </row>
    <row r="2156" spans="1:8" ht="25.5" x14ac:dyDescent="0.25">
      <c r="A2156" s="125" t="s">
        <v>400</v>
      </c>
      <c r="B2156" s="115" t="s">
        <v>9</v>
      </c>
      <c r="C2156" s="115">
        <v>5075</v>
      </c>
      <c r="D2156" s="127" t="str">
        <f>IF(A2156="COMPOSIÇÃO",VLOOKUP(C2156,'SINAPI_COMPOSIÇÕES 062020'!A:B,2,FALSE),VLOOKUP(C2156,'SINAPI_INSUMOS 062020'!A:B,2,FALSE))</f>
        <v>PREGO DE ACO POLIDO COM CABECA 18 X 30 (2 3/4 X 10)</v>
      </c>
      <c r="E2156" s="126" t="str">
        <f>IF(A2156="COMPOSIÇÃO",VLOOKUP(C2156,'SINAPI_COMPOSIÇÕES 062020'!A:C,3,FALSE),VLOOKUP(C2156,'SINAPI_INSUMOS 062020'!A:C,3,FALSE))</f>
        <v xml:space="preserve">KG    </v>
      </c>
      <c r="F2156" s="74">
        <v>0.05</v>
      </c>
      <c r="G2156" s="128">
        <f>IF(A2156="COMPOSIÇÃO",VLOOKUP(C2156,'SINAPI_COMPOSIÇÕES 062020'!A:D,4,FALSE),VLOOKUP(C2156,'SINAPI_INSUMOS 062020'!A:D,4,FALSE))</f>
        <v>11.18</v>
      </c>
      <c r="H2156" s="75">
        <f t="shared" si="168"/>
        <v>0.55000000000000004</v>
      </c>
    </row>
    <row r="2157" spans="1:8" ht="51" x14ac:dyDescent="0.25">
      <c r="A2157" s="125" t="s">
        <v>400</v>
      </c>
      <c r="B2157" s="115" t="s">
        <v>9</v>
      </c>
      <c r="C2157" s="115">
        <v>38165</v>
      </c>
      <c r="D2157" s="127" t="str">
        <f>IF(A2157="COMPOSIÇÃO",VLOOKUP(C2157,'SINAPI_COMPOSIÇÕES 062020'!A:B,2,FALSE),VLOOKUP(C2157,'SINAPI_INSUMOS 062020'!A:B,2,FALSE))</f>
        <v>FECHO / FECHADURA COM PUXADOR CONCHA, COM TRANCA TIPO TRAVA, PARA JANELA / PORTA DE CORRER (INCLUI TESTA, FECHADURA, PUXADOR) - COMPLETA</v>
      </c>
      <c r="E2157" s="126" t="str">
        <f>IF(A2157="COMPOSIÇÃO",VLOOKUP(C2157,'SINAPI_COMPOSIÇÕES 062020'!A:C,3,FALSE),VLOOKUP(C2157,'SINAPI_INSUMOS 062020'!A:C,3,FALSE))</f>
        <v xml:space="preserve">CJ    </v>
      </c>
      <c r="F2157" s="74">
        <v>1</v>
      </c>
      <c r="G2157" s="128">
        <f>IF(A2157="COMPOSIÇÃO",VLOOKUP(C2157,'SINAPI_COMPOSIÇÕES 062020'!A:D,4,FALSE),VLOOKUP(C2157,'SINAPI_INSUMOS 062020'!A:D,4,FALSE))</f>
        <v>57.17</v>
      </c>
      <c r="H2157" s="75">
        <f t="shared" si="168"/>
        <v>57.17</v>
      </c>
    </row>
    <row r="2158" spans="1:8" ht="13.5" thickBot="1" x14ac:dyDescent="0.3">
      <c r="A2158" s="267" t="str">
        <f>CONCATENATE("TOTAL DO ÍTEM - ",A2144)</f>
        <v>TOTAL DO ÍTEM - MPMT-02575</v>
      </c>
      <c r="B2158" s="268"/>
      <c r="C2158" s="268"/>
      <c r="D2158" s="268"/>
      <c r="E2158" s="268"/>
      <c r="F2158" s="268"/>
      <c r="G2158" s="269"/>
      <c r="H2158" s="188">
        <f>TRUNC(SUM(H2148:H2157),2)</f>
        <v>1045.76</v>
      </c>
    </row>
    <row r="2159" spans="1:8" ht="13.5" thickBot="1" x14ac:dyDescent="0.3">
      <c r="A2159" s="302" t="s">
        <v>12642</v>
      </c>
      <c r="B2159" s="303"/>
      <c r="C2159" s="303"/>
      <c r="D2159" s="303"/>
      <c r="E2159" s="303"/>
      <c r="F2159" s="303"/>
      <c r="G2159" s="303"/>
      <c r="H2159" s="304"/>
    </row>
    <row r="2160" spans="1:8" ht="13.5" thickBot="1" x14ac:dyDescent="0.3"/>
    <row r="2161" spans="1:8" ht="25.5" x14ac:dyDescent="0.25">
      <c r="A2161" s="120" t="s">
        <v>90</v>
      </c>
      <c r="B2161" s="286" t="s">
        <v>91</v>
      </c>
      <c r="C2161" s="287"/>
      <c r="D2161" s="287"/>
      <c r="E2161" s="287"/>
      <c r="F2161" s="287"/>
      <c r="G2161" s="288"/>
      <c r="H2161" s="121" t="s">
        <v>4</v>
      </c>
    </row>
    <row r="2162" spans="1:8" ht="13.5" thickBot="1" x14ac:dyDescent="0.3">
      <c r="A2162" s="113" t="s">
        <v>12648</v>
      </c>
      <c r="B2162" s="289" t="s">
        <v>12645</v>
      </c>
      <c r="C2162" s="290"/>
      <c r="D2162" s="290"/>
      <c r="E2162" s="290"/>
      <c r="F2162" s="290"/>
      <c r="G2162" s="291"/>
      <c r="H2162" s="114" t="s">
        <v>4</v>
      </c>
    </row>
    <row r="2163" spans="1:8" x14ac:dyDescent="0.25">
      <c r="A2163" s="273" t="s">
        <v>13834</v>
      </c>
      <c r="B2163" s="275" t="s">
        <v>92</v>
      </c>
      <c r="C2163" s="276"/>
      <c r="D2163" s="185" t="s">
        <v>12646</v>
      </c>
      <c r="E2163" s="239" t="s">
        <v>93</v>
      </c>
      <c r="F2163" s="186">
        <v>0</v>
      </c>
      <c r="G2163" s="277" t="s">
        <v>94</v>
      </c>
      <c r="H2163" s="278"/>
    </row>
    <row r="2164" spans="1:8" x14ac:dyDescent="0.25">
      <c r="A2164" s="274"/>
      <c r="B2164" s="281" t="s">
        <v>95</v>
      </c>
      <c r="C2164" s="282"/>
      <c r="D2164" s="187">
        <v>42978</v>
      </c>
      <c r="E2164" s="240" t="s">
        <v>96</v>
      </c>
      <c r="F2164" s="187">
        <v>42978</v>
      </c>
      <c r="G2164" s="279"/>
      <c r="H2164" s="280"/>
    </row>
    <row r="2165" spans="1:8" x14ac:dyDescent="0.25">
      <c r="A2165" s="122" t="s">
        <v>11885</v>
      </c>
      <c r="B2165" s="123" t="s">
        <v>97</v>
      </c>
      <c r="C2165" s="123" t="s">
        <v>98</v>
      </c>
      <c r="D2165" s="123" t="s">
        <v>3</v>
      </c>
      <c r="E2165" s="123" t="s">
        <v>4</v>
      </c>
      <c r="F2165" s="123" t="s">
        <v>99</v>
      </c>
      <c r="G2165" s="123" t="s">
        <v>100</v>
      </c>
      <c r="H2165" s="124" t="s">
        <v>101</v>
      </c>
    </row>
    <row r="2166" spans="1:8" ht="25.5" x14ac:dyDescent="0.25">
      <c r="A2166" s="125" t="s">
        <v>398</v>
      </c>
      <c r="B2166" s="115" t="s">
        <v>9</v>
      </c>
      <c r="C2166" s="115">
        <v>88261</v>
      </c>
      <c r="D2166" s="127" t="str">
        <f>IF(A2166="COMPOSIÇÃO",VLOOKUP(C2166,'SINAPI_COMPOSIÇÕES 062020'!A:B,2,FALSE),VLOOKUP(C2166,'SINAPI_INSUMOS 062020'!A:B,2,FALSE))</f>
        <v>CARPINTEIRO DE ESQUADRIA COM ENCARGOS COMPLEMENTARES</v>
      </c>
      <c r="E2166" s="126" t="str">
        <f>IF(A2166="COMPOSIÇÃO",VLOOKUP(C2166,'SINAPI_COMPOSIÇÕES 062020'!A:C,3,FALSE),VLOOKUP(C2166,'SINAPI_INSUMOS 062020'!A:C,3,FALSE))</f>
        <v>H</v>
      </c>
      <c r="F2166" s="74">
        <v>2.19</v>
      </c>
      <c r="G2166" s="128">
        <f>IF(A2166="COMPOSIÇÃO",VLOOKUP(C2166,'SINAPI_COMPOSIÇÕES 062020'!A:D,4,FALSE),VLOOKUP(C2166,'SINAPI_INSUMOS 062020'!A:D,4,FALSE))</f>
        <v>18.84</v>
      </c>
      <c r="H2166" s="75">
        <f t="shared" ref="H2166:H2177" si="169">TRUNC(G2166*F2166,2)</f>
        <v>41.25</v>
      </c>
    </row>
    <row r="2167" spans="1:8" ht="25.5" x14ac:dyDescent="0.25">
      <c r="A2167" s="125" t="s">
        <v>398</v>
      </c>
      <c r="B2167" s="115" t="s">
        <v>9</v>
      </c>
      <c r="C2167" s="115">
        <v>88309</v>
      </c>
      <c r="D2167" s="127" t="str">
        <f>IF(A2167="COMPOSIÇÃO",VLOOKUP(C2167,'SINAPI_COMPOSIÇÕES 062020'!A:B,2,FALSE),VLOOKUP(C2167,'SINAPI_INSUMOS 062020'!A:B,2,FALSE))</f>
        <v>PEDREIRO COM ENCARGOS COMPLEMENTARES</v>
      </c>
      <c r="E2167" s="126" t="str">
        <f>IF(A2167="COMPOSIÇÃO",VLOOKUP(C2167,'SINAPI_COMPOSIÇÕES 062020'!A:C,3,FALSE),VLOOKUP(C2167,'SINAPI_INSUMOS 062020'!A:C,3,FALSE))</f>
        <v>H</v>
      </c>
      <c r="F2167" s="74">
        <v>1.512</v>
      </c>
      <c r="G2167" s="128">
        <f>IF(A2167="COMPOSIÇÃO",VLOOKUP(C2167,'SINAPI_COMPOSIÇÕES 062020'!A:D,4,FALSE),VLOOKUP(C2167,'SINAPI_INSUMOS 062020'!A:D,4,FALSE))</f>
        <v>17.760000000000002</v>
      </c>
      <c r="H2167" s="75">
        <f t="shared" si="169"/>
        <v>26.85</v>
      </c>
    </row>
    <row r="2168" spans="1:8" ht="25.5" x14ac:dyDescent="0.25">
      <c r="A2168" s="125" t="s">
        <v>398</v>
      </c>
      <c r="B2168" s="115" t="s">
        <v>9</v>
      </c>
      <c r="C2168" s="115">
        <v>88316</v>
      </c>
      <c r="D2168" s="127" t="str">
        <f>IF(A2168="COMPOSIÇÃO",VLOOKUP(C2168,'SINAPI_COMPOSIÇÕES 062020'!A:B,2,FALSE),VLOOKUP(C2168,'SINAPI_INSUMOS 062020'!A:B,2,FALSE))</f>
        <v>SERVENTE COM ENCARGOS COMPLEMENTARES</v>
      </c>
      <c r="E2168" s="126" t="str">
        <f>IF(A2168="COMPOSIÇÃO",VLOOKUP(C2168,'SINAPI_COMPOSIÇÕES 062020'!A:C,3,FALSE),VLOOKUP(C2168,'SINAPI_INSUMOS 062020'!A:C,3,FALSE))</f>
        <v>H</v>
      </c>
      <c r="F2168" s="74">
        <v>3.702</v>
      </c>
      <c r="G2168" s="128">
        <f>IF(A2168="COMPOSIÇÃO",VLOOKUP(C2168,'SINAPI_COMPOSIÇÕES 062020'!A:D,4,FALSE),VLOOKUP(C2168,'SINAPI_INSUMOS 062020'!A:D,4,FALSE))</f>
        <v>14.37</v>
      </c>
      <c r="H2168" s="75">
        <f t="shared" si="169"/>
        <v>53.19</v>
      </c>
    </row>
    <row r="2169" spans="1:8" ht="51" x14ac:dyDescent="0.25">
      <c r="A2169" s="125" t="s">
        <v>398</v>
      </c>
      <c r="B2169" s="115" t="s">
        <v>9</v>
      </c>
      <c r="C2169" s="115">
        <v>88627</v>
      </c>
      <c r="D2169" s="127" t="str">
        <f>IF(A2169="COMPOSIÇÃO",VLOOKUP(C2169,'SINAPI_COMPOSIÇÕES 062020'!A:B,2,FALSE),VLOOKUP(C2169,'SINAPI_INSUMOS 062020'!A:B,2,FALSE))</f>
        <v>ARGAMASSA TRAÇO 1:0,5:4,5 (EM VOLUME DE CIMENTO, CAL E AREIA MÉDIA ÚMIDA) PARA ASSENTAMENTO DE ALVENARIA, PREPARO MANUAL. AF_08/2019</v>
      </c>
      <c r="E2169" s="126" t="str">
        <f>IF(A2169="COMPOSIÇÃO",VLOOKUP(C2169,'SINAPI_COMPOSIÇÕES 062020'!A:C,3,FALSE),VLOOKUP(C2169,'SINAPI_INSUMOS 062020'!A:C,3,FALSE))</f>
        <v>M3</v>
      </c>
      <c r="F2169" s="74">
        <v>1.0800000000000001E-2</v>
      </c>
      <c r="G2169" s="128">
        <f>IF(A2169="COMPOSIÇÃO",VLOOKUP(C2169,'SINAPI_COMPOSIÇÕES 062020'!A:D,4,FALSE),VLOOKUP(C2169,'SINAPI_INSUMOS 062020'!A:D,4,FALSE))</f>
        <v>412.24</v>
      </c>
      <c r="H2169" s="75">
        <f t="shared" si="169"/>
        <v>4.45</v>
      </c>
    </row>
    <row r="2170" spans="1:8" ht="76.5" x14ac:dyDescent="0.25">
      <c r="A2170" s="125" t="s">
        <v>400</v>
      </c>
      <c r="B2170" s="115" t="s">
        <v>9</v>
      </c>
      <c r="C2170" s="115">
        <v>181</v>
      </c>
      <c r="D2170" s="127" t="str">
        <f>IF(A2170="COMPOSIÇÃO",VLOOKUP(C2170,'SINAPI_COMPOSIÇÕES 062020'!A:B,2,FALSE),VLOOKUP(C2170,'SINAPI_INSUMOS 062020'!A:B,2,FALSE))</f>
        <v>BATENTE/ PORTAL/ADUELA/ MARCO MACICO, E= *3* CM, L= *15* CM, *60 CM A 120* CM  X *210* CM,  EM CEDRINHO/ ANGELIM COMERCIAL/  EUCALIPTO/ CURUPIXA/ PEROBA/ CUMARU OU EQUIVALENTE DA REGIAO (NAO INCLUI ALIZARES)</v>
      </c>
      <c r="E2170" s="126" t="str">
        <f>IF(A2170="COMPOSIÇÃO",VLOOKUP(C2170,'SINAPI_COMPOSIÇÕES 062020'!A:C,3,FALSE),VLOOKUP(C2170,'SINAPI_INSUMOS 062020'!A:C,3,FALSE))</f>
        <v xml:space="preserve">JG    </v>
      </c>
      <c r="F2170" s="74">
        <v>2</v>
      </c>
      <c r="G2170" s="128">
        <f>IF(A2170="COMPOSIÇÃO",VLOOKUP(C2170,'SINAPI_COMPOSIÇÕES 062020'!A:D,4,FALSE),VLOOKUP(C2170,'SINAPI_INSUMOS 062020'!A:D,4,FALSE))</f>
        <v>119.87</v>
      </c>
      <c r="H2170" s="75">
        <f t="shared" si="169"/>
        <v>239.74</v>
      </c>
    </row>
    <row r="2171" spans="1:8" ht="38.25" x14ac:dyDescent="0.25">
      <c r="A2171" s="125" t="s">
        <v>400</v>
      </c>
      <c r="B2171" s="115" t="s">
        <v>9</v>
      </c>
      <c r="C2171" s="115">
        <v>11058</v>
      </c>
      <c r="D2171" s="127" t="str">
        <f>IF(A2171="COMPOSIÇÃO",VLOOKUP(C2171,'SINAPI_COMPOSIÇÕES 062020'!A:B,2,FALSE),VLOOKUP(C2171,'SINAPI_INSUMOS 062020'!A:B,2,FALSE))</f>
        <v>PARAFUSO ROSCA SOBERBA ZINCADO CABECA CHATA FENDA SIMPLES 5,5 X 65 MM (2.1/2 ")</v>
      </c>
      <c r="E2171" s="126" t="str">
        <f>IF(A2171="COMPOSIÇÃO",VLOOKUP(C2171,'SINAPI_COMPOSIÇÕES 062020'!A:C,3,FALSE),VLOOKUP(C2171,'SINAPI_INSUMOS 062020'!A:C,3,FALSE))</f>
        <v xml:space="preserve">UN    </v>
      </c>
      <c r="F2171" s="74">
        <v>6</v>
      </c>
      <c r="G2171" s="128">
        <f>IF(A2171="COMPOSIÇÃO",VLOOKUP(C2171,'SINAPI_COMPOSIÇÕES 062020'!A:D,4,FALSE),VLOOKUP(C2171,'SINAPI_INSUMOS 062020'!A:D,4,FALSE))</f>
        <v>0.25</v>
      </c>
      <c r="H2171" s="75">
        <f t="shared" si="169"/>
        <v>1.5</v>
      </c>
    </row>
    <row r="2172" spans="1:8" ht="38.25" x14ac:dyDescent="0.25">
      <c r="A2172" s="125" t="s">
        <v>400</v>
      </c>
      <c r="B2172" s="115" t="s">
        <v>9</v>
      </c>
      <c r="C2172" s="115">
        <v>11447</v>
      </c>
      <c r="D2172" s="127" t="str">
        <f>IF(A2172="COMPOSIÇÃO",VLOOKUP(C2172,'SINAPI_COMPOSIÇÕES 062020'!A:B,2,FALSE),VLOOKUP(C2172,'SINAPI_INSUMOS 062020'!A:B,2,FALSE))</f>
        <v>DOBRADICA EM LATAO, 3 " X 2 1/2 ", E= 1,9 A 2 MM, COM ANEL, CROMADO, TAMPA BOLA, COM PARAFUSOS</v>
      </c>
      <c r="E2172" s="126" t="str">
        <f>IF(A2172="COMPOSIÇÃO",VLOOKUP(C2172,'SINAPI_COMPOSIÇÕES 062020'!A:C,3,FALSE),VLOOKUP(C2172,'SINAPI_INSUMOS 062020'!A:C,3,FALSE))</f>
        <v xml:space="preserve">UN    </v>
      </c>
      <c r="F2172" s="74">
        <v>6</v>
      </c>
      <c r="G2172" s="128">
        <f>IF(A2172="COMPOSIÇÃO",VLOOKUP(C2172,'SINAPI_COMPOSIÇÕES 062020'!A:D,4,FALSE),VLOOKUP(C2172,'SINAPI_INSUMOS 062020'!A:D,4,FALSE))</f>
        <v>17.97</v>
      </c>
      <c r="H2172" s="75">
        <f t="shared" si="169"/>
        <v>107.82</v>
      </c>
    </row>
    <row r="2173" spans="1:8" ht="63.75" x14ac:dyDescent="0.25">
      <c r="A2173" s="125" t="s">
        <v>400</v>
      </c>
      <c r="B2173" s="115" t="s">
        <v>9</v>
      </c>
      <c r="C2173" s="115">
        <v>20017</v>
      </c>
      <c r="D2173" s="127" t="str">
        <f>IF(A2173="COMPOSIÇÃO",VLOOKUP(C2173,'SINAPI_COMPOSIÇÕES 062020'!A:B,2,FALSE),VLOOKUP(C2173,'SINAPI_INSUMOS 062020'!A:B,2,FALSE))</f>
        <v>GUARNICAO/ ALIZAR/ VISTA MACICA, E= *1* CM, L= *4,5* CM, EM CEDRINHO/ ANGELIM COMERCIAL/  EUCALIPTO/ CURUPIXA/ PEROBA/ CUMARU OU EQUIVALENTE DA REGIAO</v>
      </c>
      <c r="E2173" s="126" t="str">
        <f>IF(A2173="COMPOSIÇÃO",VLOOKUP(C2173,'SINAPI_COMPOSIÇÕES 062020'!A:C,3,FALSE),VLOOKUP(C2173,'SINAPI_INSUMOS 062020'!A:C,3,FALSE))</f>
        <v xml:space="preserve">M     </v>
      </c>
      <c r="F2173" s="74">
        <v>2.7</v>
      </c>
      <c r="G2173" s="128">
        <f>IF(A2173="COMPOSIÇÃO",VLOOKUP(C2173,'SINAPI_COMPOSIÇÕES 062020'!A:D,4,FALSE),VLOOKUP(C2173,'SINAPI_INSUMOS 062020'!A:D,4,FALSE))</f>
        <v>3.31</v>
      </c>
      <c r="H2173" s="75">
        <f t="shared" si="169"/>
        <v>8.93</v>
      </c>
    </row>
    <row r="2174" spans="1:8" ht="25.5" x14ac:dyDescent="0.25">
      <c r="A2174" s="125" t="s">
        <v>400</v>
      </c>
      <c r="B2174" s="115" t="s">
        <v>9</v>
      </c>
      <c r="C2174" s="115">
        <v>20247</v>
      </c>
      <c r="D2174" s="127" t="str">
        <f>IF(A2174="COMPOSIÇÃO",VLOOKUP(C2174,'SINAPI_COMPOSIÇÕES 062020'!A:B,2,FALSE),VLOOKUP(C2174,'SINAPI_INSUMOS 062020'!A:B,2,FALSE))</f>
        <v>PREGO DE ACO POLIDO COM CABECA 15 X 15 (1 1/4 X 13)</v>
      </c>
      <c r="E2174" s="126" t="str">
        <f>IF(A2174="COMPOSIÇÃO",VLOOKUP(C2174,'SINAPI_COMPOSIÇÕES 062020'!A:C,3,FALSE),VLOOKUP(C2174,'SINAPI_INSUMOS 062020'!A:C,3,FALSE))</f>
        <v xml:space="preserve">KG    </v>
      </c>
      <c r="F2174" s="74">
        <v>0.64800000000000002</v>
      </c>
      <c r="G2174" s="128">
        <f>IF(A2174="COMPOSIÇÃO",VLOOKUP(C2174,'SINAPI_COMPOSIÇÕES 062020'!A:D,4,FALSE),VLOOKUP(C2174,'SINAPI_INSUMOS 062020'!A:D,4,FALSE))</f>
        <v>12.38</v>
      </c>
      <c r="H2174" s="75">
        <f t="shared" si="169"/>
        <v>8.02</v>
      </c>
    </row>
    <row r="2175" spans="1:8" ht="38.25" x14ac:dyDescent="0.25">
      <c r="A2175" s="125" t="s">
        <v>400</v>
      </c>
      <c r="B2175" s="115" t="s">
        <v>9</v>
      </c>
      <c r="C2175" s="115">
        <v>35274</v>
      </c>
      <c r="D2175" s="127" t="str">
        <f>IF(A2175="COMPOSIÇÃO",VLOOKUP(C2175,'SINAPI_COMPOSIÇÕES 062020'!A:B,2,FALSE),VLOOKUP(C2175,'SINAPI_INSUMOS 062020'!A:B,2,FALSE))</f>
        <v>PILAR DE MADEIRA NAO APARELHADA *10 X 10* CM, MACARANDUBA, ANGELIM OU EQUIVALENTE DA REGIAO</v>
      </c>
      <c r="E2175" s="126" t="str">
        <f>IF(A2175="COMPOSIÇÃO",VLOOKUP(C2175,'SINAPI_COMPOSIÇÕES 062020'!A:C,3,FALSE),VLOOKUP(C2175,'SINAPI_INSUMOS 062020'!A:C,3,FALSE))</f>
        <v xml:space="preserve">M     </v>
      </c>
      <c r="F2175" s="74">
        <v>0.18</v>
      </c>
      <c r="G2175" s="128">
        <f>IF(A2175="COMPOSIÇÃO",VLOOKUP(C2175,'SINAPI_COMPOSIÇÕES 062020'!A:D,4,FALSE),VLOOKUP(C2175,'SINAPI_INSUMOS 062020'!A:D,4,FALSE))</f>
        <v>21.36</v>
      </c>
      <c r="H2175" s="75">
        <f t="shared" si="169"/>
        <v>3.84</v>
      </c>
    </row>
    <row r="2176" spans="1:8" ht="38.25" x14ac:dyDescent="0.25">
      <c r="A2176" s="125" t="s">
        <v>400</v>
      </c>
      <c r="B2176" s="115" t="s">
        <v>9</v>
      </c>
      <c r="C2176" s="115">
        <v>10496</v>
      </c>
      <c r="D2176" s="127" t="str">
        <f>IF(A2176="COMPOSIÇÃO",VLOOKUP(C2176,'SINAPI_COMPOSIÇÕES 062020'!A:B,2,FALSE),VLOOKUP(C2176,'SINAPI_INSUMOS 062020'!A:B,2,FALSE))</f>
        <v>VIDRO COMUM LAMINADO, LISO, INCOLOR, DUPLO, ESPESSURA TOTAL 6 MM (CADA CAMADA E= 3 MM) - COLOCADO</v>
      </c>
      <c r="E2176" s="126" t="str">
        <f>IF(A2176="COMPOSIÇÃO",VLOOKUP(C2176,'SINAPI_COMPOSIÇÕES 062020'!A:C,3,FALSE),VLOOKUP(C2176,'SINAPI_INSUMOS 062020'!A:C,3,FALSE))</f>
        <v xml:space="preserve">M2    </v>
      </c>
      <c r="F2176" s="74">
        <v>0.52</v>
      </c>
      <c r="G2176" s="128">
        <f>IF(A2176="COMPOSIÇÃO",VLOOKUP(C2176,'SINAPI_COMPOSIÇÕES 062020'!A:D,4,FALSE),VLOOKUP(C2176,'SINAPI_INSUMOS 062020'!A:D,4,FALSE))</f>
        <v>463.05</v>
      </c>
      <c r="H2176" s="75">
        <f t="shared" si="169"/>
        <v>240.78</v>
      </c>
    </row>
    <row r="2177" spans="1:8" ht="63.75" x14ac:dyDescent="0.25">
      <c r="A2177" s="125" t="s">
        <v>400</v>
      </c>
      <c r="B2177" s="115" t="s">
        <v>9</v>
      </c>
      <c r="C2177" s="115">
        <v>4992</v>
      </c>
      <c r="D2177" s="127" t="str">
        <f>IF(A2177="COMPOSIÇÃO",VLOOKUP(C2177,'SINAPI_COMPOSIÇÕES 062020'!A:B,2,FALSE),VLOOKUP(C2177,'SINAPI_INSUMOS 062020'!A:B,2,FALSE))</f>
        <v>PORTA DE MADEIRA, FOLHA MEDIA (NBR 15930) DE 80 X 210 CM, E = 35 MM, NUCLEO SARRAFEADO, CAPA LISA EM HDF, ACABAMENTO EM LAMINADO NATURAL PARA VERNIZ</v>
      </c>
      <c r="E2177" s="126" t="str">
        <f>IF(A2177="COMPOSIÇÃO",VLOOKUP(C2177,'SINAPI_COMPOSIÇÕES 062020'!A:C,3,FALSE),VLOOKUP(C2177,'SINAPI_INSUMOS 062020'!A:C,3,FALSE))</f>
        <v xml:space="preserve">UN    </v>
      </c>
      <c r="F2177" s="74">
        <v>2</v>
      </c>
      <c r="G2177" s="128">
        <f>IF(A2177="COMPOSIÇÃO",VLOOKUP(C2177,'SINAPI_COMPOSIÇÕES 062020'!A:D,4,FALSE),VLOOKUP(C2177,'SINAPI_INSUMOS 062020'!A:D,4,FALSE))</f>
        <v>289.33999999999997</v>
      </c>
      <c r="H2177" s="75">
        <f t="shared" si="169"/>
        <v>578.67999999999995</v>
      </c>
    </row>
    <row r="2178" spans="1:8" ht="13.5" thickBot="1" x14ac:dyDescent="0.3">
      <c r="A2178" s="267" t="str">
        <f>CONCATENATE("TOTAL DO ÍTEM - ",A2162)</f>
        <v>TOTAL DO ÍTEM - MPMT-02576</v>
      </c>
      <c r="B2178" s="268"/>
      <c r="C2178" s="268"/>
      <c r="D2178" s="268"/>
      <c r="E2178" s="268"/>
      <c r="F2178" s="268"/>
      <c r="G2178" s="269"/>
      <c r="H2178" s="188">
        <f>TRUNC(SUM(H2166:H2177),2)</f>
        <v>1315.05</v>
      </c>
    </row>
    <row r="2179" spans="1:8" ht="13.5" thickBot="1" x14ac:dyDescent="0.3">
      <c r="A2179" s="302" t="s">
        <v>12647</v>
      </c>
      <c r="B2179" s="303"/>
      <c r="C2179" s="303"/>
      <c r="D2179" s="303"/>
      <c r="E2179" s="303"/>
      <c r="F2179" s="303"/>
      <c r="G2179" s="303"/>
      <c r="H2179" s="304"/>
    </row>
    <row r="2180" spans="1:8" ht="13.5" thickBot="1" x14ac:dyDescent="0.3"/>
    <row r="2181" spans="1:8" ht="25.5" x14ac:dyDescent="0.25">
      <c r="A2181" s="120" t="s">
        <v>90</v>
      </c>
      <c r="B2181" s="286" t="s">
        <v>91</v>
      </c>
      <c r="C2181" s="287"/>
      <c r="D2181" s="287"/>
      <c r="E2181" s="287"/>
      <c r="F2181" s="287"/>
      <c r="G2181" s="288"/>
      <c r="H2181" s="121" t="s">
        <v>4</v>
      </c>
    </row>
    <row r="2182" spans="1:8" ht="13.5" thickBot="1" x14ac:dyDescent="0.3">
      <c r="A2182" s="113" t="s">
        <v>12649</v>
      </c>
      <c r="B2182" s="289" t="s">
        <v>12650</v>
      </c>
      <c r="C2182" s="290"/>
      <c r="D2182" s="290"/>
      <c r="E2182" s="290"/>
      <c r="F2182" s="290"/>
      <c r="G2182" s="291"/>
      <c r="H2182" s="114" t="s">
        <v>8</v>
      </c>
    </row>
    <row r="2183" spans="1:8" x14ac:dyDescent="0.25">
      <c r="A2183" s="273" t="s">
        <v>13834</v>
      </c>
      <c r="B2183" s="275" t="s">
        <v>92</v>
      </c>
      <c r="C2183" s="276"/>
      <c r="D2183" s="185" t="s">
        <v>12651</v>
      </c>
      <c r="E2183" s="239" t="s">
        <v>93</v>
      </c>
      <c r="F2183" s="186">
        <v>0</v>
      </c>
      <c r="G2183" s="277" t="s">
        <v>94</v>
      </c>
      <c r="H2183" s="278"/>
    </row>
    <row r="2184" spans="1:8" x14ac:dyDescent="0.25">
      <c r="A2184" s="274"/>
      <c r="B2184" s="281" t="s">
        <v>95</v>
      </c>
      <c r="C2184" s="282"/>
      <c r="D2184" s="187">
        <v>42885</v>
      </c>
      <c r="E2184" s="240" t="s">
        <v>96</v>
      </c>
      <c r="F2184" s="187">
        <v>42885</v>
      </c>
      <c r="G2184" s="279"/>
      <c r="H2184" s="280"/>
    </row>
    <row r="2185" spans="1:8" x14ac:dyDescent="0.25">
      <c r="A2185" s="122" t="s">
        <v>11885</v>
      </c>
      <c r="B2185" s="123" t="s">
        <v>97</v>
      </c>
      <c r="C2185" s="123" t="s">
        <v>98</v>
      </c>
      <c r="D2185" s="123" t="s">
        <v>3</v>
      </c>
      <c r="E2185" s="123" t="s">
        <v>4</v>
      </c>
      <c r="F2185" s="123" t="s">
        <v>99</v>
      </c>
      <c r="G2185" s="123" t="s">
        <v>100</v>
      </c>
      <c r="H2185" s="124" t="s">
        <v>101</v>
      </c>
    </row>
    <row r="2186" spans="1:8" ht="25.5" x14ac:dyDescent="0.25">
      <c r="A2186" s="125" t="s">
        <v>398</v>
      </c>
      <c r="B2186" s="115" t="s">
        <v>9</v>
      </c>
      <c r="C2186" s="115">
        <v>88315</v>
      </c>
      <c r="D2186" s="127" t="str">
        <f>IF(A2186="COMPOSIÇÃO",VLOOKUP(C2186,'SINAPI_COMPOSIÇÕES 062020'!A:B,2,FALSE),VLOOKUP(C2186,'SINAPI_INSUMOS 062020'!A:B,2,FALSE))</f>
        <v>SERRALHEIRO COM ENCARGOS COMPLEMENTARES</v>
      </c>
      <c r="E2186" s="126" t="str">
        <f>IF(A2186="COMPOSIÇÃO",VLOOKUP(C2186,'SINAPI_COMPOSIÇÕES 062020'!A:C,3,FALSE),VLOOKUP(C2186,'SINAPI_INSUMOS 062020'!A:C,3,FALSE))</f>
        <v>H</v>
      </c>
      <c r="F2186" s="74">
        <v>1.5</v>
      </c>
      <c r="G2186" s="128">
        <f>IF(A2186="COMPOSIÇÃO",VLOOKUP(C2186,'SINAPI_COMPOSIÇÕES 062020'!A:D,4,FALSE),VLOOKUP(C2186,'SINAPI_INSUMOS 062020'!A:D,4,FALSE))</f>
        <v>17.68</v>
      </c>
      <c r="H2186" s="75">
        <f t="shared" ref="H2186:H2190" si="170">TRUNC(G2186*F2186,2)</f>
        <v>26.52</v>
      </c>
    </row>
    <row r="2187" spans="1:8" ht="25.5" x14ac:dyDescent="0.25">
      <c r="A2187" s="125" t="s">
        <v>398</v>
      </c>
      <c r="B2187" s="115" t="s">
        <v>9</v>
      </c>
      <c r="C2187" s="115">
        <v>88316</v>
      </c>
      <c r="D2187" s="127" t="str">
        <f>IF(A2187="COMPOSIÇÃO",VLOOKUP(C2187,'SINAPI_COMPOSIÇÕES 062020'!A:B,2,FALSE),VLOOKUP(C2187,'SINAPI_INSUMOS 062020'!A:B,2,FALSE))</f>
        <v>SERVENTE COM ENCARGOS COMPLEMENTARES</v>
      </c>
      <c r="E2187" s="126" t="str">
        <f>IF(A2187="COMPOSIÇÃO",VLOOKUP(C2187,'SINAPI_COMPOSIÇÕES 062020'!A:C,3,FALSE),VLOOKUP(C2187,'SINAPI_INSUMOS 062020'!A:C,3,FALSE))</f>
        <v>H</v>
      </c>
      <c r="F2187" s="74">
        <v>1.6</v>
      </c>
      <c r="G2187" s="128">
        <f>IF(A2187="COMPOSIÇÃO",VLOOKUP(C2187,'SINAPI_COMPOSIÇÕES 062020'!A:D,4,FALSE),VLOOKUP(C2187,'SINAPI_INSUMOS 062020'!A:D,4,FALSE))</f>
        <v>14.37</v>
      </c>
      <c r="H2187" s="75">
        <f t="shared" si="170"/>
        <v>22.99</v>
      </c>
    </row>
    <row r="2188" spans="1:8" ht="38.25" x14ac:dyDescent="0.25">
      <c r="A2188" s="125" t="s">
        <v>398</v>
      </c>
      <c r="B2188" s="115" t="s">
        <v>9</v>
      </c>
      <c r="C2188" s="115">
        <v>88631</v>
      </c>
      <c r="D2188" s="127" t="str">
        <f>IF(A2188="COMPOSIÇÃO",VLOOKUP(C2188,'SINAPI_COMPOSIÇÕES 062020'!A:B,2,FALSE),VLOOKUP(C2188,'SINAPI_INSUMOS 062020'!A:B,2,FALSE))</f>
        <v>ARGAMASSA TRAÇO 1:4 (EM VOLUME DE CIMENTO E AREIA MÉDIA ÚMIDA), PREPARO MANUAL. AF_08/2019</v>
      </c>
      <c r="E2188" s="126" t="str">
        <f>IF(A2188="COMPOSIÇÃO",VLOOKUP(C2188,'SINAPI_COMPOSIÇÕES 062020'!A:C,3,FALSE),VLOOKUP(C2188,'SINAPI_INSUMOS 062020'!A:C,3,FALSE))</f>
        <v>M3</v>
      </c>
      <c r="F2188" s="74">
        <v>4.0000000000000001E-3</v>
      </c>
      <c r="G2188" s="128">
        <f>IF(A2188="COMPOSIÇÃO",VLOOKUP(C2188,'SINAPI_COMPOSIÇÕES 062020'!A:D,4,FALSE),VLOOKUP(C2188,'SINAPI_INSUMOS 062020'!A:D,4,FALSE))</f>
        <v>381.86</v>
      </c>
      <c r="H2188" s="75">
        <f t="shared" si="170"/>
        <v>1.52</v>
      </c>
    </row>
    <row r="2189" spans="1:8" ht="25.5" x14ac:dyDescent="0.25">
      <c r="A2189" s="125" t="s">
        <v>400</v>
      </c>
      <c r="B2189" s="115" t="s">
        <v>9</v>
      </c>
      <c r="C2189" s="115">
        <v>546</v>
      </c>
      <c r="D2189" s="127" t="str">
        <f>IF(A2189="COMPOSIÇÃO",VLOOKUP(C2189,'SINAPI_COMPOSIÇÕES 062020'!A:B,2,FALSE),VLOOKUP(C2189,'SINAPI_INSUMOS 062020'!A:B,2,FALSE))</f>
        <v>BARRA DE FERRO RETANGULAR, BARRA CHATA (QUALQUER DIMENSAO)</v>
      </c>
      <c r="E2189" s="126" t="str">
        <f>IF(A2189="COMPOSIÇÃO",VLOOKUP(C2189,'SINAPI_COMPOSIÇÕES 062020'!A:C,3,FALSE),VLOOKUP(C2189,'SINAPI_INSUMOS 062020'!A:C,3,FALSE))</f>
        <v xml:space="preserve">KG    </v>
      </c>
      <c r="F2189" s="74">
        <v>42</v>
      </c>
      <c r="G2189" s="128">
        <f>IF(A2189="COMPOSIÇÃO",VLOOKUP(C2189,'SINAPI_COMPOSIÇÕES 062020'!A:D,4,FALSE),VLOOKUP(C2189,'SINAPI_INSUMOS 062020'!A:D,4,FALSE))</f>
        <v>6.23</v>
      </c>
      <c r="H2189" s="75">
        <f t="shared" si="170"/>
        <v>261.66000000000003</v>
      </c>
    </row>
    <row r="2190" spans="1:8" ht="25.5" x14ac:dyDescent="0.25">
      <c r="A2190" s="125" t="s">
        <v>400</v>
      </c>
      <c r="B2190" s="115" t="s">
        <v>9</v>
      </c>
      <c r="C2190" s="115">
        <v>567</v>
      </c>
      <c r="D2190" s="127" t="str">
        <f>IF(A2190="COMPOSIÇÃO",VLOOKUP(C2190,'SINAPI_COMPOSIÇÕES 062020'!A:B,2,FALSE),VLOOKUP(C2190,'SINAPI_INSUMOS 062020'!A:B,2,FALSE))</f>
        <v>CANTONEIRA FERRO GALVANIZADO DE ABAS IGUAIS, 1" X 1/8" (L X E) , 1,20KG/M</v>
      </c>
      <c r="E2190" s="126" t="str">
        <f>IF(A2190="COMPOSIÇÃO",VLOOKUP(C2190,'SINAPI_COMPOSIÇÕES 062020'!A:C,3,FALSE),VLOOKUP(C2190,'SINAPI_INSUMOS 062020'!A:C,3,FALSE))</f>
        <v xml:space="preserve">M     </v>
      </c>
      <c r="F2190" s="74">
        <v>2</v>
      </c>
      <c r="G2190" s="128">
        <f>IF(A2190="COMPOSIÇÃO",VLOOKUP(C2190,'SINAPI_COMPOSIÇÕES 062020'!A:D,4,FALSE),VLOOKUP(C2190,'SINAPI_INSUMOS 062020'!A:D,4,FALSE))</f>
        <v>8.2100000000000009</v>
      </c>
      <c r="H2190" s="75">
        <f t="shared" si="170"/>
        <v>16.420000000000002</v>
      </c>
    </row>
    <row r="2191" spans="1:8" ht="13.5" thickBot="1" x14ac:dyDescent="0.3">
      <c r="A2191" s="267" t="str">
        <f>CONCATENATE("TOTAL DO ÍTEM - ",A2182)</f>
        <v>TOTAL DO ÍTEM - MPMT-02062</v>
      </c>
      <c r="B2191" s="268"/>
      <c r="C2191" s="268"/>
      <c r="D2191" s="268"/>
      <c r="E2191" s="268"/>
      <c r="F2191" s="268"/>
      <c r="G2191" s="269"/>
      <c r="H2191" s="188">
        <f>TRUNC(SUM(H2186:H2190),2)</f>
        <v>329.11</v>
      </c>
    </row>
    <row r="2192" spans="1:8" ht="13.5" thickBot="1" x14ac:dyDescent="0.3">
      <c r="A2192" s="302" t="s">
        <v>12652</v>
      </c>
      <c r="B2192" s="303"/>
      <c r="C2192" s="303"/>
      <c r="D2192" s="303"/>
      <c r="E2192" s="303"/>
      <c r="F2192" s="303"/>
      <c r="G2192" s="303"/>
      <c r="H2192" s="304"/>
    </row>
    <row r="2193" spans="1:8" ht="13.5" thickBot="1" x14ac:dyDescent="0.3"/>
    <row r="2194" spans="1:8" ht="25.5" x14ac:dyDescent="0.25">
      <c r="A2194" s="120" t="s">
        <v>90</v>
      </c>
      <c r="B2194" s="286" t="s">
        <v>91</v>
      </c>
      <c r="C2194" s="287"/>
      <c r="D2194" s="287"/>
      <c r="E2194" s="287"/>
      <c r="F2194" s="287"/>
      <c r="G2194" s="288"/>
      <c r="H2194" s="121" t="s">
        <v>4</v>
      </c>
    </row>
    <row r="2195" spans="1:8" ht="13.5" thickBot="1" x14ac:dyDescent="0.3">
      <c r="A2195" s="113" t="s">
        <v>12653</v>
      </c>
      <c r="B2195" s="289" t="s">
        <v>12654</v>
      </c>
      <c r="C2195" s="290"/>
      <c r="D2195" s="290"/>
      <c r="E2195" s="290"/>
      <c r="F2195" s="290"/>
      <c r="G2195" s="291"/>
      <c r="H2195" s="114" t="s">
        <v>4</v>
      </c>
    </row>
    <row r="2196" spans="1:8" x14ac:dyDescent="0.25">
      <c r="A2196" s="273" t="s">
        <v>13834</v>
      </c>
      <c r="B2196" s="275" t="s">
        <v>92</v>
      </c>
      <c r="C2196" s="276"/>
      <c r="D2196" s="185" t="s">
        <v>12655</v>
      </c>
      <c r="E2196" s="239" t="s">
        <v>93</v>
      </c>
      <c r="F2196" s="186">
        <v>0</v>
      </c>
      <c r="G2196" s="277" t="s">
        <v>94</v>
      </c>
      <c r="H2196" s="278"/>
    </row>
    <row r="2197" spans="1:8" x14ac:dyDescent="0.25">
      <c r="A2197" s="274"/>
      <c r="B2197" s="281" t="s">
        <v>95</v>
      </c>
      <c r="C2197" s="282"/>
      <c r="D2197" s="187">
        <v>42978</v>
      </c>
      <c r="E2197" s="240" t="s">
        <v>96</v>
      </c>
      <c r="F2197" s="187">
        <v>42978</v>
      </c>
      <c r="G2197" s="279"/>
      <c r="H2197" s="280"/>
    </row>
    <row r="2198" spans="1:8" x14ac:dyDescent="0.25">
      <c r="A2198" s="122" t="s">
        <v>11885</v>
      </c>
      <c r="B2198" s="123" t="s">
        <v>97</v>
      </c>
      <c r="C2198" s="123" t="s">
        <v>98</v>
      </c>
      <c r="D2198" s="123" t="s">
        <v>3</v>
      </c>
      <c r="E2198" s="123" t="s">
        <v>4</v>
      </c>
      <c r="F2198" s="123" t="s">
        <v>99</v>
      </c>
      <c r="G2198" s="123" t="s">
        <v>100</v>
      </c>
      <c r="H2198" s="124" t="s">
        <v>101</v>
      </c>
    </row>
    <row r="2199" spans="1:8" ht="25.5" x14ac:dyDescent="0.25">
      <c r="A2199" s="125" t="s">
        <v>398</v>
      </c>
      <c r="B2199" s="115" t="s">
        <v>9</v>
      </c>
      <c r="C2199" s="115">
        <v>88261</v>
      </c>
      <c r="D2199" s="127" t="str">
        <f>IF(A2199="COMPOSIÇÃO",VLOOKUP(C2199,'SINAPI_COMPOSIÇÕES 062020'!A:B,2,FALSE),VLOOKUP(C2199,'SINAPI_INSUMOS 062020'!A:B,2,FALSE))</f>
        <v>CARPINTEIRO DE ESQUADRIA COM ENCARGOS COMPLEMENTARES</v>
      </c>
      <c r="E2199" s="126" t="str">
        <f>IF(A2199="COMPOSIÇÃO",VLOOKUP(C2199,'SINAPI_COMPOSIÇÕES 062020'!A:C,3,FALSE),VLOOKUP(C2199,'SINAPI_INSUMOS 062020'!A:C,3,FALSE))</f>
        <v>H</v>
      </c>
      <c r="F2199" s="74">
        <v>1.282</v>
      </c>
      <c r="G2199" s="128">
        <f>IF(A2199="COMPOSIÇÃO",VLOOKUP(C2199,'SINAPI_COMPOSIÇÕES 062020'!A:D,4,FALSE),VLOOKUP(C2199,'SINAPI_INSUMOS 062020'!A:D,4,FALSE))</f>
        <v>18.84</v>
      </c>
      <c r="H2199" s="75">
        <f t="shared" ref="H2199:H2204" si="171">TRUNC(G2199*F2199,2)</f>
        <v>24.15</v>
      </c>
    </row>
    <row r="2200" spans="1:8" ht="25.5" x14ac:dyDescent="0.25">
      <c r="A2200" s="125" t="s">
        <v>398</v>
      </c>
      <c r="B2200" s="115" t="s">
        <v>9</v>
      </c>
      <c r="C2200" s="115">
        <v>88316</v>
      </c>
      <c r="D2200" s="127" t="str">
        <f>IF(A2200="COMPOSIÇÃO",VLOOKUP(C2200,'SINAPI_COMPOSIÇÕES 062020'!A:B,2,FALSE),VLOOKUP(C2200,'SINAPI_INSUMOS 062020'!A:B,2,FALSE))</f>
        <v>SERVENTE COM ENCARGOS COMPLEMENTARES</v>
      </c>
      <c r="E2200" s="126" t="str">
        <f>IF(A2200="COMPOSIÇÃO",VLOOKUP(C2200,'SINAPI_COMPOSIÇÕES 062020'!A:C,3,FALSE),VLOOKUP(C2200,'SINAPI_INSUMOS 062020'!A:C,3,FALSE))</f>
        <v>H</v>
      </c>
      <c r="F2200" s="74">
        <v>0.64100000000000001</v>
      </c>
      <c r="G2200" s="128">
        <f>IF(A2200="COMPOSIÇÃO",VLOOKUP(C2200,'SINAPI_COMPOSIÇÕES 062020'!A:D,4,FALSE),VLOOKUP(C2200,'SINAPI_INSUMOS 062020'!A:D,4,FALSE))</f>
        <v>14.37</v>
      </c>
      <c r="H2200" s="75">
        <f t="shared" si="171"/>
        <v>9.2100000000000009</v>
      </c>
    </row>
    <row r="2201" spans="1:8" ht="38.25" x14ac:dyDescent="0.25">
      <c r="A2201" s="125" t="s">
        <v>400</v>
      </c>
      <c r="B2201" s="115" t="s">
        <v>9</v>
      </c>
      <c r="C2201" s="115">
        <v>2432</v>
      </c>
      <c r="D2201" s="127" t="str">
        <f>IF(A2201="COMPOSIÇÃO",VLOOKUP(C2201,'SINAPI_COMPOSIÇÕES 062020'!A:B,2,FALSE),VLOOKUP(C2201,'SINAPI_INSUMOS 062020'!A:B,2,FALSE))</f>
        <v>DOBRADICA EM ACO/FERRO, 3 1/2" X  3", E= 1,9  A 2 MM, COM ANEL,  CROMADO OU ZINCADO, TAMPA BOLA, COM PARAFUSOS</v>
      </c>
      <c r="E2201" s="126" t="str">
        <f>IF(A2201="COMPOSIÇÃO",VLOOKUP(C2201,'SINAPI_COMPOSIÇÕES 062020'!A:C,3,FALSE),VLOOKUP(C2201,'SINAPI_INSUMOS 062020'!A:C,3,FALSE))</f>
        <v xml:space="preserve">UN    </v>
      </c>
      <c r="F2201" s="74">
        <v>3</v>
      </c>
      <c r="G2201" s="128">
        <f>IF(A2201="COMPOSIÇÃO",VLOOKUP(C2201,'SINAPI_COMPOSIÇÕES 062020'!A:D,4,FALSE),VLOOKUP(C2201,'SINAPI_INSUMOS 062020'!A:D,4,FALSE))</f>
        <v>15.63</v>
      </c>
      <c r="H2201" s="75">
        <f t="shared" si="171"/>
        <v>46.89</v>
      </c>
    </row>
    <row r="2202" spans="1:8" ht="38.25" x14ac:dyDescent="0.25">
      <c r="A2202" s="125" t="s">
        <v>400</v>
      </c>
      <c r="B2202" s="115" t="s">
        <v>9</v>
      </c>
      <c r="C2202" s="115">
        <v>11055</v>
      </c>
      <c r="D2202" s="127" t="str">
        <f>IF(A2202="COMPOSIÇÃO",VLOOKUP(C2202,'SINAPI_COMPOSIÇÕES 062020'!A:B,2,FALSE),VLOOKUP(C2202,'SINAPI_INSUMOS 062020'!A:B,2,FALSE))</f>
        <v>PARAFUSO ROSCA SOBERBA ZINCADO CABECA CHATA FENDA SIMPLES 3,5 X 25 MM (1 ")</v>
      </c>
      <c r="E2202" s="126" t="str">
        <f>IF(A2202="COMPOSIÇÃO",VLOOKUP(C2202,'SINAPI_COMPOSIÇÕES 062020'!A:C,3,FALSE),VLOOKUP(C2202,'SINAPI_INSUMOS 062020'!A:C,3,FALSE))</f>
        <v xml:space="preserve">UN    </v>
      </c>
      <c r="F2202" s="195">
        <v>19.8</v>
      </c>
      <c r="G2202" s="128">
        <f>IF(A2202="COMPOSIÇÃO",VLOOKUP(C2202,'SINAPI_COMPOSIÇÕES 062020'!A:D,4,FALSE),VLOOKUP(C2202,'SINAPI_INSUMOS 062020'!A:D,4,FALSE))</f>
        <v>0.04</v>
      </c>
      <c r="H2202" s="75">
        <f t="shared" si="171"/>
        <v>0.79</v>
      </c>
    </row>
    <row r="2203" spans="1:8" ht="51" x14ac:dyDescent="0.25">
      <c r="A2203" s="125" t="s">
        <v>398</v>
      </c>
      <c r="B2203" s="115" t="s">
        <v>9</v>
      </c>
      <c r="C2203" s="115">
        <v>90806</v>
      </c>
      <c r="D2203" s="127" t="str">
        <f>IF(A2203="COMPOSIÇÃO",VLOOKUP(C2203,'SINAPI_COMPOSIÇÕES 062020'!A:B,2,FALSE),VLOOKUP(C2203,'SINAPI_INSUMOS 062020'!A:B,2,FALSE))</f>
        <v>BATENTE PARA PORTA DE MADEIRA, FIXAÇÃO COM ARGAMASSA, PADRÃO MÉDIO - FORNECIMENTO E INSTALAÇÃO. AF_12/2019_P</v>
      </c>
      <c r="E2203" s="126" t="str">
        <f>IF(A2203="COMPOSIÇÃO",VLOOKUP(C2203,'SINAPI_COMPOSIÇÕES 062020'!A:C,3,FALSE),VLOOKUP(C2203,'SINAPI_INSUMOS 062020'!A:C,3,FALSE))</f>
        <v>UN</v>
      </c>
      <c r="F2203" s="74">
        <v>1</v>
      </c>
      <c r="G2203" s="128">
        <f>IF(A2203="COMPOSIÇÃO",VLOOKUP(C2203,'SINAPI_COMPOSIÇÕES 062020'!A:D,4,FALSE),VLOOKUP(C2203,'SINAPI_INSUMOS 062020'!A:D,4,FALSE))</f>
        <v>242.04</v>
      </c>
      <c r="H2203" s="75">
        <f t="shared" si="171"/>
        <v>242.04</v>
      </c>
    </row>
    <row r="2204" spans="1:8" ht="38.25" x14ac:dyDescent="0.25">
      <c r="A2204" s="125" t="s">
        <v>398</v>
      </c>
      <c r="B2204" s="115" t="s">
        <v>9</v>
      </c>
      <c r="C2204" s="115">
        <v>100659</v>
      </c>
      <c r="D2204" s="127" t="str">
        <f>IF(A2204="COMPOSIÇÃO",VLOOKUP(C2204,'SINAPI_COMPOSIÇÕES 062020'!A:B,2,FALSE),VLOOKUP(C2204,'SINAPI_INSUMOS 062020'!A:B,2,FALSE))</f>
        <v>ALIZAR DE 5X1,5CM PARA PORTA FIXADO COM PREGOS, PADRÃO MÉDIO - FORNECIMENTO E INSTALAÇÃO. AF_12/2019</v>
      </c>
      <c r="E2204" s="126" t="str">
        <f>IF(A2204="COMPOSIÇÃO",VLOOKUP(C2204,'SINAPI_COMPOSIÇÕES 062020'!A:C,3,FALSE),VLOOKUP(C2204,'SINAPI_INSUMOS 062020'!A:C,3,FALSE))</f>
        <v>M</v>
      </c>
      <c r="F2204" s="74">
        <v>9.6</v>
      </c>
      <c r="G2204" s="128">
        <f>IF(A2204="COMPOSIÇÃO",VLOOKUP(C2204,'SINAPI_COMPOSIÇÕES 062020'!A:D,4,FALSE),VLOOKUP(C2204,'SINAPI_INSUMOS 062020'!A:D,4,FALSE))</f>
        <v>5.67</v>
      </c>
      <c r="H2204" s="75">
        <f t="shared" si="171"/>
        <v>54.43</v>
      </c>
    </row>
    <row r="2205" spans="1:8" ht="13.5" thickBot="1" x14ac:dyDescent="0.3">
      <c r="A2205" s="267" t="str">
        <f>CONCATENATE("TOTAL DO ÍTEM - ",A2195)</f>
        <v>TOTAL DO ÍTEM - MPMT-02577</v>
      </c>
      <c r="B2205" s="268"/>
      <c r="C2205" s="268"/>
      <c r="D2205" s="268"/>
      <c r="E2205" s="268"/>
      <c r="F2205" s="268"/>
      <c r="G2205" s="269"/>
      <c r="H2205" s="188">
        <f>TRUNC(SUM(H2199:H2204),2)</f>
        <v>377.51</v>
      </c>
    </row>
    <row r="2206" spans="1:8" ht="13.5" thickBot="1" x14ac:dyDescent="0.3">
      <c r="A2206" s="302" t="s">
        <v>12656</v>
      </c>
      <c r="B2206" s="303"/>
      <c r="C2206" s="303"/>
      <c r="D2206" s="303"/>
      <c r="E2206" s="303"/>
      <c r="F2206" s="303"/>
      <c r="G2206" s="303"/>
      <c r="H2206" s="304"/>
    </row>
    <row r="2207" spans="1:8" ht="13.5" thickBot="1" x14ac:dyDescent="0.3">
      <c r="A2207" s="189"/>
      <c r="B2207" s="189"/>
      <c r="C2207" s="189"/>
      <c r="D2207" s="190"/>
      <c r="E2207" s="189"/>
      <c r="F2207" s="191"/>
      <c r="G2207" s="191"/>
      <c r="H2207" s="191"/>
    </row>
    <row r="2208" spans="1:8" ht="25.5" x14ac:dyDescent="0.25">
      <c r="A2208" s="120" t="s">
        <v>90</v>
      </c>
      <c r="B2208" s="286" t="s">
        <v>91</v>
      </c>
      <c r="C2208" s="287"/>
      <c r="D2208" s="287"/>
      <c r="E2208" s="287"/>
      <c r="F2208" s="287"/>
      <c r="G2208" s="288"/>
      <c r="H2208" s="121" t="s">
        <v>4</v>
      </c>
    </row>
    <row r="2209" spans="1:8" ht="13.5" thickBot="1" x14ac:dyDescent="0.3">
      <c r="A2209" s="113" t="s">
        <v>12657</v>
      </c>
      <c r="B2209" s="289" t="s">
        <v>12658</v>
      </c>
      <c r="C2209" s="290"/>
      <c r="D2209" s="290"/>
      <c r="E2209" s="290"/>
      <c r="F2209" s="290"/>
      <c r="G2209" s="291"/>
      <c r="H2209" s="114" t="s">
        <v>4</v>
      </c>
    </row>
    <row r="2210" spans="1:8" x14ac:dyDescent="0.25">
      <c r="A2210" s="273" t="s">
        <v>13834</v>
      </c>
      <c r="B2210" s="275" t="s">
        <v>92</v>
      </c>
      <c r="C2210" s="276"/>
      <c r="D2210" s="185" t="s">
        <v>12659</v>
      </c>
      <c r="E2210" s="239" t="s">
        <v>93</v>
      </c>
      <c r="F2210" s="186">
        <v>0</v>
      </c>
      <c r="G2210" s="277" t="s">
        <v>94</v>
      </c>
      <c r="H2210" s="278"/>
    </row>
    <row r="2211" spans="1:8" x14ac:dyDescent="0.25">
      <c r="A2211" s="274"/>
      <c r="B2211" s="281" t="s">
        <v>95</v>
      </c>
      <c r="C2211" s="282"/>
      <c r="D2211" s="187">
        <v>42978</v>
      </c>
      <c r="E2211" s="240" t="s">
        <v>96</v>
      </c>
      <c r="F2211" s="187">
        <v>42978</v>
      </c>
      <c r="G2211" s="279"/>
      <c r="H2211" s="280"/>
    </row>
    <row r="2212" spans="1:8" x14ac:dyDescent="0.25">
      <c r="A2212" s="122" t="s">
        <v>11885</v>
      </c>
      <c r="B2212" s="123" t="s">
        <v>97</v>
      </c>
      <c r="C2212" s="123" t="s">
        <v>98</v>
      </c>
      <c r="D2212" s="123" t="s">
        <v>3</v>
      </c>
      <c r="E2212" s="123" t="s">
        <v>4</v>
      </c>
      <c r="F2212" s="123" t="s">
        <v>99</v>
      </c>
      <c r="G2212" s="123" t="s">
        <v>100</v>
      </c>
      <c r="H2212" s="124" t="s">
        <v>101</v>
      </c>
    </row>
    <row r="2213" spans="1:8" ht="25.5" x14ac:dyDescent="0.25">
      <c r="A2213" s="125" t="s">
        <v>398</v>
      </c>
      <c r="B2213" s="115" t="s">
        <v>9</v>
      </c>
      <c r="C2213" s="115">
        <v>88261</v>
      </c>
      <c r="D2213" s="127" t="str">
        <f>IF(A2213="COMPOSIÇÃO",VLOOKUP(C2213,'SINAPI_COMPOSIÇÕES 062020'!A:B,2,FALSE),VLOOKUP(C2213,'SINAPI_INSUMOS 062020'!A:B,2,FALSE))</f>
        <v>CARPINTEIRO DE ESQUADRIA COM ENCARGOS COMPLEMENTARES</v>
      </c>
      <c r="E2213" s="126" t="str">
        <f>IF(A2213="COMPOSIÇÃO",VLOOKUP(C2213,'SINAPI_COMPOSIÇÕES 062020'!A:C,3,FALSE),VLOOKUP(C2213,'SINAPI_INSUMOS 062020'!A:C,3,FALSE))</f>
        <v>H</v>
      </c>
      <c r="F2213" s="74">
        <v>1.546</v>
      </c>
      <c r="G2213" s="128">
        <f>IF(A2213="COMPOSIÇÃO",VLOOKUP(C2213,'SINAPI_COMPOSIÇÕES 062020'!A:D,4,FALSE),VLOOKUP(C2213,'SINAPI_INSUMOS 062020'!A:D,4,FALSE))</f>
        <v>18.84</v>
      </c>
      <c r="H2213" s="75">
        <f t="shared" ref="H2213:H2218" si="172">TRUNC(G2213*F2213,2)</f>
        <v>29.12</v>
      </c>
    </row>
    <row r="2214" spans="1:8" ht="25.5" x14ac:dyDescent="0.25">
      <c r="A2214" s="125" t="s">
        <v>398</v>
      </c>
      <c r="B2214" s="115" t="s">
        <v>9</v>
      </c>
      <c r="C2214" s="115">
        <v>88316</v>
      </c>
      <c r="D2214" s="127" t="str">
        <f>IF(A2214="COMPOSIÇÃO",VLOOKUP(C2214,'SINAPI_COMPOSIÇÕES 062020'!A:B,2,FALSE),VLOOKUP(C2214,'SINAPI_INSUMOS 062020'!A:B,2,FALSE))</f>
        <v>SERVENTE COM ENCARGOS COMPLEMENTARES</v>
      </c>
      <c r="E2214" s="126" t="str">
        <f>IF(A2214="COMPOSIÇÃO",VLOOKUP(C2214,'SINAPI_COMPOSIÇÕES 062020'!A:C,3,FALSE),VLOOKUP(C2214,'SINAPI_INSUMOS 062020'!A:C,3,FALSE))</f>
        <v>H</v>
      </c>
      <c r="F2214" s="74">
        <v>0.77300000000000002</v>
      </c>
      <c r="G2214" s="128">
        <f>IF(A2214="COMPOSIÇÃO",VLOOKUP(C2214,'SINAPI_COMPOSIÇÕES 062020'!A:D,4,FALSE),VLOOKUP(C2214,'SINAPI_INSUMOS 062020'!A:D,4,FALSE))</f>
        <v>14.37</v>
      </c>
      <c r="H2214" s="75">
        <f t="shared" si="172"/>
        <v>11.1</v>
      </c>
    </row>
    <row r="2215" spans="1:8" ht="38.25" x14ac:dyDescent="0.25">
      <c r="A2215" s="125" t="s">
        <v>400</v>
      </c>
      <c r="B2215" s="115" t="s">
        <v>9</v>
      </c>
      <c r="C2215" s="115">
        <v>2432</v>
      </c>
      <c r="D2215" s="127" t="str">
        <f>IF(A2215="COMPOSIÇÃO",VLOOKUP(C2215,'SINAPI_COMPOSIÇÕES 062020'!A:B,2,FALSE),VLOOKUP(C2215,'SINAPI_INSUMOS 062020'!A:B,2,FALSE))</f>
        <v>DOBRADICA EM ACO/FERRO, 3 1/2" X  3", E= 1,9  A 2 MM, COM ANEL,  CROMADO OU ZINCADO, TAMPA BOLA, COM PARAFUSOS</v>
      </c>
      <c r="E2215" s="126" t="str">
        <f>IF(A2215="COMPOSIÇÃO",VLOOKUP(C2215,'SINAPI_COMPOSIÇÕES 062020'!A:C,3,FALSE),VLOOKUP(C2215,'SINAPI_INSUMOS 062020'!A:C,3,FALSE))</f>
        <v xml:space="preserve">UN    </v>
      </c>
      <c r="F2215" s="74">
        <v>3</v>
      </c>
      <c r="G2215" s="128">
        <f>IF(A2215="COMPOSIÇÃO",VLOOKUP(C2215,'SINAPI_COMPOSIÇÕES 062020'!A:D,4,FALSE),VLOOKUP(C2215,'SINAPI_INSUMOS 062020'!A:D,4,FALSE))</f>
        <v>15.63</v>
      </c>
      <c r="H2215" s="75">
        <f t="shared" si="172"/>
        <v>46.89</v>
      </c>
    </row>
    <row r="2216" spans="1:8" ht="38.25" x14ac:dyDescent="0.25">
      <c r="A2216" s="125" t="s">
        <v>400</v>
      </c>
      <c r="B2216" s="115" t="s">
        <v>9</v>
      </c>
      <c r="C2216" s="115">
        <v>11055</v>
      </c>
      <c r="D2216" s="127" t="str">
        <f>IF(A2216="COMPOSIÇÃO",VLOOKUP(C2216,'SINAPI_COMPOSIÇÕES 062020'!A:B,2,FALSE),VLOOKUP(C2216,'SINAPI_INSUMOS 062020'!A:B,2,FALSE))</f>
        <v>PARAFUSO ROSCA SOBERBA ZINCADO CABECA CHATA FENDA SIMPLES 3,5 X 25 MM (1 ")</v>
      </c>
      <c r="E2216" s="126" t="str">
        <f>IF(A2216="COMPOSIÇÃO",VLOOKUP(C2216,'SINAPI_COMPOSIÇÕES 062020'!A:C,3,FALSE),VLOOKUP(C2216,'SINAPI_INSUMOS 062020'!A:C,3,FALSE))</f>
        <v xml:space="preserve">UN    </v>
      </c>
      <c r="F2216" s="195">
        <v>19.8</v>
      </c>
      <c r="G2216" s="128">
        <f>IF(A2216="COMPOSIÇÃO",VLOOKUP(C2216,'SINAPI_COMPOSIÇÕES 062020'!A:D,4,FALSE),VLOOKUP(C2216,'SINAPI_INSUMOS 062020'!A:D,4,FALSE))</f>
        <v>0.04</v>
      </c>
      <c r="H2216" s="75">
        <f t="shared" si="172"/>
        <v>0.79</v>
      </c>
    </row>
    <row r="2217" spans="1:8" ht="51" x14ac:dyDescent="0.25">
      <c r="A2217" s="125" t="s">
        <v>398</v>
      </c>
      <c r="B2217" s="115" t="s">
        <v>9</v>
      </c>
      <c r="C2217" s="115">
        <v>90806</v>
      </c>
      <c r="D2217" s="127" t="str">
        <f>IF(A2217="COMPOSIÇÃO",VLOOKUP(C2217,'SINAPI_COMPOSIÇÕES 062020'!A:B,2,FALSE),VLOOKUP(C2217,'SINAPI_INSUMOS 062020'!A:B,2,FALSE))</f>
        <v>BATENTE PARA PORTA DE MADEIRA, FIXAÇÃO COM ARGAMASSA, PADRÃO MÉDIO - FORNECIMENTO E INSTALAÇÃO. AF_12/2019_P</v>
      </c>
      <c r="E2217" s="126" t="str">
        <f>IF(A2217="COMPOSIÇÃO",VLOOKUP(C2217,'SINAPI_COMPOSIÇÕES 062020'!A:C,3,FALSE),VLOOKUP(C2217,'SINAPI_INSUMOS 062020'!A:C,3,FALSE))</f>
        <v>UN</v>
      </c>
      <c r="F2217" s="74">
        <v>1</v>
      </c>
      <c r="G2217" s="128">
        <f>IF(A2217="COMPOSIÇÃO",VLOOKUP(C2217,'SINAPI_COMPOSIÇÕES 062020'!A:D,4,FALSE),VLOOKUP(C2217,'SINAPI_INSUMOS 062020'!A:D,4,FALSE))</f>
        <v>242.04</v>
      </c>
      <c r="H2217" s="75">
        <f t="shared" si="172"/>
        <v>242.04</v>
      </c>
    </row>
    <row r="2218" spans="1:8" ht="38.25" x14ac:dyDescent="0.25">
      <c r="A2218" s="125" t="s">
        <v>398</v>
      </c>
      <c r="B2218" s="115" t="s">
        <v>9</v>
      </c>
      <c r="C2218" s="115">
        <v>100659</v>
      </c>
      <c r="D2218" s="127" t="str">
        <f>IF(A2218="COMPOSIÇÃO",VLOOKUP(C2218,'SINAPI_COMPOSIÇÕES 062020'!A:B,2,FALSE),VLOOKUP(C2218,'SINAPI_INSUMOS 062020'!A:B,2,FALSE))</f>
        <v>ALIZAR DE 5X1,5CM PARA PORTA FIXADO COM PREGOS, PADRÃO MÉDIO - FORNECIMENTO E INSTALAÇÃO. AF_12/2019</v>
      </c>
      <c r="E2218" s="126" t="str">
        <f>IF(A2218="COMPOSIÇÃO",VLOOKUP(C2218,'SINAPI_COMPOSIÇÕES 062020'!A:C,3,FALSE),VLOOKUP(C2218,'SINAPI_INSUMOS 062020'!A:C,3,FALSE))</f>
        <v>M</v>
      </c>
      <c r="F2218" s="74">
        <v>10</v>
      </c>
      <c r="G2218" s="128">
        <f>IF(A2218="COMPOSIÇÃO",VLOOKUP(C2218,'SINAPI_COMPOSIÇÕES 062020'!A:D,4,FALSE),VLOOKUP(C2218,'SINAPI_INSUMOS 062020'!A:D,4,FALSE))</f>
        <v>5.67</v>
      </c>
      <c r="H2218" s="75">
        <f t="shared" si="172"/>
        <v>56.7</v>
      </c>
    </row>
    <row r="2219" spans="1:8" ht="13.5" thickBot="1" x14ac:dyDescent="0.3">
      <c r="A2219" s="267" t="str">
        <f>CONCATENATE("TOTAL DO ÍTEM - ",A2209)</f>
        <v>TOTAL DO ÍTEM - MPMT-02578</v>
      </c>
      <c r="B2219" s="268"/>
      <c r="C2219" s="268"/>
      <c r="D2219" s="268"/>
      <c r="E2219" s="268"/>
      <c r="F2219" s="268"/>
      <c r="G2219" s="269"/>
      <c r="H2219" s="188">
        <f>TRUNC(SUM(H2213:H2218),2)</f>
        <v>386.64</v>
      </c>
    </row>
    <row r="2220" spans="1:8" ht="13.5" thickBot="1" x14ac:dyDescent="0.3">
      <c r="A2220" s="302" t="s">
        <v>12660</v>
      </c>
      <c r="B2220" s="303"/>
      <c r="C2220" s="303"/>
      <c r="D2220" s="303"/>
      <c r="E2220" s="303"/>
      <c r="F2220" s="303"/>
      <c r="G2220" s="303"/>
      <c r="H2220" s="304"/>
    </row>
    <row r="2221" spans="1:8" ht="13.5" thickBot="1" x14ac:dyDescent="0.3"/>
    <row r="2222" spans="1:8" ht="25.5" x14ac:dyDescent="0.25">
      <c r="A2222" s="120" t="s">
        <v>90</v>
      </c>
      <c r="B2222" s="286" t="s">
        <v>91</v>
      </c>
      <c r="C2222" s="287"/>
      <c r="D2222" s="287"/>
      <c r="E2222" s="287"/>
      <c r="F2222" s="287"/>
      <c r="G2222" s="288"/>
      <c r="H2222" s="121" t="s">
        <v>4</v>
      </c>
    </row>
    <row r="2223" spans="1:8" ht="13.5" thickBot="1" x14ac:dyDescent="0.3">
      <c r="A2223" s="113" t="s">
        <v>12661</v>
      </c>
      <c r="B2223" s="289" t="s">
        <v>12662</v>
      </c>
      <c r="C2223" s="290"/>
      <c r="D2223" s="290"/>
      <c r="E2223" s="290"/>
      <c r="F2223" s="290"/>
      <c r="G2223" s="291"/>
      <c r="H2223" s="114" t="s">
        <v>4</v>
      </c>
    </row>
    <row r="2224" spans="1:8" x14ac:dyDescent="0.25">
      <c r="A2224" s="273" t="s">
        <v>13834</v>
      </c>
      <c r="B2224" s="275" t="s">
        <v>92</v>
      </c>
      <c r="C2224" s="276"/>
      <c r="D2224" s="185" t="s">
        <v>12646</v>
      </c>
      <c r="E2224" s="239" t="s">
        <v>93</v>
      </c>
      <c r="F2224" s="186">
        <v>0</v>
      </c>
      <c r="G2224" s="277" t="s">
        <v>94</v>
      </c>
      <c r="H2224" s="278"/>
    </row>
    <row r="2225" spans="1:8" x14ac:dyDescent="0.25">
      <c r="A2225" s="274"/>
      <c r="B2225" s="281" t="s">
        <v>95</v>
      </c>
      <c r="C2225" s="282"/>
      <c r="D2225" s="187">
        <v>44033</v>
      </c>
      <c r="E2225" s="240" t="s">
        <v>96</v>
      </c>
      <c r="F2225" s="187">
        <v>44033</v>
      </c>
      <c r="G2225" s="279"/>
      <c r="H2225" s="280"/>
    </row>
    <row r="2226" spans="1:8" x14ac:dyDescent="0.25">
      <c r="A2226" s="122" t="s">
        <v>11885</v>
      </c>
      <c r="B2226" s="123" t="s">
        <v>97</v>
      </c>
      <c r="C2226" s="123" t="s">
        <v>98</v>
      </c>
      <c r="D2226" s="123" t="s">
        <v>3</v>
      </c>
      <c r="E2226" s="123" t="s">
        <v>4</v>
      </c>
      <c r="F2226" s="123" t="s">
        <v>99</v>
      </c>
      <c r="G2226" s="123" t="s">
        <v>100</v>
      </c>
      <c r="H2226" s="124" t="s">
        <v>101</v>
      </c>
    </row>
    <row r="2227" spans="1:8" ht="25.5" x14ac:dyDescent="0.25">
      <c r="A2227" s="125" t="s">
        <v>398</v>
      </c>
      <c r="B2227" s="115" t="s">
        <v>9</v>
      </c>
      <c r="C2227" s="115">
        <v>88261</v>
      </c>
      <c r="D2227" s="127" t="str">
        <f>IF(A2227="COMPOSIÇÃO",VLOOKUP(C2227,'SINAPI_COMPOSIÇÕES 062020'!A:B,2,FALSE),VLOOKUP(C2227,'SINAPI_INSUMOS 062020'!A:B,2,FALSE))</f>
        <v>CARPINTEIRO DE ESQUADRIA COM ENCARGOS COMPLEMENTARES</v>
      </c>
      <c r="E2227" s="126" t="str">
        <f>IF(A2227="COMPOSIÇÃO",VLOOKUP(C2227,'SINAPI_COMPOSIÇÕES 062020'!A:C,3,FALSE),VLOOKUP(C2227,'SINAPI_INSUMOS 062020'!A:C,3,FALSE))</f>
        <v>H</v>
      </c>
      <c r="F2227" s="74">
        <v>2.19</v>
      </c>
      <c r="G2227" s="128">
        <f>IF(A2227="COMPOSIÇÃO",VLOOKUP(C2227,'SINAPI_COMPOSIÇÕES 062020'!A:D,4,FALSE),VLOOKUP(C2227,'SINAPI_INSUMOS 062020'!A:D,4,FALSE))</f>
        <v>18.84</v>
      </c>
      <c r="H2227" s="75">
        <f t="shared" ref="H2227:H2236" si="173">TRUNC(G2227*F2227,2)</f>
        <v>41.25</v>
      </c>
    </row>
    <row r="2228" spans="1:8" ht="25.5" x14ac:dyDescent="0.25">
      <c r="A2228" s="125" t="s">
        <v>398</v>
      </c>
      <c r="B2228" s="115" t="s">
        <v>9</v>
      </c>
      <c r="C2228" s="115">
        <v>88309</v>
      </c>
      <c r="D2228" s="127" t="str">
        <f>IF(A2228="COMPOSIÇÃO",VLOOKUP(C2228,'SINAPI_COMPOSIÇÕES 062020'!A:B,2,FALSE),VLOOKUP(C2228,'SINAPI_INSUMOS 062020'!A:B,2,FALSE))</f>
        <v>PEDREIRO COM ENCARGOS COMPLEMENTARES</v>
      </c>
      <c r="E2228" s="126" t="str">
        <f>IF(A2228="COMPOSIÇÃO",VLOOKUP(C2228,'SINAPI_COMPOSIÇÕES 062020'!A:C,3,FALSE),VLOOKUP(C2228,'SINAPI_INSUMOS 062020'!A:C,3,FALSE))</f>
        <v>H</v>
      </c>
      <c r="F2228" s="74">
        <v>1.512</v>
      </c>
      <c r="G2228" s="128">
        <f>IF(A2228="COMPOSIÇÃO",VLOOKUP(C2228,'SINAPI_COMPOSIÇÕES 062020'!A:D,4,FALSE),VLOOKUP(C2228,'SINAPI_INSUMOS 062020'!A:D,4,FALSE))</f>
        <v>17.760000000000002</v>
      </c>
      <c r="H2228" s="75">
        <f t="shared" si="173"/>
        <v>26.85</v>
      </c>
    </row>
    <row r="2229" spans="1:8" ht="25.5" x14ac:dyDescent="0.25">
      <c r="A2229" s="125" t="s">
        <v>398</v>
      </c>
      <c r="B2229" s="115" t="s">
        <v>9</v>
      </c>
      <c r="C2229" s="115">
        <v>88316</v>
      </c>
      <c r="D2229" s="127" t="str">
        <f>IF(A2229="COMPOSIÇÃO",VLOOKUP(C2229,'SINAPI_COMPOSIÇÕES 062020'!A:B,2,FALSE),VLOOKUP(C2229,'SINAPI_INSUMOS 062020'!A:B,2,FALSE))</f>
        <v>SERVENTE COM ENCARGOS COMPLEMENTARES</v>
      </c>
      <c r="E2229" s="126" t="str">
        <f>IF(A2229="COMPOSIÇÃO",VLOOKUP(C2229,'SINAPI_COMPOSIÇÕES 062020'!A:C,3,FALSE),VLOOKUP(C2229,'SINAPI_INSUMOS 062020'!A:C,3,FALSE))</f>
        <v>H</v>
      </c>
      <c r="F2229" s="74">
        <v>3.702</v>
      </c>
      <c r="G2229" s="128">
        <f>IF(A2229="COMPOSIÇÃO",VLOOKUP(C2229,'SINAPI_COMPOSIÇÕES 062020'!A:D,4,FALSE),VLOOKUP(C2229,'SINAPI_INSUMOS 062020'!A:D,4,FALSE))</f>
        <v>14.37</v>
      </c>
      <c r="H2229" s="75">
        <f t="shared" si="173"/>
        <v>53.19</v>
      </c>
    </row>
    <row r="2230" spans="1:8" ht="51" x14ac:dyDescent="0.25">
      <c r="A2230" s="125" t="s">
        <v>398</v>
      </c>
      <c r="B2230" s="115" t="s">
        <v>9</v>
      </c>
      <c r="C2230" s="115">
        <v>88627</v>
      </c>
      <c r="D2230" s="127" t="str">
        <f>IF(A2230="COMPOSIÇÃO",VLOOKUP(C2230,'SINAPI_COMPOSIÇÕES 062020'!A:B,2,FALSE),VLOOKUP(C2230,'SINAPI_INSUMOS 062020'!A:B,2,FALSE))</f>
        <v>ARGAMASSA TRAÇO 1:0,5:4,5 (EM VOLUME DE CIMENTO, CAL E AREIA MÉDIA ÚMIDA) PARA ASSENTAMENTO DE ALVENARIA, PREPARO MANUAL. AF_08/2019</v>
      </c>
      <c r="E2230" s="126" t="str">
        <f>IF(A2230="COMPOSIÇÃO",VLOOKUP(C2230,'SINAPI_COMPOSIÇÕES 062020'!A:C,3,FALSE),VLOOKUP(C2230,'SINAPI_INSUMOS 062020'!A:C,3,FALSE))</f>
        <v>M3</v>
      </c>
      <c r="F2230" s="195">
        <v>1.0800000000000001E-2</v>
      </c>
      <c r="G2230" s="128">
        <f>IF(A2230="COMPOSIÇÃO",VLOOKUP(C2230,'SINAPI_COMPOSIÇÕES 062020'!A:D,4,FALSE),VLOOKUP(C2230,'SINAPI_INSUMOS 062020'!A:D,4,FALSE))</f>
        <v>412.24</v>
      </c>
      <c r="H2230" s="75">
        <f t="shared" si="173"/>
        <v>4.45</v>
      </c>
    </row>
    <row r="2231" spans="1:8" ht="76.5" x14ac:dyDescent="0.25">
      <c r="A2231" s="125" t="s">
        <v>400</v>
      </c>
      <c r="B2231" s="115" t="s">
        <v>9</v>
      </c>
      <c r="C2231" s="115">
        <v>181</v>
      </c>
      <c r="D2231" s="127" t="str">
        <f>IF(A2231="COMPOSIÇÃO",VLOOKUP(C2231,'SINAPI_COMPOSIÇÕES 062020'!A:B,2,FALSE),VLOOKUP(C2231,'SINAPI_INSUMOS 062020'!A:B,2,FALSE))</f>
        <v>BATENTE/ PORTAL/ADUELA/ MARCO MACICO, E= *3* CM, L= *15* CM, *60 CM A 120* CM  X *210* CM,  EM CEDRINHO/ ANGELIM COMERCIAL/  EUCALIPTO/ CURUPIXA/ PEROBA/ CUMARU OU EQUIVALENTE DA REGIAO (NAO INCLUI ALIZARES)</v>
      </c>
      <c r="E2231" s="126" t="str">
        <f>IF(A2231="COMPOSIÇÃO",VLOOKUP(C2231,'SINAPI_COMPOSIÇÕES 062020'!A:C,3,FALSE),VLOOKUP(C2231,'SINAPI_INSUMOS 062020'!A:C,3,FALSE))</f>
        <v xml:space="preserve">JG    </v>
      </c>
      <c r="F2231" s="74">
        <v>2</v>
      </c>
      <c r="G2231" s="128">
        <f>IF(A2231="COMPOSIÇÃO",VLOOKUP(C2231,'SINAPI_COMPOSIÇÕES 062020'!A:D,4,FALSE),VLOOKUP(C2231,'SINAPI_INSUMOS 062020'!A:D,4,FALSE))</f>
        <v>119.87</v>
      </c>
      <c r="H2231" s="75">
        <f t="shared" si="173"/>
        <v>239.74</v>
      </c>
    </row>
    <row r="2232" spans="1:8" ht="38.25" x14ac:dyDescent="0.25">
      <c r="A2232" s="125" t="s">
        <v>400</v>
      </c>
      <c r="B2232" s="115" t="s">
        <v>9</v>
      </c>
      <c r="C2232" s="115">
        <v>11058</v>
      </c>
      <c r="D2232" s="127" t="str">
        <f>IF(A2232="COMPOSIÇÃO",VLOOKUP(C2232,'SINAPI_COMPOSIÇÕES 062020'!A:B,2,FALSE),VLOOKUP(C2232,'SINAPI_INSUMOS 062020'!A:B,2,FALSE))</f>
        <v>PARAFUSO ROSCA SOBERBA ZINCADO CABECA CHATA FENDA SIMPLES 5,5 X 65 MM (2.1/2 ")</v>
      </c>
      <c r="E2232" s="126" t="str">
        <f>IF(A2232="COMPOSIÇÃO",VLOOKUP(C2232,'SINAPI_COMPOSIÇÕES 062020'!A:C,3,FALSE),VLOOKUP(C2232,'SINAPI_INSUMOS 062020'!A:C,3,FALSE))</f>
        <v xml:space="preserve">UN    </v>
      </c>
      <c r="F2232" s="74">
        <v>6</v>
      </c>
      <c r="G2232" s="128">
        <f>IF(A2232="COMPOSIÇÃO",VLOOKUP(C2232,'SINAPI_COMPOSIÇÕES 062020'!A:D,4,FALSE),VLOOKUP(C2232,'SINAPI_INSUMOS 062020'!A:D,4,FALSE))</f>
        <v>0.25</v>
      </c>
      <c r="H2232" s="75">
        <f t="shared" si="173"/>
        <v>1.5</v>
      </c>
    </row>
    <row r="2233" spans="1:8" ht="38.25" x14ac:dyDescent="0.25">
      <c r="A2233" s="125" t="s">
        <v>400</v>
      </c>
      <c r="B2233" s="115" t="s">
        <v>9</v>
      </c>
      <c r="C2233" s="115">
        <v>11447</v>
      </c>
      <c r="D2233" s="127" t="str">
        <f>IF(A2233="COMPOSIÇÃO",VLOOKUP(C2233,'SINAPI_COMPOSIÇÕES 062020'!A:B,2,FALSE),VLOOKUP(C2233,'SINAPI_INSUMOS 062020'!A:B,2,FALSE))</f>
        <v>DOBRADICA EM LATAO, 3 " X 2 1/2 ", E= 1,9 A 2 MM, COM ANEL, CROMADO, TAMPA BOLA, COM PARAFUSOS</v>
      </c>
      <c r="E2233" s="126" t="str">
        <f>IF(A2233="COMPOSIÇÃO",VLOOKUP(C2233,'SINAPI_COMPOSIÇÕES 062020'!A:C,3,FALSE),VLOOKUP(C2233,'SINAPI_INSUMOS 062020'!A:C,3,FALSE))</f>
        <v xml:space="preserve">UN    </v>
      </c>
      <c r="F2233" s="74">
        <v>6</v>
      </c>
      <c r="G2233" s="128">
        <f>IF(A2233="COMPOSIÇÃO",VLOOKUP(C2233,'SINAPI_COMPOSIÇÕES 062020'!A:D,4,FALSE),VLOOKUP(C2233,'SINAPI_INSUMOS 062020'!A:D,4,FALSE))</f>
        <v>17.97</v>
      </c>
      <c r="H2233" s="75">
        <f t="shared" si="173"/>
        <v>107.82</v>
      </c>
    </row>
    <row r="2234" spans="1:8" ht="63.75" x14ac:dyDescent="0.25">
      <c r="A2234" s="125" t="s">
        <v>400</v>
      </c>
      <c r="B2234" s="115" t="s">
        <v>9</v>
      </c>
      <c r="C2234" s="115">
        <v>20017</v>
      </c>
      <c r="D2234" s="127" t="str">
        <f>IF(A2234="COMPOSIÇÃO",VLOOKUP(C2234,'SINAPI_COMPOSIÇÕES 062020'!A:B,2,FALSE),VLOOKUP(C2234,'SINAPI_INSUMOS 062020'!A:B,2,FALSE))</f>
        <v>GUARNICAO/ ALIZAR/ VISTA MACICA, E= *1* CM, L= *4,5* CM, EM CEDRINHO/ ANGELIM COMERCIAL/  EUCALIPTO/ CURUPIXA/ PEROBA/ CUMARU OU EQUIVALENTE DA REGIAO</v>
      </c>
      <c r="E2234" s="126" t="str">
        <f>IF(A2234="COMPOSIÇÃO",VLOOKUP(C2234,'SINAPI_COMPOSIÇÕES 062020'!A:C,3,FALSE),VLOOKUP(C2234,'SINAPI_INSUMOS 062020'!A:C,3,FALSE))</f>
        <v xml:space="preserve">M     </v>
      </c>
      <c r="F2234" s="74">
        <v>10.8</v>
      </c>
      <c r="G2234" s="128">
        <f>IF(A2234="COMPOSIÇÃO",VLOOKUP(C2234,'SINAPI_COMPOSIÇÕES 062020'!A:D,4,FALSE),VLOOKUP(C2234,'SINAPI_INSUMOS 062020'!A:D,4,FALSE))</f>
        <v>3.31</v>
      </c>
      <c r="H2234" s="75">
        <f t="shared" si="173"/>
        <v>35.74</v>
      </c>
    </row>
    <row r="2235" spans="1:8" ht="25.5" x14ac:dyDescent="0.25">
      <c r="A2235" s="125" t="s">
        <v>400</v>
      </c>
      <c r="B2235" s="115" t="s">
        <v>9</v>
      </c>
      <c r="C2235" s="115">
        <v>20247</v>
      </c>
      <c r="D2235" s="127" t="str">
        <f>IF(A2235="COMPOSIÇÃO",VLOOKUP(C2235,'SINAPI_COMPOSIÇÕES 062020'!A:B,2,FALSE),VLOOKUP(C2235,'SINAPI_INSUMOS 062020'!A:B,2,FALSE))</f>
        <v>PREGO DE ACO POLIDO COM CABECA 15 X 15 (1 1/4 X 13)</v>
      </c>
      <c r="E2235" s="126" t="str">
        <f>IF(A2235="COMPOSIÇÃO",VLOOKUP(C2235,'SINAPI_COMPOSIÇÕES 062020'!A:C,3,FALSE),VLOOKUP(C2235,'SINAPI_INSUMOS 062020'!A:C,3,FALSE))</f>
        <v xml:space="preserve">KG    </v>
      </c>
      <c r="F2235" s="74">
        <v>0.64800000000000002</v>
      </c>
      <c r="G2235" s="128">
        <f>IF(A2235="COMPOSIÇÃO",VLOOKUP(C2235,'SINAPI_COMPOSIÇÕES 062020'!A:D,4,FALSE),VLOOKUP(C2235,'SINAPI_INSUMOS 062020'!A:D,4,FALSE))</f>
        <v>12.38</v>
      </c>
      <c r="H2235" s="75">
        <f t="shared" si="173"/>
        <v>8.02</v>
      </c>
    </row>
    <row r="2236" spans="1:8" ht="38.25" x14ac:dyDescent="0.25">
      <c r="A2236" s="125" t="s">
        <v>400</v>
      </c>
      <c r="B2236" s="115" t="s">
        <v>9</v>
      </c>
      <c r="C2236" s="115">
        <v>35274</v>
      </c>
      <c r="D2236" s="127" t="str">
        <f>IF(A2236="COMPOSIÇÃO",VLOOKUP(C2236,'SINAPI_COMPOSIÇÕES 062020'!A:B,2,FALSE),VLOOKUP(C2236,'SINAPI_INSUMOS 062020'!A:B,2,FALSE))</f>
        <v>PILAR DE MADEIRA NAO APARELHADA *10 X 10* CM, MACARANDUBA, ANGELIM OU EQUIVALENTE DA REGIAO</v>
      </c>
      <c r="E2236" s="126" t="str">
        <f>IF(A2236="COMPOSIÇÃO",VLOOKUP(C2236,'SINAPI_COMPOSIÇÕES 062020'!A:C,3,FALSE),VLOOKUP(C2236,'SINAPI_INSUMOS 062020'!A:C,3,FALSE))</f>
        <v xml:space="preserve">M     </v>
      </c>
      <c r="F2236" s="74">
        <v>0.18</v>
      </c>
      <c r="G2236" s="128">
        <f>IF(A2236="COMPOSIÇÃO",VLOOKUP(C2236,'SINAPI_COMPOSIÇÕES 062020'!A:D,4,FALSE),VLOOKUP(C2236,'SINAPI_INSUMOS 062020'!A:D,4,FALSE))</f>
        <v>21.36</v>
      </c>
      <c r="H2236" s="75">
        <f t="shared" si="173"/>
        <v>3.84</v>
      </c>
    </row>
    <row r="2237" spans="1:8" ht="13.5" thickBot="1" x14ac:dyDescent="0.3">
      <c r="A2237" s="267" t="str">
        <f>CONCATENATE("TOTAL DO ÍTEM - ",A2223)</f>
        <v>TOTAL DO ÍTEM - MPMT-02579</v>
      </c>
      <c r="B2237" s="268"/>
      <c r="C2237" s="268"/>
      <c r="D2237" s="268"/>
      <c r="E2237" s="268"/>
      <c r="F2237" s="268"/>
      <c r="G2237" s="269"/>
      <c r="H2237" s="188">
        <f>TRUNC(SUM(H2227:H2236),2)</f>
        <v>522.4</v>
      </c>
    </row>
    <row r="2238" spans="1:8" ht="13.5" thickBot="1" x14ac:dyDescent="0.3">
      <c r="A2238" s="302" t="s">
        <v>12647</v>
      </c>
      <c r="B2238" s="303"/>
      <c r="C2238" s="303"/>
      <c r="D2238" s="303"/>
      <c r="E2238" s="303"/>
      <c r="F2238" s="303"/>
      <c r="G2238" s="303"/>
      <c r="H2238" s="304"/>
    </row>
    <row r="2239" spans="1:8" ht="13.5" thickBot="1" x14ac:dyDescent="0.3"/>
    <row r="2240" spans="1:8" ht="25.5" x14ac:dyDescent="0.25">
      <c r="A2240" s="120" t="s">
        <v>90</v>
      </c>
      <c r="B2240" s="286" t="s">
        <v>91</v>
      </c>
      <c r="C2240" s="287"/>
      <c r="D2240" s="287"/>
      <c r="E2240" s="287"/>
      <c r="F2240" s="287"/>
      <c r="G2240" s="288"/>
      <c r="H2240" s="121" t="s">
        <v>4</v>
      </c>
    </row>
    <row r="2241" spans="1:8" ht="13.5" thickBot="1" x14ac:dyDescent="0.3">
      <c r="A2241" s="113" t="s">
        <v>12665</v>
      </c>
      <c r="B2241" s="289" t="s">
        <v>12666</v>
      </c>
      <c r="C2241" s="290"/>
      <c r="D2241" s="290"/>
      <c r="E2241" s="290"/>
      <c r="F2241" s="290"/>
      <c r="G2241" s="291"/>
      <c r="H2241" s="114" t="s">
        <v>4</v>
      </c>
    </row>
    <row r="2242" spans="1:8" x14ac:dyDescent="0.25">
      <c r="A2242" s="273" t="s">
        <v>13834</v>
      </c>
      <c r="B2242" s="275" t="s">
        <v>92</v>
      </c>
      <c r="C2242" s="276"/>
      <c r="D2242" s="185" t="s">
        <v>12663</v>
      </c>
      <c r="E2242" s="239" t="s">
        <v>93</v>
      </c>
      <c r="F2242" s="186">
        <v>0</v>
      </c>
      <c r="G2242" s="277" t="s">
        <v>94</v>
      </c>
      <c r="H2242" s="278"/>
    </row>
    <row r="2243" spans="1:8" x14ac:dyDescent="0.25">
      <c r="A2243" s="274"/>
      <c r="B2243" s="281" t="s">
        <v>95</v>
      </c>
      <c r="C2243" s="282"/>
      <c r="D2243" s="187">
        <v>44033</v>
      </c>
      <c r="E2243" s="240" t="s">
        <v>96</v>
      </c>
      <c r="F2243" s="187">
        <v>44033</v>
      </c>
      <c r="G2243" s="279"/>
      <c r="H2243" s="280"/>
    </row>
    <row r="2244" spans="1:8" x14ac:dyDescent="0.25">
      <c r="A2244" s="122" t="s">
        <v>11885</v>
      </c>
      <c r="B2244" s="123" t="s">
        <v>97</v>
      </c>
      <c r="C2244" s="123" t="s">
        <v>98</v>
      </c>
      <c r="D2244" s="123" t="s">
        <v>3</v>
      </c>
      <c r="E2244" s="123" t="s">
        <v>4</v>
      </c>
      <c r="F2244" s="123" t="s">
        <v>99</v>
      </c>
      <c r="G2244" s="123" t="s">
        <v>100</v>
      </c>
      <c r="H2244" s="124" t="s">
        <v>101</v>
      </c>
    </row>
    <row r="2245" spans="1:8" ht="25.5" x14ac:dyDescent="0.25">
      <c r="A2245" s="125" t="s">
        <v>398</v>
      </c>
      <c r="B2245" s="115" t="s">
        <v>9</v>
      </c>
      <c r="C2245" s="115">
        <v>88325</v>
      </c>
      <c r="D2245" s="127" t="str">
        <f>IF(A2245="COMPOSIÇÃO",VLOOKUP(C2245,'SINAPI_COMPOSIÇÕES 062020'!A:B,2,FALSE),VLOOKUP(C2245,'SINAPI_INSUMOS 062020'!A:B,2,FALSE))</f>
        <v>VIDRACEIRO COM ENCARGOS COMPLEMENTARES</v>
      </c>
      <c r="E2245" s="126" t="str">
        <f>IF(A2245="COMPOSIÇÃO",VLOOKUP(C2245,'SINAPI_COMPOSIÇÕES 062020'!A:C,3,FALSE),VLOOKUP(C2245,'SINAPI_INSUMOS 062020'!A:C,3,FALSE))</f>
        <v>H</v>
      </c>
      <c r="F2245" s="74">
        <f>0.3*2</f>
        <v>0.6</v>
      </c>
      <c r="G2245" s="128">
        <f>IF(A2245="COMPOSIÇÃO",VLOOKUP(C2245,'SINAPI_COMPOSIÇÕES 062020'!A:D,4,FALSE),VLOOKUP(C2245,'SINAPI_INSUMOS 062020'!A:D,4,FALSE))</f>
        <v>17.14</v>
      </c>
      <c r="H2245" s="75">
        <f t="shared" ref="H2245:H2246" si="174">TRUNC(G2245*F2245,2)</f>
        <v>10.28</v>
      </c>
    </row>
    <row r="2246" spans="1:8" ht="25.5" x14ac:dyDescent="0.25">
      <c r="A2246" s="125" t="s">
        <v>400</v>
      </c>
      <c r="B2246" s="115" t="s">
        <v>9</v>
      </c>
      <c r="C2246" s="115">
        <v>11499</v>
      </c>
      <c r="D2246" s="127" t="str">
        <f>IF(A2246="COMPOSIÇÃO",VLOOKUP(C2246,'SINAPI_COMPOSIÇÕES 062020'!A:B,2,FALSE),VLOOKUP(C2246,'SINAPI_INSUMOS 062020'!A:B,2,FALSE))</f>
        <v>MOLA HIDRAULICA DE PISO P/ VIDRO TEMPERADO 10MM</v>
      </c>
      <c r="E2246" s="126" t="str">
        <f>IF(A2246="COMPOSIÇÃO",VLOOKUP(C2246,'SINAPI_COMPOSIÇÕES 062020'!A:C,3,FALSE),VLOOKUP(C2246,'SINAPI_INSUMOS 062020'!A:C,3,FALSE))</f>
        <v xml:space="preserve">UN    </v>
      </c>
      <c r="F2246" s="74">
        <v>2</v>
      </c>
      <c r="G2246" s="128">
        <f>IF(A2246="COMPOSIÇÃO",VLOOKUP(C2246,'SINAPI_COMPOSIÇÕES 062020'!A:D,4,FALSE),VLOOKUP(C2246,'SINAPI_INSUMOS 062020'!A:D,4,FALSE))</f>
        <v>1109.8499999999999</v>
      </c>
      <c r="H2246" s="75">
        <f t="shared" si="174"/>
        <v>2219.6999999999998</v>
      </c>
    </row>
    <row r="2247" spans="1:8" ht="13.5" thickBot="1" x14ac:dyDescent="0.3">
      <c r="A2247" s="267" t="str">
        <f>CONCATENATE("TOTAL DO ÍTEM - ",A2241)</f>
        <v>TOTAL DO ÍTEM - MPMT-02580</v>
      </c>
      <c r="B2247" s="268"/>
      <c r="C2247" s="268"/>
      <c r="D2247" s="268"/>
      <c r="E2247" s="268"/>
      <c r="F2247" s="268"/>
      <c r="G2247" s="269"/>
      <c r="H2247" s="188">
        <f>TRUNC(SUM(H2245:H2246),2)</f>
        <v>2229.98</v>
      </c>
    </row>
    <row r="2248" spans="1:8" ht="13.5" thickBot="1" x14ac:dyDescent="0.3">
      <c r="A2248" s="270" t="s">
        <v>12664</v>
      </c>
      <c r="B2248" s="271"/>
      <c r="C2248" s="271"/>
      <c r="D2248" s="271"/>
      <c r="E2248" s="271"/>
      <c r="F2248" s="271"/>
      <c r="G2248" s="271"/>
      <c r="H2248" s="272"/>
    </row>
    <row r="2249" spans="1:8" ht="13.5" thickBot="1" x14ac:dyDescent="0.3"/>
    <row r="2250" spans="1:8" ht="25.5" x14ac:dyDescent="0.25">
      <c r="A2250" s="120" t="s">
        <v>90</v>
      </c>
      <c r="B2250" s="286" t="s">
        <v>91</v>
      </c>
      <c r="C2250" s="287"/>
      <c r="D2250" s="287"/>
      <c r="E2250" s="287"/>
      <c r="F2250" s="287"/>
      <c r="G2250" s="288"/>
      <c r="H2250" s="121" t="s">
        <v>4</v>
      </c>
    </row>
    <row r="2251" spans="1:8" ht="13.5" thickBot="1" x14ac:dyDescent="0.3">
      <c r="A2251" s="113" t="s">
        <v>12667</v>
      </c>
      <c r="B2251" s="289" t="s">
        <v>12668</v>
      </c>
      <c r="C2251" s="290"/>
      <c r="D2251" s="290"/>
      <c r="E2251" s="290"/>
      <c r="F2251" s="290"/>
      <c r="G2251" s="291"/>
      <c r="H2251" s="114" t="s">
        <v>4</v>
      </c>
    </row>
    <row r="2252" spans="1:8" x14ac:dyDescent="0.25">
      <c r="A2252" s="273" t="s">
        <v>13834</v>
      </c>
      <c r="B2252" s="275" t="s">
        <v>92</v>
      </c>
      <c r="C2252" s="276"/>
      <c r="D2252" s="185" t="s">
        <v>12669</v>
      </c>
      <c r="E2252" s="239" t="s">
        <v>93</v>
      </c>
      <c r="F2252" s="186">
        <v>0</v>
      </c>
      <c r="G2252" s="277" t="s">
        <v>94</v>
      </c>
      <c r="H2252" s="278"/>
    </row>
    <row r="2253" spans="1:8" x14ac:dyDescent="0.25">
      <c r="A2253" s="274"/>
      <c r="B2253" s="281" t="s">
        <v>95</v>
      </c>
      <c r="C2253" s="282"/>
      <c r="D2253" s="187">
        <v>42984</v>
      </c>
      <c r="E2253" s="240" t="s">
        <v>96</v>
      </c>
      <c r="F2253" s="187">
        <v>42984</v>
      </c>
      <c r="G2253" s="279"/>
      <c r="H2253" s="280"/>
    </row>
    <row r="2254" spans="1:8" x14ac:dyDescent="0.25">
      <c r="A2254" s="122" t="s">
        <v>11885</v>
      </c>
      <c r="B2254" s="123" t="s">
        <v>97</v>
      </c>
      <c r="C2254" s="123" t="s">
        <v>98</v>
      </c>
      <c r="D2254" s="123" t="s">
        <v>3</v>
      </c>
      <c r="E2254" s="123" t="s">
        <v>4</v>
      </c>
      <c r="F2254" s="123" t="s">
        <v>99</v>
      </c>
      <c r="G2254" s="123" t="s">
        <v>100</v>
      </c>
      <c r="H2254" s="124" t="s">
        <v>101</v>
      </c>
    </row>
    <row r="2255" spans="1:8" ht="25.5" x14ac:dyDescent="0.25">
      <c r="A2255" s="125" t="s">
        <v>398</v>
      </c>
      <c r="B2255" s="115" t="s">
        <v>9</v>
      </c>
      <c r="C2255" s="115">
        <v>88309</v>
      </c>
      <c r="D2255" s="127" t="str">
        <f>IF(A2255="COMPOSIÇÃO",VLOOKUP(C2255,'SINAPI_COMPOSIÇÕES 062020'!A:B,2,FALSE),VLOOKUP(C2255,'SINAPI_INSUMOS 062020'!A:B,2,FALSE))</f>
        <v>PEDREIRO COM ENCARGOS COMPLEMENTARES</v>
      </c>
      <c r="E2255" s="126" t="str">
        <f>IF(A2255="COMPOSIÇÃO",VLOOKUP(C2255,'SINAPI_COMPOSIÇÕES 062020'!A:C,3,FALSE),VLOOKUP(C2255,'SINAPI_INSUMOS 062020'!A:C,3,FALSE))</f>
        <v>H</v>
      </c>
      <c r="F2255" s="74">
        <v>0.96</v>
      </c>
      <c r="G2255" s="128">
        <f>IF(A2255="COMPOSIÇÃO",VLOOKUP(C2255,'SINAPI_COMPOSIÇÕES 062020'!A:D,4,FALSE),VLOOKUP(C2255,'SINAPI_INSUMOS 062020'!A:D,4,FALSE))</f>
        <v>17.760000000000002</v>
      </c>
      <c r="H2255" s="75">
        <f t="shared" ref="H2255:H2258" si="175">TRUNC(G2255*F2255,2)</f>
        <v>17.04</v>
      </c>
    </row>
    <row r="2256" spans="1:8" ht="25.5" x14ac:dyDescent="0.25">
      <c r="A2256" s="125" t="s">
        <v>398</v>
      </c>
      <c r="B2256" s="115" t="s">
        <v>9</v>
      </c>
      <c r="C2256" s="115">
        <v>88316</v>
      </c>
      <c r="D2256" s="127" t="str">
        <f>IF(A2256="COMPOSIÇÃO",VLOOKUP(C2256,'SINAPI_COMPOSIÇÕES 062020'!A:B,2,FALSE),VLOOKUP(C2256,'SINAPI_INSUMOS 062020'!A:B,2,FALSE))</f>
        <v>SERVENTE COM ENCARGOS COMPLEMENTARES</v>
      </c>
      <c r="E2256" s="126" t="str">
        <f>IF(A2256="COMPOSIÇÃO",VLOOKUP(C2256,'SINAPI_COMPOSIÇÕES 062020'!A:C,3,FALSE),VLOOKUP(C2256,'SINAPI_INSUMOS 062020'!A:C,3,FALSE))</f>
        <v>H</v>
      </c>
      <c r="F2256" s="74">
        <v>0.42</v>
      </c>
      <c r="G2256" s="128">
        <f>IF(A2256="COMPOSIÇÃO",VLOOKUP(C2256,'SINAPI_COMPOSIÇÕES 062020'!A:D,4,FALSE),VLOOKUP(C2256,'SINAPI_INSUMOS 062020'!A:D,4,FALSE))</f>
        <v>14.37</v>
      </c>
      <c r="H2256" s="75">
        <f t="shared" si="175"/>
        <v>6.03</v>
      </c>
    </row>
    <row r="2257" spans="1:8" ht="25.5" x14ac:dyDescent="0.25">
      <c r="A2257" s="125" t="s">
        <v>400</v>
      </c>
      <c r="B2257" s="115" t="s">
        <v>9</v>
      </c>
      <c r="C2257" s="115">
        <v>370</v>
      </c>
      <c r="D2257" s="127" t="str">
        <f>IF(A2257="COMPOSIÇÃO",VLOOKUP(C2257,'SINAPI_COMPOSIÇÕES 062020'!A:B,2,FALSE),VLOOKUP(C2257,'SINAPI_INSUMOS 062020'!A:B,2,FALSE))</f>
        <v>AREIA MEDIA - POSTO JAZIDA/FORNECEDOR (RETIRADO NA JAZIDA, SEM TRANSPORTE)</v>
      </c>
      <c r="E2257" s="126" t="str">
        <f>IF(A2257="COMPOSIÇÃO",VLOOKUP(C2257,'SINAPI_COMPOSIÇÕES 062020'!A:C,3,FALSE),VLOOKUP(C2257,'SINAPI_INSUMOS 062020'!A:C,3,FALSE))</f>
        <v xml:space="preserve">M3    </v>
      </c>
      <c r="F2257" s="74">
        <v>5.0000000000000001E-3</v>
      </c>
      <c r="G2257" s="128">
        <f>IF(A2257="COMPOSIÇÃO",VLOOKUP(C2257,'SINAPI_COMPOSIÇÕES 062020'!A:D,4,FALSE),VLOOKUP(C2257,'SINAPI_INSUMOS 062020'!A:D,4,FALSE))</f>
        <v>62.5</v>
      </c>
      <c r="H2257" s="75">
        <f t="shared" si="175"/>
        <v>0.31</v>
      </c>
    </row>
    <row r="2258" spans="1:8" x14ac:dyDescent="0.25">
      <c r="A2258" s="125" t="s">
        <v>400</v>
      </c>
      <c r="B2258" s="115" t="s">
        <v>9</v>
      </c>
      <c r="C2258" s="115">
        <v>1379</v>
      </c>
      <c r="D2258" s="127" t="str">
        <f>IF(A2258="COMPOSIÇÃO",VLOOKUP(C2258,'SINAPI_COMPOSIÇÕES 062020'!A:B,2,FALSE),VLOOKUP(C2258,'SINAPI_INSUMOS 062020'!A:B,2,FALSE))</f>
        <v>CIMENTO PORTLAND COMPOSTO CP II-32</v>
      </c>
      <c r="E2258" s="126" t="str">
        <f>IF(A2258="COMPOSIÇÃO",VLOOKUP(C2258,'SINAPI_COMPOSIÇÕES 062020'!A:C,3,FALSE),VLOOKUP(C2258,'SINAPI_INSUMOS 062020'!A:C,3,FALSE))</f>
        <v xml:space="preserve">KG    </v>
      </c>
      <c r="F2258" s="74">
        <v>2.1</v>
      </c>
      <c r="G2258" s="128">
        <f>IF(A2258="COMPOSIÇÃO",VLOOKUP(C2258,'SINAPI_COMPOSIÇÕES 062020'!A:D,4,FALSE),VLOOKUP(C2258,'SINAPI_INSUMOS 062020'!A:D,4,FALSE))</f>
        <v>0.49</v>
      </c>
      <c r="H2258" s="75">
        <f t="shared" si="175"/>
        <v>1.02</v>
      </c>
    </row>
    <row r="2259" spans="1:8" ht="25.5" x14ac:dyDescent="0.25">
      <c r="A2259" s="125" t="s">
        <v>11958</v>
      </c>
      <c r="B2259" s="115" t="s">
        <v>11959</v>
      </c>
      <c r="C2259" s="115" t="s">
        <v>11960</v>
      </c>
      <c r="D2259" s="194" t="str">
        <f>B2263</f>
        <v>VENEZIANA FIXA, EM AÇO, PARA SAÍDA DE AR, COM TELA METALICA, 0,40 X 1,50 M</v>
      </c>
      <c r="E2259" s="115" t="str">
        <f>H2263</f>
        <v>UND</v>
      </c>
      <c r="F2259" s="74">
        <v>1</v>
      </c>
      <c r="G2259" s="195">
        <f>H2268</f>
        <v>501</v>
      </c>
      <c r="H2259" s="75">
        <f>TRUNC(G2259*F2259,2)</f>
        <v>501</v>
      </c>
    </row>
    <row r="2260" spans="1:8" ht="13.5" thickBot="1" x14ac:dyDescent="0.3">
      <c r="A2260" s="267" t="str">
        <f>CONCATENATE("TOTAL DO ÍTEM - ",A2251)</f>
        <v>TOTAL DO ÍTEM - MPMT-02581</v>
      </c>
      <c r="B2260" s="268"/>
      <c r="C2260" s="268"/>
      <c r="D2260" s="268"/>
      <c r="E2260" s="268"/>
      <c r="F2260" s="268"/>
      <c r="G2260" s="269"/>
      <c r="H2260" s="188">
        <f>TRUNC(SUM(H2255:H2259),2)</f>
        <v>525.4</v>
      </c>
    </row>
    <row r="2261" spans="1:8" ht="13.5" thickBot="1" x14ac:dyDescent="0.3">
      <c r="A2261" s="302" t="s">
        <v>12670</v>
      </c>
      <c r="B2261" s="303"/>
      <c r="C2261" s="303"/>
      <c r="D2261" s="303"/>
      <c r="E2261" s="303"/>
      <c r="F2261" s="303"/>
      <c r="G2261" s="303"/>
      <c r="H2261" s="304"/>
    </row>
    <row r="2262" spans="1:8" x14ac:dyDescent="0.25">
      <c r="A2262" s="196"/>
      <c r="B2262" s="292" t="s">
        <v>11962</v>
      </c>
      <c r="C2262" s="292"/>
      <c r="D2262" s="292"/>
      <c r="E2262" s="292"/>
      <c r="F2262" s="292"/>
      <c r="G2262" s="292"/>
      <c r="H2262" s="197" t="s">
        <v>11963</v>
      </c>
    </row>
    <row r="2263" spans="1:8" ht="13.5" thickBot="1" x14ac:dyDescent="0.3">
      <c r="A2263" s="234" t="s">
        <v>11960</v>
      </c>
      <c r="B2263" s="293" t="s">
        <v>12671</v>
      </c>
      <c r="C2263" s="293"/>
      <c r="D2263" s="293"/>
      <c r="E2263" s="293"/>
      <c r="F2263" s="293"/>
      <c r="G2263" s="293"/>
      <c r="H2263" s="235" t="s">
        <v>4</v>
      </c>
    </row>
    <row r="2264" spans="1:8" ht="25.5" x14ac:dyDescent="0.25">
      <c r="A2264" s="213" t="s">
        <v>11965</v>
      </c>
      <c r="B2264" s="241" t="s">
        <v>11966</v>
      </c>
      <c r="C2264" s="241" t="s">
        <v>11967</v>
      </c>
      <c r="D2264" s="241" t="s">
        <v>11968</v>
      </c>
      <c r="E2264" s="305" t="s">
        <v>11969</v>
      </c>
      <c r="F2264" s="305"/>
      <c r="G2264" s="241" t="s">
        <v>4</v>
      </c>
      <c r="H2264" s="214" t="s">
        <v>11970</v>
      </c>
    </row>
    <row r="2265" spans="1:8" x14ac:dyDescent="0.25">
      <c r="A2265" s="205">
        <v>44025</v>
      </c>
      <c r="B2265" s="206"/>
      <c r="C2265" s="206" t="s">
        <v>12672</v>
      </c>
      <c r="D2265" s="206" t="s">
        <v>12673</v>
      </c>
      <c r="E2265" s="306"/>
      <c r="F2265" s="306"/>
      <c r="G2265" s="115" t="s">
        <v>4</v>
      </c>
      <c r="H2265" s="218">
        <v>434</v>
      </c>
    </row>
    <row r="2266" spans="1:8" x14ac:dyDescent="0.25">
      <c r="A2266" s="205">
        <v>44015</v>
      </c>
      <c r="B2266" s="206"/>
      <c r="C2266" s="206" t="s">
        <v>12674</v>
      </c>
      <c r="D2266" s="206" t="s">
        <v>12675</v>
      </c>
      <c r="E2266" s="295"/>
      <c r="F2266" s="295"/>
      <c r="G2266" s="115" t="s">
        <v>4</v>
      </c>
      <c r="H2266" s="208">
        <v>568</v>
      </c>
    </row>
    <row r="2267" spans="1:8" x14ac:dyDescent="0.25">
      <c r="A2267" s="205"/>
      <c r="B2267" s="206"/>
      <c r="C2267" s="206"/>
      <c r="D2267" s="206"/>
      <c r="E2267" s="307"/>
      <c r="F2267" s="307"/>
      <c r="G2267" s="115" t="s">
        <v>4</v>
      </c>
      <c r="H2267" s="208"/>
    </row>
    <row r="2268" spans="1:8" ht="13.5" thickBot="1" x14ac:dyDescent="0.3">
      <c r="A2268" s="296" t="s">
        <v>11981</v>
      </c>
      <c r="B2268" s="297"/>
      <c r="C2268" s="297"/>
      <c r="D2268" s="297"/>
      <c r="E2268" s="297"/>
      <c r="F2268" s="297"/>
      <c r="G2268" s="298"/>
      <c r="H2268" s="188">
        <f>TRUNC(MEDIAN(H2265:H2267),2)</f>
        <v>501</v>
      </c>
    </row>
    <row r="2269" spans="1:8" ht="13.5" thickBot="1" x14ac:dyDescent="0.3"/>
    <row r="2270" spans="1:8" ht="25.5" x14ac:dyDescent="0.25">
      <c r="A2270" s="120" t="s">
        <v>90</v>
      </c>
      <c r="B2270" s="286" t="s">
        <v>91</v>
      </c>
      <c r="C2270" s="287"/>
      <c r="D2270" s="287"/>
      <c r="E2270" s="287"/>
      <c r="F2270" s="287"/>
      <c r="G2270" s="288"/>
      <c r="H2270" s="121" t="s">
        <v>4</v>
      </c>
    </row>
    <row r="2271" spans="1:8" ht="13.5" thickBot="1" x14ac:dyDescent="0.3">
      <c r="A2271" s="113" t="s">
        <v>12676</v>
      </c>
      <c r="B2271" s="289" t="s">
        <v>12677</v>
      </c>
      <c r="C2271" s="290"/>
      <c r="D2271" s="290"/>
      <c r="E2271" s="290"/>
      <c r="F2271" s="290"/>
      <c r="G2271" s="291"/>
      <c r="H2271" s="114" t="s">
        <v>8</v>
      </c>
    </row>
    <row r="2272" spans="1:8" x14ac:dyDescent="0.25">
      <c r="A2272" s="273" t="s">
        <v>13834</v>
      </c>
      <c r="B2272" s="275" t="s">
        <v>92</v>
      </c>
      <c r="C2272" s="276"/>
      <c r="D2272" s="185" t="s">
        <v>12678</v>
      </c>
      <c r="E2272" s="239" t="s">
        <v>93</v>
      </c>
      <c r="F2272" s="186">
        <v>0</v>
      </c>
      <c r="G2272" s="277" t="s">
        <v>94</v>
      </c>
      <c r="H2272" s="278"/>
    </row>
    <row r="2273" spans="1:8" x14ac:dyDescent="0.25">
      <c r="A2273" s="274"/>
      <c r="B2273" s="281" t="s">
        <v>95</v>
      </c>
      <c r="C2273" s="282"/>
      <c r="D2273" s="187">
        <v>44033</v>
      </c>
      <c r="E2273" s="240" t="s">
        <v>96</v>
      </c>
      <c r="F2273" s="187">
        <v>44033</v>
      </c>
      <c r="G2273" s="279"/>
      <c r="H2273" s="280"/>
    </row>
    <row r="2274" spans="1:8" x14ac:dyDescent="0.25">
      <c r="A2274" s="122" t="s">
        <v>11885</v>
      </c>
      <c r="B2274" s="123" t="s">
        <v>97</v>
      </c>
      <c r="C2274" s="123" t="s">
        <v>98</v>
      </c>
      <c r="D2274" s="123" t="s">
        <v>3</v>
      </c>
      <c r="E2274" s="123" t="s">
        <v>4</v>
      </c>
      <c r="F2274" s="123" t="s">
        <v>99</v>
      </c>
      <c r="G2274" s="123" t="s">
        <v>100</v>
      </c>
      <c r="H2274" s="124" t="s">
        <v>101</v>
      </c>
    </row>
    <row r="2275" spans="1:8" ht="25.5" x14ac:dyDescent="0.25">
      <c r="A2275" s="125" t="s">
        <v>398</v>
      </c>
      <c r="B2275" s="115" t="s">
        <v>9</v>
      </c>
      <c r="C2275" s="115">
        <v>88309</v>
      </c>
      <c r="D2275" s="127" t="str">
        <f>IF(A2275="COMPOSIÇÃO",VLOOKUP(C2275,'SINAPI_COMPOSIÇÕES 062020'!A:B,2,FALSE),VLOOKUP(C2275,'SINAPI_INSUMOS 062020'!A:B,2,FALSE))</f>
        <v>PEDREIRO COM ENCARGOS COMPLEMENTARES</v>
      </c>
      <c r="E2275" s="126" t="str">
        <f>IF(A2275="COMPOSIÇÃO",VLOOKUP(C2275,'SINAPI_COMPOSIÇÕES 062020'!A:C,3,FALSE),VLOOKUP(C2275,'SINAPI_INSUMOS 062020'!A:C,3,FALSE))</f>
        <v>H</v>
      </c>
      <c r="F2275" s="74">
        <v>0.96</v>
      </c>
      <c r="G2275" s="128">
        <f>IF(A2275="COMPOSIÇÃO",VLOOKUP(C2275,'SINAPI_COMPOSIÇÕES 062020'!A:D,4,FALSE),VLOOKUP(C2275,'SINAPI_INSUMOS 062020'!A:D,4,FALSE))</f>
        <v>17.760000000000002</v>
      </c>
      <c r="H2275" s="75">
        <f t="shared" ref="H2275:H2278" si="176">TRUNC(G2275*F2275,2)</f>
        <v>17.04</v>
      </c>
    </row>
    <row r="2276" spans="1:8" ht="25.5" x14ac:dyDescent="0.25">
      <c r="A2276" s="125" t="s">
        <v>398</v>
      </c>
      <c r="B2276" s="115" t="s">
        <v>9</v>
      </c>
      <c r="C2276" s="115">
        <v>88316</v>
      </c>
      <c r="D2276" s="127" t="str">
        <f>IF(A2276="COMPOSIÇÃO",VLOOKUP(C2276,'SINAPI_COMPOSIÇÕES 062020'!A:B,2,FALSE),VLOOKUP(C2276,'SINAPI_INSUMOS 062020'!A:B,2,FALSE))</f>
        <v>SERVENTE COM ENCARGOS COMPLEMENTARES</v>
      </c>
      <c r="E2276" s="126" t="str">
        <f>IF(A2276="COMPOSIÇÃO",VLOOKUP(C2276,'SINAPI_COMPOSIÇÕES 062020'!A:C,3,FALSE),VLOOKUP(C2276,'SINAPI_INSUMOS 062020'!A:C,3,FALSE))</f>
        <v>H</v>
      </c>
      <c r="F2276" s="74">
        <v>0.42</v>
      </c>
      <c r="G2276" s="128">
        <f>IF(A2276="COMPOSIÇÃO",VLOOKUP(C2276,'SINAPI_COMPOSIÇÕES 062020'!A:D,4,FALSE),VLOOKUP(C2276,'SINAPI_INSUMOS 062020'!A:D,4,FALSE))</f>
        <v>14.37</v>
      </c>
      <c r="H2276" s="75">
        <f t="shared" si="176"/>
        <v>6.03</v>
      </c>
    </row>
    <row r="2277" spans="1:8" ht="51" x14ac:dyDescent="0.25">
      <c r="A2277" s="125" t="s">
        <v>400</v>
      </c>
      <c r="B2277" s="115" t="s">
        <v>9</v>
      </c>
      <c r="C2277" s="115">
        <v>4377</v>
      </c>
      <c r="D2277" s="127" t="str">
        <f>IF(A2277="COMPOSIÇÃO",VLOOKUP(C2277,'SINAPI_COMPOSIÇÕES 062020'!A:B,2,FALSE),VLOOKUP(C2277,'SINAPI_INSUMOS 062020'!A:B,2,FALSE))</f>
        <v>PARAFUSO DE ACO ZINCADO COM ROSCA SOBERBA, CABECA CHATA E FENDA SIMPLES, DIAMETRO 4,2 MM, COMPRIMENTO * 32 * MM</v>
      </c>
      <c r="E2277" s="126" t="str">
        <f>IF(A2277="COMPOSIÇÃO",VLOOKUP(C2277,'SINAPI_COMPOSIÇÕES 062020'!A:C,3,FALSE),VLOOKUP(C2277,'SINAPI_INSUMOS 062020'!A:C,3,FALSE))</f>
        <v xml:space="preserve">UN    </v>
      </c>
      <c r="F2277" s="74">
        <v>9.1999999999999993</v>
      </c>
      <c r="G2277" s="128">
        <f>IF(A2277="COMPOSIÇÃO",VLOOKUP(C2277,'SINAPI_COMPOSIÇÕES 062020'!A:D,4,FALSE),VLOOKUP(C2277,'SINAPI_INSUMOS 062020'!A:D,4,FALSE))</f>
        <v>0.13</v>
      </c>
      <c r="H2277" s="75">
        <f t="shared" si="176"/>
        <v>1.19</v>
      </c>
    </row>
    <row r="2278" spans="1:8" ht="25.5" x14ac:dyDescent="0.25">
      <c r="A2278" s="125" t="s">
        <v>400</v>
      </c>
      <c r="B2278" s="115" t="s">
        <v>9</v>
      </c>
      <c r="C2278" s="115">
        <v>39961</v>
      </c>
      <c r="D2278" s="127" t="str">
        <f>IF(A2278="COMPOSIÇÃO",VLOOKUP(C2278,'SINAPI_COMPOSIÇÕES 062020'!A:B,2,FALSE),VLOOKUP(C2278,'SINAPI_INSUMOS 062020'!A:B,2,FALSE))</f>
        <v>SILICONE ACETICO USO GERAL INCOLOR 280 G</v>
      </c>
      <c r="E2278" s="126" t="str">
        <f>IF(A2278="COMPOSIÇÃO",VLOOKUP(C2278,'SINAPI_COMPOSIÇÕES 062020'!A:C,3,FALSE),VLOOKUP(C2278,'SINAPI_INSUMOS 062020'!A:C,3,FALSE))</f>
        <v xml:space="preserve">UN    </v>
      </c>
      <c r="F2278" s="74">
        <v>0.62329999999999997</v>
      </c>
      <c r="G2278" s="128">
        <f>IF(A2278="COMPOSIÇÃO",VLOOKUP(C2278,'SINAPI_COMPOSIÇÕES 062020'!A:D,4,FALSE),VLOOKUP(C2278,'SINAPI_INSUMOS 062020'!A:D,4,FALSE))</f>
        <v>15.97</v>
      </c>
      <c r="H2278" s="75">
        <f t="shared" si="176"/>
        <v>9.9499999999999993</v>
      </c>
    </row>
    <row r="2279" spans="1:8" ht="13.5" thickBot="1" x14ac:dyDescent="0.3">
      <c r="A2279" s="267" t="str">
        <f>CONCATENATE("TOTAL DO ÍTEM - ",A2271)</f>
        <v>TOTAL DO ÍTEM - MPMT-02582</v>
      </c>
      <c r="B2279" s="268"/>
      <c r="C2279" s="268"/>
      <c r="D2279" s="268"/>
      <c r="E2279" s="268"/>
      <c r="F2279" s="268"/>
      <c r="G2279" s="269"/>
      <c r="H2279" s="188">
        <f>TRUNC(SUM(H2275:H2278),2)</f>
        <v>34.21</v>
      </c>
    </row>
    <row r="2280" spans="1:8" ht="13.5" thickBot="1" x14ac:dyDescent="0.3">
      <c r="A2280" s="302" t="s">
        <v>12679</v>
      </c>
      <c r="B2280" s="303"/>
      <c r="C2280" s="303"/>
      <c r="D2280" s="303"/>
      <c r="E2280" s="303"/>
      <c r="F2280" s="303"/>
      <c r="G2280" s="303"/>
      <c r="H2280" s="304"/>
    </row>
    <row r="2281" spans="1:8" ht="13.5" thickBot="1" x14ac:dyDescent="0.3"/>
    <row r="2282" spans="1:8" ht="25.5" x14ac:dyDescent="0.25">
      <c r="A2282" s="120" t="s">
        <v>90</v>
      </c>
      <c r="B2282" s="286" t="s">
        <v>91</v>
      </c>
      <c r="C2282" s="287"/>
      <c r="D2282" s="287"/>
      <c r="E2282" s="287"/>
      <c r="F2282" s="287"/>
      <c r="G2282" s="288"/>
      <c r="H2282" s="121" t="s">
        <v>4</v>
      </c>
    </row>
    <row r="2283" spans="1:8" ht="13.5" thickBot="1" x14ac:dyDescent="0.3">
      <c r="A2283" s="113" t="s">
        <v>12680</v>
      </c>
      <c r="B2283" s="289" t="s">
        <v>12681</v>
      </c>
      <c r="C2283" s="290"/>
      <c r="D2283" s="290"/>
      <c r="E2283" s="290"/>
      <c r="F2283" s="290"/>
      <c r="G2283" s="291"/>
      <c r="H2283" s="114" t="s">
        <v>16</v>
      </c>
    </row>
    <row r="2284" spans="1:8" x14ac:dyDescent="0.25">
      <c r="A2284" s="273" t="s">
        <v>13834</v>
      </c>
      <c r="B2284" s="275" t="s">
        <v>92</v>
      </c>
      <c r="C2284" s="276"/>
      <c r="D2284" s="185" t="s">
        <v>12093</v>
      </c>
      <c r="E2284" s="239" t="s">
        <v>93</v>
      </c>
      <c r="F2284" s="186">
        <v>0</v>
      </c>
      <c r="G2284" s="277" t="s">
        <v>94</v>
      </c>
      <c r="H2284" s="278"/>
    </row>
    <row r="2285" spans="1:8" x14ac:dyDescent="0.25">
      <c r="A2285" s="274"/>
      <c r="B2285" s="281" t="s">
        <v>95</v>
      </c>
      <c r="C2285" s="282"/>
      <c r="D2285" s="187">
        <v>43244</v>
      </c>
      <c r="E2285" s="240" t="s">
        <v>96</v>
      </c>
      <c r="F2285" s="187">
        <v>43244</v>
      </c>
      <c r="G2285" s="279"/>
      <c r="H2285" s="280"/>
    </row>
    <row r="2286" spans="1:8" x14ac:dyDescent="0.25">
      <c r="A2286" s="122" t="s">
        <v>11885</v>
      </c>
      <c r="B2286" s="123" t="s">
        <v>97</v>
      </c>
      <c r="C2286" s="123" t="s">
        <v>98</v>
      </c>
      <c r="D2286" s="123" t="s">
        <v>3</v>
      </c>
      <c r="E2286" s="123" t="s">
        <v>4</v>
      </c>
      <c r="F2286" s="123" t="s">
        <v>99</v>
      </c>
      <c r="G2286" s="123" t="s">
        <v>100</v>
      </c>
      <c r="H2286" s="124" t="s">
        <v>101</v>
      </c>
    </row>
    <row r="2287" spans="1:8" ht="25.5" x14ac:dyDescent="0.25">
      <c r="A2287" s="125" t="s">
        <v>398</v>
      </c>
      <c r="B2287" s="115" t="s">
        <v>9</v>
      </c>
      <c r="C2287" s="115">
        <v>88309</v>
      </c>
      <c r="D2287" s="127" t="str">
        <f>IF(A2287="COMPOSIÇÃO",VLOOKUP(C2287,'SINAPI_COMPOSIÇÕES 062020'!A:B,2,FALSE),VLOOKUP(C2287,'SINAPI_INSUMOS 062020'!A:B,2,FALSE))</f>
        <v>PEDREIRO COM ENCARGOS COMPLEMENTARES</v>
      </c>
      <c r="E2287" s="126" t="str">
        <f>IF(A2287="COMPOSIÇÃO",VLOOKUP(C2287,'SINAPI_COMPOSIÇÕES 062020'!A:C,3,FALSE),VLOOKUP(C2287,'SINAPI_INSUMOS 062020'!A:C,3,FALSE))</f>
        <v>H</v>
      </c>
      <c r="F2287" s="74">
        <v>0.4</v>
      </c>
      <c r="G2287" s="128">
        <f>IF(A2287="COMPOSIÇÃO",VLOOKUP(C2287,'SINAPI_COMPOSIÇÕES 062020'!A:D,4,FALSE),VLOOKUP(C2287,'SINAPI_INSUMOS 062020'!A:D,4,FALSE))</f>
        <v>17.760000000000002</v>
      </c>
      <c r="H2287" s="75">
        <f t="shared" ref="H2287:H2289" si="177">TRUNC(G2287*F2287,2)</f>
        <v>7.1</v>
      </c>
    </row>
    <row r="2288" spans="1:8" ht="25.5" x14ac:dyDescent="0.25">
      <c r="A2288" s="125" t="s">
        <v>398</v>
      </c>
      <c r="B2288" s="115" t="s">
        <v>9</v>
      </c>
      <c r="C2288" s="115">
        <v>88316</v>
      </c>
      <c r="D2288" s="127" t="str">
        <f>IF(A2288="COMPOSIÇÃO",VLOOKUP(C2288,'SINAPI_COMPOSIÇÕES 062020'!A:B,2,FALSE),VLOOKUP(C2288,'SINAPI_INSUMOS 062020'!A:B,2,FALSE))</f>
        <v>SERVENTE COM ENCARGOS COMPLEMENTARES</v>
      </c>
      <c r="E2288" s="126" t="str">
        <f>IF(A2288="COMPOSIÇÃO",VLOOKUP(C2288,'SINAPI_COMPOSIÇÕES 062020'!A:C,3,FALSE),VLOOKUP(C2288,'SINAPI_INSUMOS 062020'!A:C,3,FALSE))</f>
        <v>H</v>
      </c>
      <c r="F2288" s="74">
        <v>0.2</v>
      </c>
      <c r="G2288" s="128">
        <f>IF(A2288="COMPOSIÇÃO",VLOOKUP(C2288,'SINAPI_COMPOSIÇÕES 062020'!A:D,4,FALSE),VLOOKUP(C2288,'SINAPI_INSUMOS 062020'!A:D,4,FALSE))</f>
        <v>14.37</v>
      </c>
      <c r="H2288" s="75">
        <f t="shared" si="177"/>
        <v>2.87</v>
      </c>
    </row>
    <row r="2289" spans="1:8" ht="38.25" x14ac:dyDescent="0.25">
      <c r="A2289" s="125" t="s">
        <v>398</v>
      </c>
      <c r="B2289" s="115" t="s">
        <v>9</v>
      </c>
      <c r="C2289" s="115">
        <v>88631</v>
      </c>
      <c r="D2289" s="127" t="str">
        <f>IF(A2289="COMPOSIÇÃO",VLOOKUP(C2289,'SINAPI_COMPOSIÇÕES 062020'!A:B,2,FALSE),VLOOKUP(C2289,'SINAPI_INSUMOS 062020'!A:B,2,FALSE))</f>
        <v>ARGAMASSA TRAÇO 1:4 (EM VOLUME DE CIMENTO E AREIA MÉDIA ÚMIDA), PREPARO MANUAL. AF_08/2019</v>
      </c>
      <c r="E2289" s="126" t="str">
        <f>IF(A2289="COMPOSIÇÃO",VLOOKUP(C2289,'SINAPI_COMPOSIÇÕES 062020'!A:C,3,FALSE),VLOOKUP(C2289,'SINAPI_INSUMOS 062020'!A:C,3,FALSE))</f>
        <v>M3</v>
      </c>
      <c r="F2289" s="74">
        <v>3.0000000000000001E-3</v>
      </c>
      <c r="G2289" s="128">
        <f>IF(A2289="COMPOSIÇÃO",VLOOKUP(C2289,'SINAPI_COMPOSIÇÕES 062020'!A:D,4,FALSE),VLOOKUP(C2289,'SINAPI_INSUMOS 062020'!A:D,4,FALSE))</f>
        <v>381.86</v>
      </c>
      <c r="H2289" s="75">
        <f t="shared" si="177"/>
        <v>1.1399999999999999</v>
      </c>
    </row>
    <row r="2290" spans="1:8" ht="13.5" thickBot="1" x14ac:dyDescent="0.3">
      <c r="A2290" s="267" t="str">
        <f>CONCATENATE("TOTAL DO ÍTEM - ",A2283)</f>
        <v>TOTAL DO ÍTEM - MPMT-02583</v>
      </c>
      <c r="B2290" s="268"/>
      <c r="C2290" s="268"/>
      <c r="D2290" s="268"/>
      <c r="E2290" s="268"/>
      <c r="F2290" s="268"/>
      <c r="G2290" s="269"/>
      <c r="H2290" s="188">
        <f>TRUNC(SUM(H2287:H2289),2)</f>
        <v>11.11</v>
      </c>
    </row>
    <row r="2291" spans="1:8" ht="13.5" thickBot="1" x14ac:dyDescent="0.3">
      <c r="A2291" s="270" t="s">
        <v>12094</v>
      </c>
      <c r="B2291" s="271"/>
      <c r="C2291" s="271"/>
      <c r="D2291" s="271"/>
      <c r="E2291" s="271"/>
      <c r="F2291" s="271"/>
      <c r="G2291" s="271"/>
      <c r="H2291" s="272"/>
    </row>
    <row r="2292" spans="1:8" ht="13.5" thickBot="1" x14ac:dyDescent="0.3"/>
    <row r="2293" spans="1:8" ht="25.5" x14ac:dyDescent="0.25">
      <c r="A2293" s="120" t="s">
        <v>90</v>
      </c>
      <c r="B2293" s="286" t="s">
        <v>91</v>
      </c>
      <c r="C2293" s="287"/>
      <c r="D2293" s="287"/>
      <c r="E2293" s="287"/>
      <c r="F2293" s="287"/>
      <c r="G2293" s="288"/>
      <c r="H2293" s="121" t="s">
        <v>4</v>
      </c>
    </row>
    <row r="2294" spans="1:8" ht="13.5" thickBot="1" x14ac:dyDescent="0.3">
      <c r="A2294" s="113" t="s">
        <v>12682</v>
      </c>
      <c r="B2294" s="289" t="s">
        <v>12683</v>
      </c>
      <c r="C2294" s="290"/>
      <c r="D2294" s="290"/>
      <c r="E2294" s="290"/>
      <c r="F2294" s="290"/>
      <c r="G2294" s="291"/>
      <c r="H2294" s="114" t="s">
        <v>16</v>
      </c>
    </row>
    <row r="2295" spans="1:8" x14ac:dyDescent="0.25">
      <c r="A2295" s="273" t="s">
        <v>13834</v>
      </c>
      <c r="B2295" s="275" t="s">
        <v>92</v>
      </c>
      <c r="C2295" s="276"/>
      <c r="D2295" s="185" t="s">
        <v>12684</v>
      </c>
      <c r="E2295" s="239" t="s">
        <v>93</v>
      </c>
      <c r="F2295" s="193" t="s">
        <v>12009</v>
      </c>
      <c r="G2295" s="277" t="s">
        <v>94</v>
      </c>
      <c r="H2295" s="278"/>
    </row>
    <row r="2296" spans="1:8" x14ac:dyDescent="0.25">
      <c r="A2296" s="274"/>
      <c r="B2296" s="281" t="s">
        <v>95</v>
      </c>
      <c r="C2296" s="282"/>
      <c r="D2296" s="187">
        <v>44033</v>
      </c>
      <c r="E2296" s="240" t="s">
        <v>96</v>
      </c>
      <c r="F2296" s="187">
        <v>44033</v>
      </c>
      <c r="G2296" s="279"/>
      <c r="H2296" s="280"/>
    </row>
    <row r="2297" spans="1:8" x14ac:dyDescent="0.25">
      <c r="A2297" s="122" t="s">
        <v>11885</v>
      </c>
      <c r="B2297" s="123" t="s">
        <v>97</v>
      </c>
      <c r="C2297" s="123" t="s">
        <v>98</v>
      </c>
      <c r="D2297" s="123" t="s">
        <v>3</v>
      </c>
      <c r="E2297" s="123" t="s">
        <v>4</v>
      </c>
      <c r="F2297" s="123" t="s">
        <v>99</v>
      </c>
      <c r="G2297" s="123" t="s">
        <v>100</v>
      </c>
      <c r="H2297" s="124" t="s">
        <v>101</v>
      </c>
    </row>
    <row r="2298" spans="1:8" ht="25.5" x14ac:dyDescent="0.25">
      <c r="A2298" s="125" t="s">
        <v>398</v>
      </c>
      <c r="B2298" s="115" t="s">
        <v>9</v>
      </c>
      <c r="C2298" s="115">
        <v>88274</v>
      </c>
      <c r="D2298" s="127" t="str">
        <f>IF(A2298="COMPOSIÇÃO",VLOOKUP(C2298,'SINAPI_COMPOSIÇÕES 062020'!A:B,2,FALSE),VLOOKUP(C2298,'SINAPI_INSUMOS 062020'!A:B,2,FALSE))</f>
        <v>MARMORISTA/GRANITEIRO COM ENCARGOS COMPLEMENTARES</v>
      </c>
      <c r="E2298" s="126" t="str">
        <f>IF(A2298="COMPOSIÇÃO",VLOOKUP(C2298,'SINAPI_COMPOSIÇÕES 062020'!A:C,3,FALSE),VLOOKUP(C2298,'SINAPI_INSUMOS 062020'!A:C,3,FALSE))</f>
        <v>H</v>
      </c>
      <c r="F2298" s="74">
        <v>0.4</v>
      </c>
      <c r="G2298" s="128">
        <f>IF(A2298="COMPOSIÇÃO",VLOOKUP(C2298,'SINAPI_COMPOSIÇÕES 062020'!A:D,4,FALSE),VLOOKUP(C2298,'SINAPI_INSUMOS 062020'!A:D,4,FALSE))</f>
        <v>17.98</v>
      </c>
      <c r="H2298" s="75">
        <f t="shared" ref="H2298:H2301" si="178">TRUNC(G2298*F2298,2)</f>
        <v>7.19</v>
      </c>
    </row>
    <row r="2299" spans="1:8" ht="25.5" x14ac:dyDescent="0.25">
      <c r="A2299" s="125" t="s">
        <v>398</v>
      </c>
      <c r="B2299" s="115" t="s">
        <v>9</v>
      </c>
      <c r="C2299" s="115">
        <v>88316</v>
      </c>
      <c r="D2299" s="127" t="str">
        <f>IF(A2299="COMPOSIÇÃO",VLOOKUP(C2299,'SINAPI_COMPOSIÇÕES 062020'!A:B,2,FALSE),VLOOKUP(C2299,'SINAPI_INSUMOS 062020'!A:B,2,FALSE))</f>
        <v>SERVENTE COM ENCARGOS COMPLEMENTARES</v>
      </c>
      <c r="E2299" s="126" t="str">
        <f>IF(A2299="COMPOSIÇÃO",VLOOKUP(C2299,'SINAPI_COMPOSIÇÕES 062020'!A:C,3,FALSE),VLOOKUP(C2299,'SINAPI_INSUMOS 062020'!A:C,3,FALSE))</f>
        <v>H</v>
      </c>
      <c r="F2299" s="74">
        <v>0.4</v>
      </c>
      <c r="G2299" s="128">
        <f>IF(A2299="COMPOSIÇÃO",VLOOKUP(C2299,'SINAPI_COMPOSIÇÕES 062020'!A:D,4,FALSE),VLOOKUP(C2299,'SINAPI_INSUMOS 062020'!A:D,4,FALSE))</f>
        <v>14.37</v>
      </c>
      <c r="H2299" s="75">
        <f t="shared" si="178"/>
        <v>5.74</v>
      </c>
    </row>
    <row r="2300" spans="1:8" ht="38.25" x14ac:dyDescent="0.25">
      <c r="A2300" s="125" t="s">
        <v>398</v>
      </c>
      <c r="B2300" s="115" t="s">
        <v>9</v>
      </c>
      <c r="C2300" s="115">
        <v>88631</v>
      </c>
      <c r="D2300" s="127" t="str">
        <f>IF(A2300="COMPOSIÇÃO",VLOOKUP(C2300,'SINAPI_COMPOSIÇÕES 062020'!A:B,2,FALSE),VLOOKUP(C2300,'SINAPI_INSUMOS 062020'!A:B,2,FALSE))</f>
        <v>ARGAMASSA TRAÇO 1:4 (EM VOLUME DE CIMENTO E AREIA MÉDIA ÚMIDA), PREPARO MANUAL. AF_08/2019</v>
      </c>
      <c r="E2300" s="126" t="str">
        <f>IF(A2300="COMPOSIÇÃO",VLOOKUP(C2300,'SINAPI_COMPOSIÇÕES 062020'!A:C,3,FALSE),VLOOKUP(C2300,'SINAPI_INSUMOS 062020'!A:C,3,FALSE))</f>
        <v>M3</v>
      </c>
      <c r="F2300" s="74">
        <v>3.0000000000000001E-3</v>
      </c>
      <c r="G2300" s="128">
        <f>IF(A2300="COMPOSIÇÃO",VLOOKUP(C2300,'SINAPI_COMPOSIÇÕES 062020'!A:D,4,FALSE),VLOOKUP(C2300,'SINAPI_INSUMOS 062020'!A:D,4,FALSE))</f>
        <v>381.86</v>
      </c>
      <c r="H2300" s="75">
        <f t="shared" si="178"/>
        <v>1.1399999999999999</v>
      </c>
    </row>
    <row r="2301" spans="1:8" ht="51" x14ac:dyDescent="0.25">
      <c r="A2301" s="125" t="s">
        <v>400</v>
      </c>
      <c r="B2301" s="115" t="s">
        <v>9</v>
      </c>
      <c r="C2301" s="115">
        <v>11795</v>
      </c>
      <c r="D2301" s="127" t="str">
        <f>IF(A2301="COMPOSIÇÃO",VLOOKUP(C2301,'SINAPI_COMPOSIÇÕES 062020'!A:B,2,FALSE),VLOOKUP(C2301,'SINAPI_INSUMOS 062020'!A:B,2,FALSE))</f>
        <v>GRANITO PARA BANCADA, POLIDO, TIPO ANDORINHA/ QUARTZ/ CASTELO/ CORUMBA OU OUTROS EQUIVALENTES DA REGIAO, E=  *2,5* CM</v>
      </c>
      <c r="E2301" s="126" t="str">
        <f>IF(A2301="COMPOSIÇÃO",VLOOKUP(C2301,'SINAPI_COMPOSIÇÕES 062020'!A:C,3,FALSE),VLOOKUP(C2301,'SINAPI_INSUMOS 062020'!A:C,3,FALSE))</f>
        <v xml:space="preserve">M2    </v>
      </c>
      <c r="F2301" s="74">
        <f>1*0.18</f>
        <v>0.18</v>
      </c>
      <c r="G2301" s="128">
        <f>IF(A2301="COMPOSIÇÃO",VLOOKUP(C2301,'SINAPI_COMPOSIÇÕES 062020'!A:D,4,FALSE),VLOOKUP(C2301,'SINAPI_INSUMOS 062020'!A:D,4,FALSE))</f>
        <v>543.39</v>
      </c>
      <c r="H2301" s="75">
        <f t="shared" si="178"/>
        <v>97.81</v>
      </c>
    </row>
    <row r="2302" spans="1:8" ht="13.5" thickBot="1" x14ac:dyDescent="0.3">
      <c r="A2302" s="267" t="str">
        <f>CONCATENATE("TOTAL DO ÍTEM - ",A2294)</f>
        <v>TOTAL DO ÍTEM - MPMT-02584</v>
      </c>
      <c r="B2302" s="268"/>
      <c r="C2302" s="268"/>
      <c r="D2302" s="268"/>
      <c r="E2302" s="268"/>
      <c r="F2302" s="268"/>
      <c r="G2302" s="269"/>
      <c r="H2302" s="188">
        <f>TRUNC(SUM(H2298:H2301),2)</f>
        <v>111.88</v>
      </c>
    </row>
    <row r="2303" spans="1:8" ht="13.5" thickBot="1" x14ac:dyDescent="0.3">
      <c r="A2303" s="270" t="s">
        <v>12685</v>
      </c>
      <c r="B2303" s="271"/>
      <c r="C2303" s="271"/>
      <c r="D2303" s="271"/>
      <c r="E2303" s="271"/>
      <c r="F2303" s="271"/>
      <c r="G2303" s="271"/>
      <c r="H2303" s="272"/>
    </row>
    <row r="2304" spans="1:8" ht="13.5" thickBot="1" x14ac:dyDescent="0.3"/>
    <row r="2305" spans="1:8" ht="25.5" x14ac:dyDescent="0.25">
      <c r="A2305" s="120" t="s">
        <v>90</v>
      </c>
      <c r="B2305" s="286" t="s">
        <v>91</v>
      </c>
      <c r="C2305" s="287"/>
      <c r="D2305" s="287"/>
      <c r="E2305" s="287"/>
      <c r="F2305" s="287"/>
      <c r="G2305" s="288"/>
      <c r="H2305" s="121" t="s">
        <v>4</v>
      </c>
    </row>
    <row r="2306" spans="1:8" ht="13.5" thickBot="1" x14ac:dyDescent="0.3">
      <c r="A2306" s="113" t="s">
        <v>12687</v>
      </c>
      <c r="B2306" s="289" t="s">
        <v>12688</v>
      </c>
      <c r="C2306" s="290"/>
      <c r="D2306" s="290"/>
      <c r="E2306" s="290"/>
      <c r="F2306" s="290"/>
      <c r="G2306" s="291"/>
      <c r="H2306" s="114" t="s">
        <v>8</v>
      </c>
    </row>
    <row r="2307" spans="1:8" x14ac:dyDescent="0.25">
      <c r="A2307" s="273" t="s">
        <v>13834</v>
      </c>
      <c r="B2307" s="275" t="s">
        <v>92</v>
      </c>
      <c r="C2307" s="276"/>
      <c r="D2307" s="185" t="s">
        <v>11958</v>
      </c>
      <c r="E2307" s="239" t="s">
        <v>93</v>
      </c>
      <c r="F2307" s="186">
        <v>0</v>
      </c>
      <c r="G2307" s="277" t="s">
        <v>94</v>
      </c>
      <c r="H2307" s="278"/>
    </row>
    <row r="2308" spans="1:8" x14ac:dyDescent="0.25">
      <c r="A2308" s="274"/>
      <c r="B2308" s="281" t="s">
        <v>95</v>
      </c>
      <c r="C2308" s="282"/>
      <c r="D2308" s="187">
        <v>42991</v>
      </c>
      <c r="E2308" s="240" t="s">
        <v>96</v>
      </c>
      <c r="F2308" s="187">
        <v>42991</v>
      </c>
      <c r="G2308" s="279"/>
      <c r="H2308" s="280"/>
    </row>
    <row r="2309" spans="1:8" x14ac:dyDescent="0.25">
      <c r="A2309" s="122" t="s">
        <v>11885</v>
      </c>
      <c r="B2309" s="123" t="s">
        <v>97</v>
      </c>
      <c r="C2309" s="123" t="s">
        <v>98</v>
      </c>
      <c r="D2309" s="123" t="s">
        <v>3</v>
      </c>
      <c r="E2309" s="123" t="s">
        <v>4</v>
      </c>
      <c r="F2309" s="123" t="s">
        <v>99</v>
      </c>
      <c r="G2309" s="123" t="s">
        <v>100</v>
      </c>
      <c r="H2309" s="124" t="s">
        <v>101</v>
      </c>
    </row>
    <row r="2310" spans="1:8" ht="38.25" x14ac:dyDescent="0.25">
      <c r="A2310" s="125" t="s">
        <v>11958</v>
      </c>
      <c r="B2310" s="115" t="s">
        <v>11959</v>
      </c>
      <c r="C2310" s="115" t="s">
        <v>11960</v>
      </c>
      <c r="D2310" s="194" t="str">
        <f>B2314</f>
        <v>REVESTIMENTO DE FACHADA EM ALUMINIO COMPOSTO (ACM), CONFORME ESPECIFICAÇÕES DE PROJETO EXECUTIVO</v>
      </c>
      <c r="E2310" s="115" t="str">
        <f>H2314</f>
        <v>M2</v>
      </c>
      <c r="F2310" s="74">
        <v>1</v>
      </c>
      <c r="G2310" s="195">
        <f>H2319</f>
        <v>500</v>
      </c>
      <c r="H2310" s="75">
        <f>TRUNC(G2310*F2310,2)</f>
        <v>500</v>
      </c>
    </row>
    <row r="2311" spans="1:8" ht="13.5" thickBot="1" x14ac:dyDescent="0.3">
      <c r="A2311" s="267" t="str">
        <f>CONCATENATE("TOTAL DO ÍTEM - ",A2306)</f>
        <v>TOTAL DO ÍTEM - MPMT-02233</v>
      </c>
      <c r="B2311" s="268"/>
      <c r="C2311" s="268"/>
      <c r="D2311" s="268"/>
      <c r="E2311" s="268"/>
      <c r="F2311" s="268"/>
      <c r="G2311" s="269"/>
      <c r="H2311" s="188">
        <f>TRUNC(SUM(H2310:H2310),2)</f>
        <v>500</v>
      </c>
    </row>
    <row r="2312" spans="1:8" ht="13.5" thickBot="1" x14ac:dyDescent="0.3">
      <c r="A2312" s="302" t="s">
        <v>12494</v>
      </c>
      <c r="B2312" s="303"/>
      <c r="C2312" s="303"/>
      <c r="D2312" s="303"/>
      <c r="E2312" s="303"/>
      <c r="F2312" s="303"/>
      <c r="G2312" s="303"/>
      <c r="H2312" s="304"/>
    </row>
    <row r="2313" spans="1:8" x14ac:dyDescent="0.25">
      <c r="A2313" s="196"/>
      <c r="B2313" s="292" t="s">
        <v>11962</v>
      </c>
      <c r="C2313" s="292"/>
      <c r="D2313" s="292"/>
      <c r="E2313" s="292"/>
      <c r="F2313" s="292"/>
      <c r="G2313" s="292"/>
      <c r="H2313" s="197" t="s">
        <v>11963</v>
      </c>
    </row>
    <row r="2314" spans="1:8" ht="13.5" thickBot="1" x14ac:dyDescent="0.3">
      <c r="A2314" s="234" t="s">
        <v>11960</v>
      </c>
      <c r="B2314" s="293" t="s">
        <v>12689</v>
      </c>
      <c r="C2314" s="293"/>
      <c r="D2314" s="293"/>
      <c r="E2314" s="293"/>
      <c r="F2314" s="293"/>
      <c r="G2314" s="293"/>
      <c r="H2314" s="235" t="s">
        <v>8</v>
      </c>
    </row>
    <row r="2315" spans="1:8" ht="25.5" x14ac:dyDescent="0.25">
      <c r="A2315" s="213" t="s">
        <v>11965</v>
      </c>
      <c r="B2315" s="241" t="s">
        <v>11966</v>
      </c>
      <c r="C2315" s="241" t="s">
        <v>11967</v>
      </c>
      <c r="D2315" s="241" t="s">
        <v>11968</v>
      </c>
      <c r="E2315" s="305" t="s">
        <v>11969</v>
      </c>
      <c r="F2315" s="305"/>
      <c r="G2315" s="241" t="s">
        <v>4</v>
      </c>
      <c r="H2315" s="214" t="s">
        <v>11970</v>
      </c>
    </row>
    <row r="2316" spans="1:8" x14ac:dyDescent="0.25">
      <c r="A2316" s="205">
        <v>44026</v>
      </c>
      <c r="B2316" s="206"/>
      <c r="C2316" s="206"/>
      <c r="D2316" s="206" t="s">
        <v>12690</v>
      </c>
      <c r="E2316" s="306"/>
      <c r="F2316" s="306"/>
      <c r="G2316" s="115" t="s">
        <v>8</v>
      </c>
      <c r="H2316" s="208">
        <f>5695/11.39</f>
        <v>500</v>
      </c>
    </row>
    <row r="2317" spans="1:8" x14ac:dyDescent="0.25">
      <c r="A2317" s="205">
        <v>44025</v>
      </c>
      <c r="B2317" s="206"/>
      <c r="C2317" s="206" t="s">
        <v>12672</v>
      </c>
      <c r="D2317" s="206" t="s">
        <v>12673</v>
      </c>
      <c r="E2317" s="295"/>
      <c r="F2317" s="295"/>
      <c r="G2317" s="115" t="s">
        <v>8</v>
      </c>
      <c r="H2317" s="208">
        <f>7674/(2.2*5.2)</f>
        <v>670.80419580419573</v>
      </c>
    </row>
    <row r="2318" spans="1:8" x14ac:dyDescent="0.25">
      <c r="A2318" s="205">
        <v>44023</v>
      </c>
      <c r="B2318" s="206" t="s">
        <v>12437</v>
      </c>
      <c r="C2318" s="206" t="s">
        <v>12691</v>
      </c>
      <c r="D2318" s="206" t="s">
        <v>12692</v>
      </c>
      <c r="E2318" s="295"/>
      <c r="F2318" s="295"/>
      <c r="G2318" s="115" t="s">
        <v>8</v>
      </c>
      <c r="H2318" s="208">
        <v>480</v>
      </c>
    </row>
    <row r="2319" spans="1:8" ht="13.5" thickBot="1" x14ac:dyDescent="0.3">
      <c r="A2319" s="296" t="s">
        <v>11981</v>
      </c>
      <c r="B2319" s="297"/>
      <c r="C2319" s="297"/>
      <c r="D2319" s="297"/>
      <c r="E2319" s="297"/>
      <c r="F2319" s="297"/>
      <c r="G2319" s="298"/>
      <c r="H2319" s="188">
        <f>MEDIAN(H2316:H2318)</f>
        <v>500</v>
      </c>
    </row>
    <row r="2320" spans="1:8" ht="13.5" thickBot="1" x14ac:dyDescent="0.3"/>
    <row r="2321" spans="1:8" ht="25.5" x14ac:dyDescent="0.25">
      <c r="A2321" s="120" t="s">
        <v>90</v>
      </c>
      <c r="B2321" s="286" t="s">
        <v>91</v>
      </c>
      <c r="C2321" s="287"/>
      <c r="D2321" s="287"/>
      <c r="E2321" s="287"/>
      <c r="F2321" s="287"/>
      <c r="G2321" s="288"/>
      <c r="H2321" s="121" t="s">
        <v>4</v>
      </c>
    </row>
    <row r="2322" spans="1:8" ht="13.5" thickBot="1" x14ac:dyDescent="0.3">
      <c r="A2322" s="113" t="s">
        <v>12693</v>
      </c>
      <c r="B2322" s="289" t="s">
        <v>12694</v>
      </c>
      <c r="C2322" s="290"/>
      <c r="D2322" s="290"/>
      <c r="E2322" s="290"/>
      <c r="F2322" s="290"/>
      <c r="G2322" s="291"/>
      <c r="H2322" s="114" t="s">
        <v>4</v>
      </c>
    </row>
    <row r="2323" spans="1:8" x14ac:dyDescent="0.25">
      <c r="A2323" s="273" t="s">
        <v>13834</v>
      </c>
      <c r="B2323" s="275" t="s">
        <v>92</v>
      </c>
      <c r="C2323" s="276"/>
      <c r="D2323" s="185" t="s">
        <v>12695</v>
      </c>
      <c r="E2323" s="239" t="s">
        <v>93</v>
      </c>
      <c r="F2323" s="193" t="s">
        <v>11957</v>
      </c>
      <c r="G2323" s="277" t="s">
        <v>94</v>
      </c>
      <c r="H2323" s="278"/>
    </row>
    <row r="2324" spans="1:8" x14ac:dyDescent="0.25">
      <c r="A2324" s="274"/>
      <c r="B2324" s="281" t="s">
        <v>95</v>
      </c>
      <c r="C2324" s="282"/>
      <c r="D2324" s="187">
        <v>43038</v>
      </c>
      <c r="E2324" s="240" t="s">
        <v>96</v>
      </c>
      <c r="F2324" s="187" t="s">
        <v>12696</v>
      </c>
      <c r="G2324" s="279"/>
      <c r="H2324" s="280"/>
    </row>
    <row r="2325" spans="1:8" x14ac:dyDescent="0.25">
      <c r="A2325" s="122" t="s">
        <v>11885</v>
      </c>
      <c r="B2325" s="123" t="s">
        <v>97</v>
      </c>
      <c r="C2325" s="123" t="s">
        <v>98</v>
      </c>
      <c r="D2325" s="123" t="s">
        <v>3</v>
      </c>
      <c r="E2325" s="123" t="s">
        <v>4</v>
      </c>
      <c r="F2325" s="123" t="s">
        <v>99</v>
      </c>
      <c r="G2325" s="123" t="s">
        <v>100</v>
      </c>
      <c r="H2325" s="124" t="s">
        <v>101</v>
      </c>
    </row>
    <row r="2326" spans="1:8" ht="25.5" x14ac:dyDescent="0.25">
      <c r="A2326" s="125" t="s">
        <v>398</v>
      </c>
      <c r="B2326" s="115" t="s">
        <v>9</v>
      </c>
      <c r="C2326" s="115">
        <v>88274</v>
      </c>
      <c r="D2326" s="127" t="str">
        <f>IF(A2326="COMPOSIÇÃO",VLOOKUP(C2326,'SINAPI_COMPOSIÇÕES 062020'!A:B,2,FALSE),VLOOKUP(C2326,'SINAPI_INSUMOS 062020'!A:B,2,FALSE))</f>
        <v>MARMORISTA/GRANITEIRO COM ENCARGOS COMPLEMENTARES</v>
      </c>
      <c r="E2326" s="126" t="str">
        <f>IF(A2326="COMPOSIÇÃO",VLOOKUP(C2326,'SINAPI_COMPOSIÇÕES 062020'!A:C,3,FALSE),VLOOKUP(C2326,'SINAPI_INSUMOS 062020'!A:C,3,FALSE))</f>
        <v>H</v>
      </c>
      <c r="F2326" s="74">
        <v>0.85</v>
      </c>
      <c r="G2326" s="128">
        <f>IF(A2326="COMPOSIÇÃO",VLOOKUP(C2326,'SINAPI_COMPOSIÇÕES 062020'!A:D,4,FALSE),VLOOKUP(C2326,'SINAPI_INSUMOS 062020'!A:D,4,FALSE))</f>
        <v>17.98</v>
      </c>
      <c r="H2326" s="75">
        <f t="shared" ref="H2326:H2328" si="179">TRUNC(G2326*F2326,2)</f>
        <v>15.28</v>
      </c>
    </row>
    <row r="2327" spans="1:8" ht="25.5" x14ac:dyDescent="0.25">
      <c r="A2327" s="125" t="s">
        <v>398</v>
      </c>
      <c r="B2327" s="115" t="s">
        <v>9</v>
      </c>
      <c r="C2327" s="115">
        <v>88316</v>
      </c>
      <c r="D2327" s="127" t="str">
        <f>IF(A2327="COMPOSIÇÃO",VLOOKUP(C2327,'SINAPI_COMPOSIÇÕES 062020'!A:B,2,FALSE),VLOOKUP(C2327,'SINAPI_INSUMOS 062020'!A:B,2,FALSE))</f>
        <v>SERVENTE COM ENCARGOS COMPLEMENTARES</v>
      </c>
      <c r="E2327" s="126" t="str">
        <f>IF(A2327="COMPOSIÇÃO",VLOOKUP(C2327,'SINAPI_COMPOSIÇÕES 062020'!A:C,3,FALSE),VLOOKUP(C2327,'SINAPI_INSUMOS 062020'!A:C,3,FALSE))</f>
        <v>H</v>
      </c>
      <c r="F2327" s="74">
        <v>0.27</v>
      </c>
      <c r="G2327" s="128">
        <f>IF(A2327="COMPOSIÇÃO",VLOOKUP(C2327,'SINAPI_COMPOSIÇÕES 062020'!A:D,4,FALSE),VLOOKUP(C2327,'SINAPI_INSUMOS 062020'!A:D,4,FALSE))</f>
        <v>14.37</v>
      </c>
      <c r="H2327" s="75">
        <f t="shared" si="179"/>
        <v>3.87</v>
      </c>
    </row>
    <row r="2328" spans="1:8" x14ac:dyDescent="0.25">
      <c r="A2328" s="125" t="s">
        <v>400</v>
      </c>
      <c r="B2328" s="115" t="s">
        <v>9</v>
      </c>
      <c r="C2328" s="115">
        <v>4823</v>
      </c>
      <c r="D2328" s="127" t="str">
        <f>IF(A2328="COMPOSIÇÃO",VLOOKUP(C2328,'SINAPI_COMPOSIÇÕES 062020'!A:B,2,FALSE),VLOOKUP(C2328,'SINAPI_INSUMOS 062020'!A:B,2,FALSE))</f>
        <v>MASSA PLASTICA PARA MARMORE/GRANITO</v>
      </c>
      <c r="E2328" s="126" t="str">
        <f>IF(A2328="COMPOSIÇÃO",VLOOKUP(C2328,'SINAPI_COMPOSIÇÕES 062020'!A:C,3,FALSE),VLOOKUP(C2328,'SINAPI_INSUMOS 062020'!A:C,3,FALSE))</f>
        <v xml:space="preserve">KG    </v>
      </c>
      <c r="F2328" s="74">
        <v>0.52710000000000001</v>
      </c>
      <c r="G2328" s="128">
        <f>IF(A2328="COMPOSIÇÃO",VLOOKUP(C2328,'SINAPI_COMPOSIÇÕES 062020'!A:D,4,FALSE),VLOOKUP(C2328,'SINAPI_INSUMOS 062020'!A:D,4,FALSE))</f>
        <v>37.57</v>
      </c>
      <c r="H2328" s="75">
        <f t="shared" si="179"/>
        <v>19.8</v>
      </c>
    </row>
    <row r="2329" spans="1:8" ht="38.25" x14ac:dyDescent="0.25">
      <c r="A2329" s="125" t="s">
        <v>11958</v>
      </c>
      <c r="B2329" s="115" t="s">
        <v>11959</v>
      </c>
      <c r="C2329" s="115" t="s">
        <v>11960</v>
      </c>
      <c r="D2329" s="194" t="str">
        <f>B2333</f>
        <v>CUBA DE SEMIENCAIXE RETANGULAR COM MESA E VÁLVULA VÁLVULA OCULTA, DECA COD. L.873.17</v>
      </c>
      <c r="E2329" s="115" t="s">
        <v>4</v>
      </c>
      <c r="F2329" s="74">
        <v>1</v>
      </c>
      <c r="G2329" s="195">
        <f>H2338</f>
        <v>1668.49</v>
      </c>
      <c r="H2329" s="75">
        <f>TRUNC(G2329*F2329,2)</f>
        <v>1668.49</v>
      </c>
    </row>
    <row r="2330" spans="1:8" ht="13.5" thickBot="1" x14ac:dyDescent="0.3">
      <c r="A2330" s="267" t="str">
        <f>CONCATENATE("TOTAL DO ÍTEM - ",A2322)</f>
        <v>TOTAL DO ÍTEM - MPMT-04014</v>
      </c>
      <c r="B2330" s="268"/>
      <c r="C2330" s="268"/>
      <c r="D2330" s="268"/>
      <c r="E2330" s="268"/>
      <c r="F2330" s="268"/>
      <c r="G2330" s="269"/>
      <c r="H2330" s="188">
        <f>TRUNC(SUM(H2326:H2329),2)</f>
        <v>1707.44</v>
      </c>
    </row>
    <row r="2331" spans="1:8" ht="13.5" thickBot="1" x14ac:dyDescent="0.3">
      <c r="A2331" s="283" t="s">
        <v>12697</v>
      </c>
      <c r="B2331" s="284"/>
      <c r="C2331" s="284"/>
      <c r="D2331" s="284"/>
      <c r="E2331" s="284"/>
      <c r="F2331" s="284"/>
      <c r="G2331" s="284"/>
      <c r="H2331" s="285"/>
    </row>
    <row r="2332" spans="1:8" x14ac:dyDescent="0.25">
      <c r="A2332" s="196"/>
      <c r="B2332" s="292" t="s">
        <v>11962</v>
      </c>
      <c r="C2332" s="292"/>
      <c r="D2332" s="292"/>
      <c r="E2332" s="292"/>
      <c r="F2332" s="292"/>
      <c r="G2332" s="292"/>
      <c r="H2332" s="197" t="s">
        <v>11963</v>
      </c>
    </row>
    <row r="2333" spans="1:8" ht="13.5" thickBot="1" x14ac:dyDescent="0.3">
      <c r="A2333" s="234" t="s">
        <v>11960</v>
      </c>
      <c r="B2333" s="293" t="s">
        <v>12698</v>
      </c>
      <c r="C2333" s="293"/>
      <c r="D2333" s="293"/>
      <c r="E2333" s="293"/>
      <c r="F2333" s="293"/>
      <c r="G2333" s="293"/>
      <c r="H2333" s="235" t="s">
        <v>4</v>
      </c>
    </row>
    <row r="2334" spans="1:8" ht="25.5" x14ac:dyDescent="0.25">
      <c r="A2334" s="213" t="s">
        <v>11965</v>
      </c>
      <c r="B2334" s="241" t="s">
        <v>11966</v>
      </c>
      <c r="C2334" s="241" t="s">
        <v>11967</v>
      </c>
      <c r="D2334" s="241" t="s">
        <v>11968</v>
      </c>
      <c r="E2334" s="294" t="s">
        <v>11969</v>
      </c>
      <c r="F2334" s="294"/>
      <c r="G2334" s="241" t="s">
        <v>4</v>
      </c>
      <c r="H2334" s="214" t="s">
        <v>11970</v>
      </c>
    </row>
    <row r="2335" spans="1:8" x14ac:dyDescent="0.25">
      <c r="A2335" s="205">
        <v>43656</v>
      </c>
      <c r="B2335" s="206" t="s">
        <v>11971</v>
      </c>
      <c r="C2335" s="206" t="s">
        <v>11987</v>
      </c>
      <c r="D2335" s="219" t="s">
        <v>11988</v>
      </c>
      <c r="E2335" s="295" t="s">
        <v>11989</v>
      </c>
      <c r="F2335" s="295"/>
      <c r="G2335" s="115" t="s">
        <v>4</v>
      </c>
      <c r="H2335" s="218">
        <f>17512.95/10</f>
        <v>1751.2950000000001</v>
      </c>
    </row>
    <row r="2336" spans="1:8" x14ac:dyDescent="0.25">
      <c r="A2336" s="205">
        <v>43656</v>
      </c>
      <c r="B2336" s="206" t="s">
        <v>11971</v>
      </c>
      <c r="C2336" s="206" t="s">
        <v>12130</v>
      </c>
      <c r="D2336" s="207" t="s">
        <v>12131</v>
      </c>
      <c r="E2336" s="295" t="s">
        <v>12132</v>
      </c>
      <c r="F2336" s="295"/>
      <c r="G2336" s="115" t="s">
        <v>4</v>
      </c>
      <c r="H2336" s="208">
        <f>15239.9/10</f>
        <v>1523.99</v>
      </c>
    </row>
    <row r="2337" spans="1:8" x14ac:dyDescent="0.25">
      <c r="A2337" s="205">
        <v>43656</v>
      </c>
      <c r="B2337" s="206" t="s">
        <v>11971</v>
      </c>
      <c r="C2337" s="206" t="s">
        <v>11975</v>
      </c>
      <c r="D2337" s="207" t="s">
        <v>11976</v>
      </c>
      <c r="E2337" s="295"/>
      <c r="F2337" s="295"/>
      <c r="G2337" s="115" t="s">
        <v>4</v>
      </c>
      <c r="H2337" s="208">
        <f>16684.99/10</f>
        <v>1668.4990000000003</v>
      </c>
    </row>
    <row r="2338" spans="1:8" ht="13.5" thickBot="1" x14ac:dyDescent="0.3">
      <c r="A2338" s="296" t="s">
        <v>11981</v>
      </c>
      <c r="B2338" s="297"/>
      <c r="C2338" s="297"/>
      <c r="D2338" s="297"/>
      <c r="E2338" s="297"/>
      <c r="F2338" s="297"/>
      <c r="G2338" s="298"/>
      <c r="H2338" s="188">
        <f>TRUNC(MEDIAN(H2335:H2337),2)</f>
        <v>1668.49</v>
      </c>
    </row>
    <row r="2339" spans="1:8" ht="13.5" thickBot="1" x14ac:dyDescent="0.3"/>
    <row r="2340" spans="1:8" ht="25.5" x14ac:dyDescent="0.25">
      <c r="A2340" s="120" t="s">
        <v>90</v>
      </c>
      <c r="B2340" s="286" t="s">
        <v>91</v>
      </c>
      <c r="C2340" s="287"/>
      <c r="D2340" s="287"/>
      <c r="E2340" s="287"/>
      <c r="F2340" s="287"/>
      <c r="G2340" s="288"/>
      <c r="H2340" s="121" t="s">
        <v>4</v>
      </c>
    </row>
    <row r="2341" spans="1:8" ht="13.5" thickBot="1" x14ac:dyDescent="0.3">
      <c r="A2341" s="113" t="s">
        <v>12699</v>
      </c>
      <c r="B2341" s="289" t="s">
        <v>12700</v>
      </c>
      <c r="C2341" s="290"/>
      <c r="D2341" s="290"/>
      <c r="E2341" s="290"/>
      <c r="F2341" s="290"/>
      <c r="G2341" s="291"/>
      <c r="H2341" s="114" t="s">
        <v>4</v>
      </c>
    </row>
    <row r="2342" spans="1:8" x14ac:dyDescent="0.25">
      <c r="A2342" s="273" t="s">
        <v>13834</v>
      </c>
      <c r="B2342" s="275" t="s">
        <v>92</v>
      </c>
      <c r="C2342" s="276"/>
      <c r="D2342" s="185" t="s">
        <v>12701</v>
      </c>
      <c r="E2342" s="239" t="s">
        <v>93</v>
      </c>
      <c r="F2342" s="186">
        <v>0</v>
      </c>
      <c r="G2342" s="277" t="s">
        <v>94</v>
      </c>
      <c r="H2342" s="278"/>
    </row>
    <row r="2343" spans="1:8" x14ac:dyDescent="0.25">
      <c r="A2343" s="274"/>
      <c r="B2343" s="281" t="s">
        <v>95</v>
      </c>
      <c r="C2343" s="282"/>
      <c r="D2343" s="187">
        <v>43895</v>
      </c>
      <c r="E2343" s="240" t="s">
        <v>96</v>
      </c>
      <c r="F2343" s="187">
        <v>43895</v>
      </c>
      <c r="G2343" s="279"/>
      <c r="H2343" s="280"/>
    </row>
    <row r="2344" spans="1:8" x14ac:dyDescent="0.25">
      <c r="A2344" s="122" t="s">
        <v>11885</v>
      </c>
      <c r="B2344" s="123" t="s">
        <v>97</v>
      </c>
      <c r="C2344" s="123" t="s">
        <v>98</v>
      </c>
      <c r="D2344" s="123" t="s">
        <v>3</v>
      </c>
      <c r="E2344" s="123" t="s">
        <v>4</v>
      </c>
      <c r="F2344" s="123" t="s">
        <v>99</v>
      </c>
      <c r="G2344" s="123" t="s">
        <v>100</v>
      </c>
      <c r="H2344" s="124" t="s">
        <v>101</v>
      </c>
    </row>
    <row r="2345" spans="1:8" ht="25.5" x14ac:dyDescent="0.25">
      <c r="A2345" s="125" t="s">
        <v>398</v>
      </c>
      <c r="B2345" s="115" t="s">
        <v>9</v>
      </c>
      <c r="C2345" s="115">
        <v>88264</v>
      </c>
      <c r="D2345" s="127" t="str">
        <f>IF(A2345="COMPOSIÇÃO",VLOOKUP(C2345,'SINAPI_COMPOSIÇÕES 062020'!A:B,2,FALSE),VLOOKUP(C2345,'SINAPI_INSUMOS 062020'!A:B,2,FALSE))</f>
        <v>ELETRICISTA COM ENCARGOS COMPLEMENTARES</v>
      </c>
      <c r="E2345" s="126" t="str">
        <f>IF(A2345="COMPOSIÇÃO",VLOOKUP(C2345,'SINAPI_COMPOSIÇÕES 062020'!A:C,3,FALSE),VLOOKUP(C2345,'SINAPI_INSUMOS 062020'!A:C,3,FALSE))</f>
        <v>H</v>
      </c>
      <c r="F2345" s="74">
        <v>1</v>
      </c>
      <c r="G2345" s="128">
        <f>IF(A2345="COMPOSIÇÃO",VLOOKUP(C2345,'SINAPI_COMPOSIÇÕES 062020'!A:D,4,FALSE),VLOOKUP(C2345,'SINAPI_INSUMOS 062020'!A:D,4,FALSE))</f>
        <v>18.38</v>
      </c>
      <c r="H2345" s="75">
        <f t="shared" ref="H2345:H2347" si="180">TRUNC(G2345*F2345,2)</f>
        <v>18.38</v>
      </c>
    </row>
    <row r="2346" spans="1:8" ht="25.5" x14ac:dyDescent="0.25">
      <c r="A2346" s="125" t="s">
        <v>398</v>
      </c>
      <c r="B2346" s="115" t="s">
        <v>9</v>
      </c>
      <c r="C2346" s="115">
        <v>88247</v>
      </c>
      <c r="D2346" s="127" t="str">
        <f>IF(A2346="COMPOSIÇÃO",VLOOKUP(C2346,'SINAPI_COMPOSIÇÕES 062020'!A:B,2,FALSE),VLOOKUP(C2346,'SINAPI_INSUMOS 062020'!A:B,2,FALSE))</f>
        <v>AUXILIAR DE ELETRICISTA COM ENCARGOS COMPLEMENTARES</v>
      </c>
      <c r="E2346" s="126" t="str">
        <f>IF(A2346="COMPOSIÇÃO",VLOOKUP(C2346,'SINAPI_COMPOSIÇÕES 062020'!A:C,3,FALSE),VLOOKUP(C2346,'SINAPI_INSUMOS 062020'!A:C,3,FALSE))</f>
        <v>H</v>
      </c>
      <c r="F2346" s="74">
        <v>1</v>
      </c>
      <c r="G2346" s="128">
        <f>IF(A2346="COMPOSIÇÃO",VLOOKUP(C2346,'SINAPI_COMPOSIÇÕES 062020'!A:D,4,FALSE),VLOOKUP(C2346,'SINAPI_INSUMOS 062020'!A:D,4,FALSE))</f>
        <v>14.33</v>
      </c>
      <c r="H2346" s="75">
        <f t="shared" si="180"/>
        <v>14.33</v>
      </c>
    </row>
    <row r="2347" spans="1:8" ht="25.5" x14ac:dyDescent="0.25">
      <c r="A2347" s="125" t="s">
        <v>400</v>
      </c>
      <c r="B2347" s="115" t="s">
        <v>9</v>
      </c>
      <c r="C2347" s="115">
        <v>20111</v>
      </c>
      <c r="D2347" s="127" t="str">
        <f>IF(A2347="COMPOSIÇÃO",VLOOKUP(C2347,'SINAPI_COMPOSIÇÕES 062020'!A:B,2,FALSE),VLOOKUP(C2347,'SINAPI_INSUMOS 062020'!A:B,2,FALSE))</f>
        <v>FITA ISOLANTE ADESIVA ANTICHAMA, USO ATE 750 V, EM ROLO DE 19 MM X 20 M</v>
      </c>
      <c r="E2347" s="126" t="str">
        <f>IF(A2347="COMPOSIÇÃO",VLOOKUP(C2347,'SINAPI_COMPOSIÇÕES 062020'!A:C,3,FALSE),VLOOKUP(C2347,'SINAPI_INSUMOS 062020'!A:C,3,FALSE))</f>
        <v xml:space="preserve">UN    </v>
      </c>
      <c r="F2347" s="74">
        <v>0.1</v>
      </c>
      <c r="G2347" s="128">
        <f>IF(A2347="COMPOSIÇÃO",VLOOKUP(C2347,'SINAPI_COMPOSIÇÕES 062020'!A:D,4,FALSE),VLOOKUP(C2347,'SINAPI_INSUMOS 062020'!A:D,4,FALSE))</f>
        <v>9.9</v>
      </c>
      <c r="H2347" s="75">
        <f t="shared" si="180"/>
        <v>0.99</v>
      </c>
    </row>
    <row r="2348" spans="1:8" ht="25.5" x14ac:dyDescent="0.25">
      <c r="A2348" s="125" t="s">
        <v>11958</v>
      </c>
      <c r="B2348" s="115" t="s">
        <v>11959</v>
      </c>
      <c r="C2348" s="115" t="s">
        <v>11960</v>
      </c>
      <c r="D2348" s="194" t="str">
        <f>B2352</f>
        <v>LUMINÁRIA TIPO PLAFON LED 30W, 30 X 30 CM, SOBREPOR, BRANCO FRIO 6000K</v>
      </c>
      <c r="E2348" s="115" t="str">
        <f>H2352</f>
        <v>UND</v>
      </c>
      <c r="F2348" s="74">
        <v>1</v>
      </c>
      <c r="G2348" s="195">
        <f>H2357</f>
        <v>62.43</v>
      </c>
      <c r="H2348" s="75">
        <f>TRUNC(G2348*F2348,2)</f>
        <v>62.43</v>
      </c>
    </row>
    <row r="2349" spans="1:8" ht="13.5" thickBot="1" x14ac:dyDescent="0.3">
      <c r="A2349" s="267" t="str">
        <f>CONCATENATE("TOTAL DO ÍTEM - ",A2341)</f>
        <v>TOTAL DO ÍTEM - MPMT-03425</v>
      </c>
      <c r="B2349" s="268"/>
      <c r="C2349" s="268"/>
      <c r="D2349" s="268"/>
      <c r="E2349" s="268"/>
      <c r="F2349" s="268"/>
      <c r="G2349" s="269"/>
      <c r="H2349" s="188">
        <f>TRUNC(SUM(H2345:H2348),2)</f>
        <v>96.13</v>
      </c>
    </row>
    <row r="2350" spans="1:8" ht="13.5" thickBot="1" x14ac:dyDescent="0.3">
      <c r="A2350" s="283" t="s">
        <v>12702</v>
      </c>
      <c r="B2350" s="284"/>
      <c r="C2350" s="284"/>
      <c r="D2350" s="284"/>
      <c r="E2350" s="284"/>
      <c r="F2350" s="284"/>
      <c r="G2350" s="284"/>
      <c r="H2350" s="285"/>
    </row>
    <row r="2351" spans="1:8" x14ac:dyDescent="0.25">
      <c r="A2351" s="196"/>
      <c r="B2351" s="292" t="s">
        <v>11962</v>
      </c>
      <c r="C2351" s="292"/>
      <c r="D2351" s="292"/>
      <c r="E2351" s="292"/>
      <c r="F2351" s="292"/>
      <c r="G2351" s="292"/>
      <c r="H2351" s="197" t="s">
        <v>11963</v>
      </c>
    </row>
    <row r="2352" spans="1:8" ht="13.5" thickBot="1" x14ac:dyDescent="0.3">
      <c r="A2352" s="234" t="s">
        <v>11960</v>
      </c>
      <c r="B2352" s="293" t="s">
        <v>12703</v>
      </c>
      <c r="C2352" s="293"/>
      <c r="D2352" s="293"/>
      <c r="E2352" s="293"/>
      <c r="F2352" s="293"/>
      <c r="G2352" s="293"/>
      <c r="H2352" s="235" t="s">
        <v>4</v>
      </c>
    </row>
    <row r="2353" spans="1:8" ht="25.5" x14ac:dyDescent="0.25">
      <c r="A2353" s="213" t="s">
        <v>11965</v>
      </c>
      <c r="B2353" s="241" t="s">
        <v>11966</v>
      </c>
      <c r="C2353" s="241" t="s">
        <v>11967</v>
      </c>
      <c r="D2353" s="241" t="s">
        <v>11968</v>
      </c>
      <c r="E2353" s="294" t="s">
        <v>11969</v>
      </c>
      <c r="F2353" s="294"/>
      <c r="G2353" s="241" t="s">
        <v>4</v>
      </c>
      <c r="H2353" s="214" t="s">
        <v>11970</v>
      </c>
    </row>
    <row r="2354" spans="1:8" x14ac:dyDescent="0.25">
      <c r="A2354" s="205">
        <v>43957</v>
      </c>
      <c r="B2354" s="206" t="s">
        <v>11971</v>
      </c>
      <c r="C2354" s="206" t="s">
        <v>12704</v>
      </c>
      <c r="D2354" s="219" t="s">
        <v>12705</v>
      </c>
      <c r="E2354" s="295" t="s">
        <v>12706</v>
      </c>
      <c r="F2354" s="295"/>
      <c r="G2354" s="115" t="s">
        <v>4</v>
      </c>
      <c r="H2354" s="218">
        <f>6049.9/101</f>
        <v>59.9</v>
      </c>
    </row>
    <row r="2355" spans="1:8" x14ac:dyDescent="0.25">
      <c r="A2355" s="205">
        <v>43957</v>
      </c>
      <c r="B2355" s="206" t="s">
        <v>11971</v>
      </c>
      <c r="C2355" s="206" t="s">
        <v>12105</v>
      </c>
      <c r="D2355" s="219" t="s">
        <v>12707</v>
      </c>
      <c r="E2355" s="295" t="s">
        <v>12107</v>
      </c>
      <c r="F2355" s="295"/>
      <c r="G2355" s="115" t="s">
        <v>4</v>
      </c>
      <c r="H2355" s="218">
        <f>12296.61/100</f>
        <v>122.96610000000001</v>
      </c>
    </row>
    <row r="2356" spans="1:8" x14ac:dyDescent="0.25">
      <c r="A2356" s="205">
        <v>43957</v>
      </c>
      <c r="B2356" s="206" t="s">
        <v>11971</v>
      </c>
      <c r="C2356" s="206" t="s">
        <v>12708</v>
      </c>
      <c r="D2356" s="219" t="s">
        <v>12709</v>
      </c>
      <c r="E2356" s="295" t="s">
        <v>12710</v>
      </c>
      <c r="F2356" s="295"/>
      <c r="G2356" s="115" t="s">
        <v>4</v>
      </c>
      <c r="H2356" s="218">
        <f>6243.62/100</f>
        <v>62.436199999999999</v>
      </c>
    </row>
    <row r="2357" spans="1:8" ht="13.5" thickBot="1" x14ac:dyDescent="0.3">
      <c r="A2357" s="296" t="s">
        <v>11981</v>
      </c>
      <c r="B2357" s="297"/>
      <c r="C2357" s="297"/>
      <c r="D2357" s="297"/>
      <c r="E2357" s="297"/>
      <c r="F2357" s="297"/>
      <c r="G2357" s="298"/>
      <c r="H2357" s="188">
        <f>TRUNC(MEDIAN(H2354:H2356),2)</f>
        <v>62.43</v>
      </c>
    </row>
    <row r="2358" spans="1:8" ht="13.5" thickBot="1" x14ac:dyDescent="0.3">
      <c r="A2358" s="189"/>
      <c r="B2358" s="189"/>
      <c r="C2358" s="189"/>
      <c r="D2358" s="190"/>
      <c r="E2358" s="189"/>
      <c r="F2358" s="191"/>
      <c r="G2358" s="191"/>
      <c r="H2358" s="191"/>
    </row>
    <row r="2359" spans="1:8" ht="25.5" x14ac:dyDescent="0.25">
      <c r="A2359" s="120" t="s">
        <v>90</v>
      </c>
      <c r="B2359" s="286" t="s">
        <v>91</v>
      </c>
      <c r="C2359" s="287"/>
      <c r="D2359" s="287"/>
      <c r="E2359" s="287"/>
      <c r="F2359" s="287"/>
      <c r="G2359" s="288"/>
      <c r="H2359" s="121" t="s">
        <v>4</v>
      </c>
    </row>
    <row r="2360" spans="1:8" ht="13.5" thickBot="1" x14ac:dyDescent="0.3">
      <c r="A2360" s="113" t="s">
        <v>12711</v>
      </c>
      <c r="B2360" s="289" t="s">
        <v>12712</v>
      </c>
      <c r="C2360" s="290"/>
      <c r="D2360" s="290"/>
      <c r="E2360" s="290"/>
      <c r="F2360" s="290"/>
      <c r="G2360" s="291"/>
      <c r="H2360" s="114" t="s">
        <v>4</v>
      </c>
    </row>
    <row r="2361" spans="1:8" x14ac:dyDescent="0.25">
      <c r="A2361" s="273" t="s">
        <v>13834</v>
      </c>
      <c r="B2361" s="275" t="s">
        <v>92</v>
      </c>
      <c r="C2361" s="276"/>
      <c r="D2361" s="185" t="s">
        <v>12701</v>
      </c>
      <c r="E2361" s="239" t="s">
        <v>93</v>
      </c>
      <c r="F2361" s="186">
        <v>0</v>
      </c>
      <c r="G2361" s="277" t="s">
        <v>94</v>
      </c>
      <c r="H2361" s="278"/>
    </row>
    <row r="2362" spans="1:8" x14ac:dyDescent="0.25">
      <c r="A2362" s="274"/>
      <c r="B2362" s="281" t="s">
        <v>95</v>
      </c>
      <c r="C2362" s="282"/>
      <c r="D2362" s="187">
        <v>43895</v>
      </c>
      <c r="E2362" s="240" t="s">
        <v>96</v>
      </c>
      <c r="F2362" s="187">
        <v>43895</v>
      </c>
      <c r="G2362" s="279"/>
      <c r="H2362" s="280"/>
    </row>
    <row r="2363" spans="1:8" x14ac:dyDescent="0.25">
      <c r="A2363" s="122" t="s">
        <v>11885</v>
      </c>
      <c r="B2363" s="123" t="s">
        <v>97</v>
      </c>
      <c r="C2363" s="123" t="s">
        <v>98</v>
      </c>
      <c r="D2363" s="123" t="s">
        <v>3</v>
      </c>
      <c r="E2363" s="123" t="s">
        <v>4</v>
      </c>
      <c r="F2363" s="123" t="s">
        <v>99</v>
      </c>
      <c r="G2363" s="123" t="s">
        <v>100</v>
      </c>
      <c r="H2363" s="124" t="s">
        <v>101</v>
      </c>
    </row>
    <row r="2364" spans="1:8" ht="25.5" x14ac:dyDescent="0.25">
      <c r="A2364" s="125" t="s">
        <v>398</v>
      </c>
      <c r="B2364" s="115" t="s">
        <v>9</v>
      </c>
      <c r="C2364" s="115">
        <v>88264</v>
      </c>
      <c r="D2364" s="127" t="str">
        <f>IF(A2364="COMPOSIÇÃO",VLOOKUP(C2364,'SINAPI_COMPOSIÇÕES 062020'!A:B,2,FALSE),VLOOKUP(C2364,'SINAPI_INSUMOS 062020'!A:B,2,FALSE))</f>
        <v>ELETRICISTA COM ENCARGOS COMPLEMENTARES</v>
      </c>
      <c r="E2364" s="126" t="str">
        <f>IF(A2364="COMPOSIÇÃO",VLOOKUP(C2364,'SINAPI_COMPOSIÇÕES 062020'!A:C,3,FALSE),VLOOKUP(C2364,'SINAPI_INSUMOS 062020'!A:C,3,FALSE))</f>
        <v>H</v>
      </c>
      <c r="F2364" s="74">
        <v>1</v>
      </c>
      <c r="G2364" s="128">
        <f>IF(A2364="COMPOSIÇÃO",VLOOKUP(C2364,'SINAPI_COMPOSIÇÕES 062020'!A:D,4,FALSE),VLOOKUP(C2364,'SINAPI_INSUMOS 062020'!A:D,4,FALSE))</f>
        <v>18.38</v>
      </c>
      <c r="H2364" s="75">
        <f t="shared" ref="H2364:H2366" si="181">TRUNC(G2364*F2364,2)</f>
        <v>18.38</v>
      </c>
    </row>
    <row r="2365" spans="1:8" ht="25.5" x14ac:dyDescent="0.25">
      <c r="A2365" s="125" t="s">
        <v>398</v>
      </c>
      <c r="B2365" s="115" t="s">
        <v>9</v>
      </c>
      <c r="C2365" s="115">
        <v>88247</v>
      </c>
      <c r="D2365" s="127" t="str">
        <f>IF(A2365="COMPOSIÇÃO",VLOOKUP(C2365,'SINAPI_COMPOSIÇÕES 062020'!A:B,2,FALSE),VLOOKUP(C2365,'SINAPI_INSUMOS 062020'!A:B,2,FALSE))</f>
        <v>AUXILIAR DE ELETRICISTA COM ENCARGOS COMPLEMENTARES</v>
      </c>
      <c r="E2365" s="126" t="str">
        <f>IF(A2365="COMPOSIÇÃO",VLOOKUP(C2365,'SINAPI_COMPOSIÇÕES 062020'!A:C,3,FALSE),VLOOKUP(C2365,'SINAPI_INSUMOS 062020'!A:C,3,FALSE))</f>
        <v>H</v>
      </c>
      <c r="F2365" s="74">
        <v>1</v>
      </c>
      <c r="G2365" s="128">
        <f>IF(A2365="COMPOSIÇÃO",VLOOKUP(C2365,'SINAPI_COMPOSIÇÕES 062020'!A:D,4,FALSE),VLOOKUP(C2365,'SINAPI_INSUMOS 062020'!A:D,4,FALSE))</f>
        <v>14.33</v>
      </c>
      <c r="H2365" s="75">
        <f t="shared" si="181"/>
        <v>14.33</v>
      </c>
    </row>
    <row r="2366" spans="1:8" ht="25.5" x14ac:dyDescent="0.25">
      <c r="A2366" s="125" t="s">
        <v>400</v>
      </c>
      <c r="B2366" s="115" t="s">
        <v>9</v>
      </c>
      <c r="C2366" s="115">
        <v>20111</v>
      </c>
      <c r="D2366" s="127" t="str">
        <f>IF(A2366="COMPOSIÇÃO",VLOOKUP(C2366,'SINAPI_COMPOSIÇÕES 062020'!A:B,2,FALSE),VLOOKUP(C2366,'SINAPI_INSUMOS 062020'!A:B,2,FALSE))</f>
        <v>FITA ISOLANTE ADESIVA ANTICHAMA, USO ATE 750 V, EM ROLO DE 19 MM X 20 M</v>
      </c>
      <c r="E2366" s="126" t="str">
        <f>IF(A2366="COMPOSIÇÃO",VLOOKUP(C2366,'SINAPI_COMPOSIÇÕES 062020'!A:C,3,FALSE),VLOOKUP(C2366,'SINAPI_INSUMOS 062020'!A:C,3,FALSE))</f>
        <v xml:space="preserve">UN    </v>
      </c>
      <c r="F2366" s="74">
        <v>0.1</v>
      </c>
      <c r="G2366" s="128">
        <f>IF(A2366="COMPOSIÇÃO",VLOOKUP(C2366,'SINAPI_COMPOSIÇÕES 062020'!A:D,4,FALSE),VLOOKUP(C2366,'SINAPI_INSUMOS 062020'!A:D,4,FALSE))</f>
        <v>9.9</v>
      </c>
      <c r="H2366" s="75">
        <f t="shared" si="181"/>
        <v>0.99</v>
      </c>
    </row>
    <row r="2367" spans="1:8" ht="25.5" x14ac:dyDescent="0.25">
      <c r="A2367" s="125" t="s">
        <v>11958</v>
      </c>
      <c r="B2367" s="115" t="s">
        <v>11959</v>
      </c>
      <c r="C2367" s="115" t="s">
        <v>11960</v>
      </c>
      <c r="D2367" s="194" t="str">
        <f>B2371</f>
        <v>LUMINÁRIA TIPO PLAFON LED 18W, 30 X 30 CM, SOBREPOR, BRANCO FRIO 6000K</v>
      </c>
      <c r="E2367" s="115" t="str">
        <f>H2371</f>
        <v>UND</v>
      </c>
      <c r="F2367" s="74">
        <v>1</v>
      </c>
      <c r="G2367" s="195">
        <f>H2376</f>
        <v>32.65</v>
      </c>
      <c r="H2367" s="75">
        <f>TRUNC(G2367*F2367,2)</f>
        <v>32.65</v>
      </c>
    </row>
    <row r="2368" spans="1:8" ht="13.5" thickBot="1" x14ac:dyDescent="0.3">
      <c r="A2368" s="267" t="str">
        <f>CONCATENATE("TOTAL DO ÍTEM - ",A2360)</f>
        <v>TOTAL DO ÍTEM - MPMT-03426</v>
      </c>
      <c r="B2368" s="268"/>
      <c r="C2368" s="268"/>
      <c r="D2368" s="268"/>
      <c r="E2368" s="268"/>
      <c r="F2368" s="268"/>
      <c r="G2368" s="269"/>
      <c r="H2368" s="188">
        <f>TRUNC(SUM(H2364:H2367),2)</f>
        <v>66.349999999999994</v>
      </c>
    </row>
    <row r="2369" spans="1:8" ht="13.5" thickBot="1" x14ac:dyDescent="0.3">
      <c r="A2369" s="283" t="s">
        <v>12702</v>
      </c>
      <c r="B2369" s="284"/>
      <c r="C2369" s="284"/>
      <c r="D2369" s="284"/>
      <c r="E2369" s="284"/>
      <c r="F2369" s="284"/>
      <c r="G2369" s="284"/>
      <c r="H2369" s="285"/>
    </row>
    <row r="2370" spans="1:8" x14ac:dyDescent="0.25">
      <c r="A2370" s="196"/>
      <c r="B2370" s="292" t="s">
        <v>11962</v>
      </c>
      <c r="C2370" s="292"/>
      <c r="D2370" s="292"/>
      <c r="E2370" s="292"/>
      <c r="F2370" s="292"/>
      <c r="G2370" s="292"/>
      <c r="H2370" s="197" t="s">
        <v>11963</v>
      </c>
    </row>
    <row r="2371" spans="1:8" ht="13.5" thickBot="1" x14ac:dyDescent="0.3">
      <c r="A2371" s="234" t="s">
        <v>11960</v>
      </c>
      <c r="B2371" s="293" t="s">
        <v>12713</v>
      </c>
      <c r="C2371" s="293"/>
      <c r="D2371" s="293"/>
      <c r="E2371" s="293"/>
      <c r="F2371" s="293"/>
      <c r="G2371" s="293"/>
      <c r="H2371" s="235" t="s">
        <v>4</v>
      </c>
    </row>
    <row r="2372" spans="1:8" ht="25.5" x14ac:dyDescent="0.25">
      <c r="A2372" s="213" t="s">
        <v>11965</v>
      </c>
      <c r="B2372" s="241" t="s">
        <v>11966</v>
      </c>
      <c r="C2372" s="241" t="s">
        <v>11967</v>
      </c>
      <c r="D2372" s="241" t="s">
        <v>11968</v>
      </c>
      <c r="E2372" s="294" t="s">
        <v>11969</v>
      </c>
      <c r="F2372" s="294"/>
      <c r="G2372" s="241" t="s">
        <v>4</v>
      </c>
      <c r="H2372" s="214" t="s">
        <v>11970</v>
      </c>
    </row>
    <row r="2373" spans="1:8" x14ac:dyDescent="0.25">
      <c r="A2373" s="205">
        <v>43957</v>
      </c>
      <c r="B2373" s="206" t="s">
        <v>11971</v>
      </c>
      <c r="C2373" s="206" t="s">
        <v>12704</v>
      </c>
      <c r="D2373" s="219" t="s">
        <v>12705</v>
      </c>
      <c r="E2373" s="295" t="s">
        <v>12706</v>
      </c>
      <c r="F2373" s="295"/>
      <c r="G2373" s="115" t="s">
        <v>4</v>
      </c>
      <c r="H2373" s="218">
        <f>294.82/8</f>
        <v>36.852499999999999</v>
      </c>
    </row>
    <row r="2374" spans="1:8" x14ac:dyDescent="0.25">
      <c r="A2374" s="205">
        <v>43957</v>
      </c>
      <c r="B2374" s="206" t="s">
        <v>11971</v>
      </c>
      <c r="C2374" s="206" t="s">
        <v>12105</v>
      </c>
      <c r="D2374" s="219" t="s">
        <v>12714</v>
      </c>
      <c r="E2374" s="295" t="s">
        <v>12715</v>
      </c>
      <c r="F2374" s="295"/>
      <c r="G2374" s="115" t="s">
        <v>4</v>
      </c>
      <c r="H2374" s="218">
        <f>186.9/8</f>
        <v>23.362500000000001</v>
      </c>
    </row>
    <row r="2375" spans="1:8" x14ac:dyDescent="0.25">
      <c r="A2375" s="205">
        <v>43957</v>
      </c>
      <c r="B2375" s="206" t="s">
        <v>11971</v>
      </c>
      <c r="C2375" s="206" t="s">
        <v>12716</v>
      </c>
      <c r="D2375" s="219" t="s">
        <v>12717</v>
      </c>
      <c r="E2375" s="295" t="s">
        <v>12718</v>
      </c>
      <c r="F2375" s="295"/>
      <c r="G2375" s="115" t="s">
        <v>4</v>
      </c>
      <c r="H2375" s="218">
        <f>261.21/8</f>
        <v>32.651249999999997</v>
      </c>
    </row>
    <row r="2376" spans="1:8" ht="13.5" thickBot="1" x14ac:dyDescent="0.3">
      <c r="A2376" s="296" t="s">
        <v>11981</v>
      </c>
      <c r="B2376" s="297"/>
      <c r="C2376" s="297"/>
      <c r="D2376" s="297"/>
      <c r="E2376" s="297"/>
      <c r="F2376" s="297"/>
      <c r="G2376" s="298"/>
      <c r="H2376" s="188">
        <f>TRUNC(MEDIAN(H2373:H2375),2)</f>
        <v>32.65</v>
      </c>
    </row>
    <row r="2377" spans="1:8" ht="13.5" thickBot="1" x14ac:dyDescent="0.3"/>
    <row r="2378" spans="1:8" ht="25.5" x14ac:dyDescent="0.25">
      <c r="A2378" s="120" t="s">
        <v>90</v>
      </c>
      <c r="B2378" s="286" t="s">
        <v>91</v>
      </c>
      <c r="C2378" s="287"/>
      <c r="D2378" s="287"/>
      <c r="E2378" s="287"/>
      <c r="F2378" s="287"/>
      <c r="G2378" s="288"/>
      <c r="H2378" s="121" t="s">
        <v>4</v>
      </c>
    </row>
    <row r="2379" spans="1:8" ht="13.5" thickBot="1" x14ac:dyDescent="0.3">
      <c r="A2379" s="113" t="s">
        <v>12719</v>
      </c>
      <c r="B2379" s="289" t="s">
        <v>12720</v>
      </c>
      <c r="C2379" s="290"/>
      <c r="D2379" s="290"/>
      <c r="E2379" s="290"/>
      <c r="F2379" s="290"/>
      <c r="G2379" s="291"/>
      <c r="H2379" s="114" t="s">
        <v>4</v>
      </c>
    </row>
    <row r="2380" spans="1:8" x14ac:dyDescent="0.25">
      <c r="A2380" s="273" t="s">
        <v>13834</v>
      </c>
      <c r="B2380" s="275" t="s">
        <v>92</v>
      </c>
      <c r="C2380" s="276"/>
      <c r="D2380" s="185" t="s">
        <v>12721</v>
      </c>
      <c r="E2380" s="239" t="s">
        <v>93</v>
      </c>
      <c r="F2380" s="186">
        <v>0</v>
      </c>
      <c r="G2380" s="277" t="s">
        <v>94</v>
      </c>
      <c r="H2380" s="278"/>
    </row>
    <row r="2381" spans="1:8" x14ac:dyDescent="0.25">
      <c r="A2381" s="274"/>
      <c r="B2381" s="281" t="s">
        <v>95</v>
      </c>
      <c r="C2381" s="282"/>
      <c r="D2381" s="187">
        <v>42978</v>
      </c>
      <c r="E2381" s="240" t="s">
        <v>96</v>
      </c>
      <c r="F2381" s="187">
        <v>42978</v>
      </c>
      <c r="G2381" s="279"/>
      <c r="H2381" s="280"/>
    </row>
    <row r="2382" spans="1:8" x14ac:dyDescent="0.25">
      <c r="A2382" s="122" t="s">
        <v>11885</v>
      </c>
      <c r="B2382" s="123" t="s">
        <v>97</v>
      </c>
      <c r="C2382" s="123" t="s">
        <v>98</v>
      </c>
      <c r="D2382" s="123" t="s">
        <v>3</v>
      </c>
      <c r="E2382" s="123" t="s">
        <v>4</v>
      </c>
      <c r="F2382" s="123" t="s">
        <v>99</v>
      </c>
      <c r="G2382" s="123" t="s">
        <v>100</v>
      </c>
      <c r="H2382" s="124" t="s">
        <v>101</v>
      </c>
    </row>
    <row r="2383" spans="1:8" ht="25.5" x14ac:dyDescent="0.25">
      <c r="A2383" s="125" t="s">
        <v>398</v>
      </c>
      <c r="B2383" s="115" t="s">
        <v>9</v>
      </c>
      <c r="C2383" s="115">
        <v>88316</v>
      </c>
      <c r="D2383" s="127" t="str">
        <f>IF(A2383="COMPOSIÇÃO",VLOOKUP(C2383,'SINAPI_COMPOSIÇÕES 062020'!A:B,2,FALSE),VLOOKUP(C2383,'SINAPI_INSUMOS 062020'!A:B,2,FALSE))</f>
        <v>SERVENTE COM ENCARGOS COMPLEMENTARES</v>
      </c>
      <c r="E2383" s="126" t="str">
        <f>IF(A2383="COMPOSIÇÃO",VLOOKUP(C2383,'SINAPI_COMPOSIÇÕES 062020'!A:C,3,FALSE),VLOOKUP(C2383,'SINAPI_INSUMOS 062020'!A:C,3,FALSE))</f>
        <v>H</v>
      </c>
      <c r="F2383" s="74">
        <v>0.3</v>
      </c>
      <c r="G2383" s="128">
        <f>IF(A2383="COMPOSIÇÃO",VLOOKUP(C2383,'SINAPI_COMPOSIÇÕES 062020'!A:D,4,FALSE),VLOOKUP(C2383,'SINAPI_INSUMOS 062020'!A:D,4,FALSE))</f>
        <v>14.37</v>
      </c>
      <c r="H2383" s="75">
        <f t="shared" ref="H2383:H2386" si="182">TRUNC(G2383*F2383,2)</f>
        <v>4.3099999999999996</v>
      </c>
    </row>
    <row r="2384" spans="1:8" ht="25.5" x14ac:dyDescent="0.25">
      <c r="A2384" s="125" t="s">
        <v>398</v>
      </c>
      <c r="B2384" s="115" t="s">
        <v>9</v>
      </c>
      <c r="C2384" s="115">
        <v>88264</v>
      </c>
      <c r="D2384" s="127" t="str">
        <f>IF(A2384="COMPOSIÇÃO",VLOOKUP(C2384,'SINAPI_COMPOSIÇÕES 062020'!A:B,2,FALSE),VLOOKUP(C2384,'SINAPI_INSUMOS 062020'!A:B,2,FALSE))</f>
        <v>ELETRICISTA COM ENCARGOS COMPLEMENTARES</v>
      </c>
      <c r="E2384" s="126" t="str">
        <f>IF(A2384="COMPOSIÇÃO",VLOOKUP(C2384,'SINAPI_COMPOSIÇÕES 062020'!A:C,3,FALSE),VLOOKUP(C2384,'SINAPI_INSUMOS 062020'!A:C,3,FALSE))</f>
        <v>H</v>
      </c>
      <c r="F2384" s="74">
        <v>0.3</v>
      </c>
      <c r="G2384" s="128">
        <f>IF(A2384="COMPOSIÇÃO",VLOOKUP(C2384,'SINAPI_COMPOSIÇÕES 062020'!A:D,4,FALSE),VLOOKUP(C2384,'SINAPI_INSUMOS 062020'!A:D,4,FALSE))</f>
        <v>18.38</v>
      </c>
      <c r="H2384" s="75">
        <f t="shared" si="182"/>
        <v>5.51</v>
      </c>
    </row>
    <row r="2385" spans="1:8" ht="51" x14ac:dyDescent="0.25">
      <c r="A2385" s="125" t="s">
        <v>400</v>
      </c>
      <c r="B2385" s="115" t="s">
        <v>9</v>
      </c>
      <c r="C2385" s="115">
        <v>7568</v>
      </c>
      <c r="D2385" s="127" t="str">
        <f>IF(A2385="COMPOSIÇÃO",VLOOKUP(C2385,'SINAPI_COMPOSIÇÕES 062020'!A:B,2,FALSE),VLOOKUP(C2385,'SINAPI_INSUMOS 062020'!A:B,2,FALSE))</f>
        <v>BUCHA DE NYLON SEM ABA S10, COM PARAFUSO DE 6,10 X 65 MM EM ACO ZINCADO COM ROSCA SOBERBA, CABECA CHATA E FENDA PHILLIPS</v>
      </c>
      <c r="E2385" s="126" t="str">
        <f>IF(A2385="COMPOSIÇÃO",VLOOKUP(C2385,'SINAPI_COMPOSIÇÕES 062020'!A:C,3,FALSE),VLOOKUP(C2385,'SINAPI_INSUMOS 062020'!A:C,3,FALSE))</f>
        <v xml:space="preserve">UN    </v>
      </c>
      <c r="F2385" s="74">
        <v>2</v>
      </c>
      <c r="G2385" s="128">
        <f>IF(A2385="COMPOSIÇÃO",VLOOKUP(C2385,'SINAPI_COMPOSIÇÕES 062020'!A:D,4,FALSE),VLOOKUP(C2385,'SINAPI_INSUMOS 062020'!A:D,4,FALSE))</f>
        <v>0.43</v>
      </c>
      <c r="H2385" s="75">
        <f t="shared" si="182"/>
        <v>0.86</v>
      </c>
    </row>
    <row r="2386" spans="1:8" ht="25.5" x14ac:dyDescent="0.25">
      <c r="A2386" s="125" t="s">
        <v>400</v>
      </c>
      <c r="B2386" s="115" t="s">
        <v>9</v>
      </c>
      <c r="C2386" s="115">
        <v>39389</v>
      </c>
      <c r="D2386" s="127" t="str">
        <f>IF(A2386="COMPOSIÇÃO",VLOOKUP(C2386,'SINAPI_COMPOSIÇÕES 062020'!A:B,2,FALSE),VLOOKUP(C2386,'SINAPI_INSUMOS 062020'!A:B,2,FALSE))</f>
        <v>LUMINARIA LED REFLETOR RETANGULAR BIVOLT, LUZ BRANCA, 10 W</v>
      </c>
      <c r="E2386" s="126" t="str">
        <f>IF(A2386="COMPOSIÇÃO",VLOOKUP(C2386,'SINAPI_COMPOSIÇÕES 062020'!A:C,3,FALSE),VLOOKUP(C2386,'SINAPI_INSUMOS 062020'!A:C,3,FALSE))</f>
        <v xml:space="preserve">UN    </v>
      </c>
      <c r="F2386" s="74">
        <v>1</v>
      </c>
      <c r="G2386" s="128">
        <f>IF(A2386="COMPOSIÇÃO",VLOOKUP(C2386,'SINAPI_COMPOSIÇÕES 062020'!A:D,4,FALSE),VLOOKUP(C2386,'SINAPI_INSUMOS 062020'!A:D,4,FALSE))</f>
        <v>17.420000000000002</v>
      </c>
      <c r="H2386" s="75">
        <f t="shared" si="182"/>
        <v>17.420000000000002</v>
      </c>
    </row>
    <row r="2387" spans="1:8" ht="13.5" thickBot="1" x14ac:dyDescent="0.3">
      <c r="A2387" s="267" t="str">
        <f>CONCATENATE("TOTAL DO ÍTEM - ",A2379)</f>
        <v>TOTAL DO ÍTEM - MPMT-03152</v>
      </c>
      <c r="B2387" s="268"/>
      <c r="C2387" s="268"/>
      <c r="D2387" s="268"/>
      <c r="E2387" s="268"/>
      <c r="F2387" s="268"/>
      <c r="G2387" s="269"/>
      <c r="H2387" s="188">
        <f>TRUNC(SUM(H2383:H2386),2)</f>
        <v>28.1</v>
      </c>
    </row>
    <row r="2388" spans="1:8" ht="13.5" thickBot="1" x14ac:dyDescent="0.3">
      <c r="A2388" s="299" t="s">
        <v>12722</v>
      </c>
      <c r="B2388" s="300"/>
      <c r="C2388" s="300"/>
      <c r="D2388" s="300"/>
      <c r="E2388" s="300"/>
      <c r="F2388" s="300"/>
      <c r="G2388" s="300"/>
      <c r="H2388" s="301"/>
    </row>
    <row r="2389" spans="1:8" ht="13.5" thickBot="1" x14ac:dyDescent="0.3">
      <c r="A2389" s="115"/>
      <c r="B2389" s="115"/>
      <c r="C2389" s="115"/>
      <c r="D2389" s="194"/>
      <c r="E2389" s="115"/>
      <c r="F2389" s="239"/>
      <c r="G2389" s="239"/>
      <c r="H2389" s="239"/>
    </row>
    <row r="2390" spans="1:8" ht="25.5" x14ac:dyDescent="0.25">
      <c r="A2390" s="120" t="s">
        <v>90</v>
      </c>
      <c r="B2390" s="286" t="s">
        <v>91</v>
      </c>
      <c r="C2390" s="287"/>
      <c r="D2390" s="287"/>
      <c r="E2390" s="287"/>
      <c r="F2390" s="287"/>
      <c r="G2390" s="288"/>
      <c r="H2390" s="121" t="s">
        <v>4</v>
      </c>
    </row>
    <row r="2391" spans="1:8" ht="13.5" thickBot="1" x14ac:dyDescent="0.3">
      <c r="A2391" s="113" t="s">
        <v>12723</v>
      </c>
      <c r="B2391" s="289" t="s">
        <v>12724</v>
      </c>
      <c r="C2391" s="290"/>
      <c r="D2391" s="290"/>
      <c r="E2391" s="290"/>
      <c r="F2391" s="290"/>
      <c r="G2391" s="291"/>
      <c r="H2391" s="114" t="s">
        <v>4</v>
      </c>
    </row>
    <row r="2392" spans="1:8" x14ac:dyDescent="0.25">
      <c r="A2392" s="273" t="s">
        <v>13834</v>
      </c>
      <c r="B2392" s="275" t="s">
        <v>92</v>
      </c>
      <c r="C2392" s="276"/>
      <c r="D2392" s="185" t="s">
        <v>12721</v>
      </c>
      <c r="E2392" s="239" t="s">
        <v>93</v>
      </c>
      <c r="F2392" s="186">
        <v>0</v>
      </c>
      <c r="G2392" s="277" t="s">
        <v>94</v>
      </c>
      <c r="H2392" s="278"/>
    </row>
    <row r="2393" spans="1:8" x14ac:dyDescent="0.25">
      <c r="A2393" s="274"/>
      <c r="B2393" s="281" t="s">
        <v>95</v>
      </c>
      <c r="C2393" s="282"/>
      <c r="D2393" s="187">
        <v>42978</v>
      </c>
      <c r="E2393" s="240" t="s">
        <v>96</v>
      </c>
      <c r="F2393" s="187">
        <v>42978</v>
      </c>
      <c r="G2393" s="279"/>
      <c r="H2393" s="280"/>
    </row>
    <row r="2394" spans="1:8" x14ac:dyDescent="0.25">
      <c r="A2394" s="122" t="s">
        <v>11885</v>
      </c>
      <c r="B2394" s="123" t="s">
        <v>97</v>
      </c>
      <c r="C2394" s="123" t="s">
        <v>98</v>
      </c>
      <c r="D2394" s="123" t="s">
        <v>3</v>
      </c>
      <c r="E2394" s="123" t="s">
        <v>4</v>
      </c>
      <c r="F2394" s="123" t="s">
        <v>99</v>
      </c>
      <c r="G2394" s="123" t="s">
        <v>100</v>
      </c>
      <c r="H2394" s="124" t="s">
        <v>101</v>
      </c>
    </row>
    <row r="2395" spans="1:8" ht="25.5" x14ac:dyDescent="0.25">
      <c r="A2395" s="125" t="s">
        <v>398</v>
      </c>
      <c r="B2395" s="115" t="s">
        <v>9</v>
      </c>
      <c r="C2395" s="115">
        <v>88316</v>
      </c>
      <c r="D2395" s="127" t="str">
        <f>IF(A2395="COMPOSIÇÃO",VLOOKUP(C2395,'SINAPI_COMPOSIÇÕES 062020'!A:B,2,FALSE),VLOOKUP(C2395,'SINAPI_INSUMOS 062020'!A:B,2,FALSE))</f>
        <v>SERVENTE COM ENCARGOS COMPLEMENTARES</v>
      </c>
      <c r="E2395" s="126" t="str">
        <f>IF(A2395="COMPOSIÇÃO",VLOOKUP(C2395,'SINAPI_COMPOSIÇÕES 062020'!A:C,3,FALSE),VLOOKUP(C2395,'SINAPI_INSUMOS 062020'!A:C,3,FALSE))</f>
        <v>H</v>
      </c>
      <c r="F2395" s="74">
        <v>0.3</v>
      </c>
      <c r="G2395" s="128">
        <f>IF(A2395="COMPOSIÇÃO",VLOOKUP(C2395,'SINAPI_COMPOSIÇÕES 062020'!A:D,4,FALSE),VLOOKUP(C2395,'SINAPI_INSUMOS 062020'!A:D,4,FALSE))</f>
        <v>14.37</v>
      </c>
      <c r="H2395" s="75">
        <f t="shared" ref="H2395:H2398" si="183">TRUNC(G2395*F2395,2)</f>
        <v>4.3099999999999996</v>
      </c>
    </row>
    <row r="2396" spans="1:8" ht="25.5" x14ac:dyDescent="0.25">
      <c r="A2396" s="125" t="s">
        <v>398</v>
      </c>
      <c r="B2396" s="115" t="s">
        <v>9</v>
      </c>
      <c r="C2396" s="115">
        <v>88264</v>
      </c>
      <c r="D2396" s="127" t="str">
        <f>IF(A2396="COMPOSIÇÃO",VLOOKUP(C2396,'SINAPI_COMPOSIÇÕES 062020'!A:B,2,FALSE),VLOOKUP(C2396,'SINAPI_INSUMOS 062020'!A:B,2,FALSE))</f>
        <v>ELETRICISTA COM ENCARGOS COMPLEMENTARES</v>
      </c>
      <c r="E2396" s="126" t="str">
        <f>IF(A2396="COMPOSIÇÃO",VLOOKUP(C2396,'SINAPI_COMPOSIÇÕES 062020'!A:C,3,FALSE),VLOOKUP(C2396,'SINAPI_INSUMOS 062020'!A:C,3,FALSE))</f>
        <v>H</v>
      </c>
      <c r="F2396" s="74">
        <v>0.3</v>
      </c>
      <c r="G2396" s="128">
        <f>IF(A2396="COMPOSIÇÃO",VLOOKUP(C2396,'SINAPI_COMPOSIÇÕES 062020'!A:D,4,FALSE),VLOOKUP(C2396,'SINAPI_INSUMOS 062020'!A:D,4,FALSE))</f>
        <v>18.38</v>
      </c>
      <c r="H2396" s="75">
        <f t="shared" si="183"/>
        <v>5.51</v>
      </c>
    </row>
    <row r="2397" spans="1:8" ht="51" x14ac:dyDescent="0.25">
      <c r="A2397" s="125" t="s">
        <v>400</v>
      </c>
      <c r="B2397" s="115" t="s">
        <v>9</v>
      </c>
      <c r="C2397" s="115">
        <v>7568</v>
      </c>
      <c r="D2397" s="127" t="str">
        <f>IF(A2397="COMPOSIÇÃO",VLOOKUP(C2397,'SINAPI_COMPOSIÇÕES 062020'!A:B,2,FALSE),VLOOKUP(C2397,'SINAPI_INSUMOS 062020'!A:B,2,FALSE))</f>
        <v>BUCHA DE NYLON SEM ABA S10, COM PARAFUSO DE 6,10 X 65 MM EM ACO ZINCADO COM ROSCA SOBERBA, CABECA CHATA E FENDA PHILLIPS</v>
      </c>
      <c r="E2397" s="126" t="str">
        <f>IF(A2397="COMPOSIÇÃO",VLOOKUP(C2397,'SINAPI_COMPOSIÇÕES 062020'!A:C,3,FALSE),VLOOKUP(C2397,'SINAPI_INSUMOS 062020'!A:C,3,FALSE))</f>
        <v xml:space="preserve">UN    </v>
      </c>
      <c r="F2397" s="74">
        <v>2</v>
      </c>
      <c r="G2397" s="128">
        <f>IF(A2397="COMPOSIÇÃO",VLOOKUP(C2397,'SINAPI_COMPOSIÇÕES 062020'!A:D,4,FALSE),VLOOKUP(C2397,'SINAPI_INSUMOS 062020'!A:D,4,FALSE))</f>
        <v>0.43</v>
      </c>
      <c r="H2397" s="75">
        <f t="shared" si="183"/>
        <v>0.86</v>
      </c>
    </row>
    <row r="2398" spans="1:8" ht="25.5" x14ac:dyDescent="0.25">
      <c r="A2398" s="125" t="s">
        <v>400</v>
      </c>
      <c r="B2398" s="115" t="s">
        <v>9</v>
      </c>
      <c r="C2398" s="115">
        <v>39390</v>
      </c>
      <c r="D2398" s="127" t="str">
        <f>IF(A2398="COMPOSIÇÃO",VLOOKUP(C2398,'SINAPI_COMPOSIÇÕES 062020'!A:B,2,FALSE),VLOOKUP(C2398,'SINAPI_INSUMOS 062020'!A:B,2,FALSE))</f>
        <v>LUMINARIA LED REFLETOR RETANGULAR BIVOLT, LUZ BRANCA, 30 W</v>
      </c>
      <c r="E2398" s="126" t="str">
        <f>IF(A2398="COMPOSIÇÃO",VLOOKUP(C2398,'SINAPI_COMPOSIÇÕES 062020'!A:C,3,FALSE),VLOOKUP(C2398,'SINAPI_INSUMOS 062020'!A:C,3,FALSE))</f>
        <v xml:space="preserve">UN    </v>
      </c>
      <c r="F2398" s="74">
        <v>1</v>
      </c>
      <c r="G2398" s="128">
        <f>IF(A2398="COMPOSIÇÃO",VLOOKUP(C2398,'SINAPI_COMPOSIÇÕES 062020'!A:D,4,FALSE),VLOOKUP(C2398,'SINAPI_INSUMOS 062020'!A:D,4,FALSE))</f>
        <v>36.53</v>
      </c>
      <c r="H2398" s="75">
        <f t="shared" si="183"/>
        <v>36.53</v>
      </c>
    </row>
    <row r="2399" spans="1:8" ht="13.5" thickBot="1" x14ac:dyDescent="0.3">
      <c r="A2399" s="267" t="str">
        <f>CONCATENATE("TOTAL DO ÍTEM - ",A2391)</f>
        <v>TOTAL DO ÍTEM - MPMT-03153</v>
      </c>
      <c r="B2399" s="268"/>
      <c r="C2399" s="268"/>
      <c r="D2399" s="268"/>
      <c r="E2399" s="268"/>
      <c r="F2399" s="268"/>
      <c r="G2399" s="269"/>
      <c r="H2399" s="188">
        <f>TRUNC(SUM(H2395:H2398),2)</f>
        <v>47.21</v>
      </c>
    </row>
    <row r="2400" spans="1:8" ht="13.5" thickBot="1" x14ac:dyDescent="0.3">
      <c r="A2400" s="283" t="s">
        <v>12722</v>
      </c>
      <c r="B2400" s="284"/>
      <c r="C2400" s="284"/>
      <c r="D2400" s="284"/>
      <c r="E2400" s="284"/>
      <c r="F2400" s="284"/>
      <c r="G2400" s="284"/>
      <c r="H2400" s="285"/>
    </row>
    <row r="2401" spans="1:8" ht="13.5" thickBot="1" x14ac:dyDescent="0.3"/>
    <row r="2402" spans="1:8" ht="25.5" x14ac:dyDescent="0.25">
      <c r="A2402" s="120" t="s">
        <v>90</v>
      </c>
      <c r="B2402" s="286" t="s">
        <v>91</v>
      </c>
      <c r="C2402" s="287"/>
      <c r="D2402" s="287"/>
      <c r="E2402" s="287"/>
      <c r="F2402" s="287"/>
      <c r="G2402" s="288"/>
      <c r="H2402" s="121" t="s">
        <v>4</v>
      </c>
    </row>
    <row r="2403" spans="1:8" ht="13.5" thickBot="1" x14ac:dyDescent="0.3">
      <c r="A2403" s="113" t="s">
        <v>12725</v>
      </c>
      <c r="B2403" s="289" t="s">
        <v>12726</v>
      </c>
      <c r="C2403" s="290"/>
      <c r="D2403" s="290"/>
      <c r="E2403" s="290"/>
      <c r="F2403" s="290"/>
      <c r="G2403" s="291"/>
      <c r="H2403" s="114" t="s">
        <v>16</v>
      </c>
    </row>
    <row r="2404" spans="1:8" x14ac:dyDescent="0.25">
      <c r="A2404" s="273" t="s">
        <v>13834</v>
      </c>
      <c r="B2404" s="275" t="s">
        <v>92</v>
      </c>
      <c r="C2404" s="276"/>
      <c r="D2404" s="185" t="s">
        <v>12727</v>
      </c>
      <c r="E2404" s="239" t="s">
        <v>93</v>
      </c>
      <c r="F2404" s="186">
        <v>0</v>
      </c>
      <c r="G2404" s="277" t="s">
        <v>94</v>
      </c>
      <c r="H2404" s="278"/>
    </row>
    <row r="2405" spans="1:8" x14ac:dyDescent="0.25">
      <c r="A2405" s="274"/>
      <c r="B2405" s="281" t="s">
        <v>95</v>
      </c>
      <c r="C2405" s="282"/>
      <c r="D2405" s="187">
        <v>43033</v>
      </c>
      <c r="E2405" s="240" t="s">
        <v>96</v>
      </c>
      <c r="F2405" s="187">
        <v>43033</v>
      </c>
      <c r="G2405" s="279"/>
      <c r="H2405" s="280"/>
    </row>
    <row r="2406" spans="1:8" x14ac:dyDescent="0.25">
      <c r="A2406" s="122" t="s">
        <v>11885</v>
      </c>
      <c r="B2406" s="123" t="s">
        <v>97</v>
      </c>
      <c r="C2406" s="123" t="s">
        <v>98</v>
      </c>
      <c r="D2406" s="123" t="s">
        <v>3</v>
      </c>
      <c r="E2406" s="123" t="s">
        <v>4</v>
      </c>
      <c r="F2406" s="123" t="s">
        <v>99</v>
      </c>
      <c r="G2406" s="123" t="s">
        <v>100</v>
      </c>
      <c r="H2406" s="124" t="s">
        <v>101</v>
      </c>
    </row>
    <row r="2407" spans="1:8" ht="25.5" x14ac:dyDescent="0.25">
      <c r="A2407" s="125" t="s">
        <v>398</v>
      </c>
      <c r="B2407" s="115" t="s">
        <v>9</v>
      </c>
      <c r="C2407" s="115">
        <v>88316</v>
      </c>
      <c r="D2407" s="127" t="str">
        <f>IF(A2407="COMPOSIÇÃO",VLOOKUP(C2407,'SINAPI_COMPOSIÇÕES 062020'!A:B,2,FALSE),VLOOKUP(C2407,'SINAPI_INSUMOS 062020'!A:B,2,FALSE))</f>
        <v>SERVENTE COM ENCARGOS COMPLEMENTARES</v>
      </c>
      <c r="E2407" s="126" t="str">
        <f>IF(A2407="COMPOSIÇÃO",VLOOKUP(C2407,'SINAPI_COMPOSIÇÕES 062020'!A:C,3,FALSE),VLOOKUP(C2407,'SINAPI_INSUMOS 062020'!A:C,3,FALSE))</f>
        <v>H</v>
      </c>
      <c r="F2407" s="74">
        <v>0.32500000000000001</v>
      </c>
      <c r="G2407" s="128">
        <f>IF(A2407="COMPOSIÇÃO",VLOOKUP(C2407,'SINAPI_COMPOSIÇÕES 062020'!A:D,4,FALSE),VLOOKUP(C2407,'SINAPI_INSUMOS 062020'!A:D,4,FALSE))</f>
        <v>14.37</v>
      </c>
      <c r="H2407" s="75">
        <f t="shared" ref="H2407:H2410" si="184">TRUNC(G2407*F2407,2)</f>
        <v>4.67</v>
      </c>
    </row>
    <row r="2408" spans="1:8" ht="25.5" x14ac:dyDescent="0.25">
      <c r="A2408" s="125" t="s">
        <v>398</v>
      </c>
      <c r="B2408" s="115" t="s">
        <v>9</v>
      </c>
      <c r="C2408" s="115">
        <v>88256</v>
      </c>
      <c r="D2408" s="127" t="str">
        <f>IF(A2408="COMPOSIÇÃO",VLOOKUP(C2408,'SINAPI_COMPOSIÇÕES 062020'!A:B,2,FALSE),VLOOKUP(C2408,'SINAPI_INSUMOS 062020'!A:B,2,FALSE))</f>
        <v>AZULEJISTA OU LADRILHISTA COM ENCARGOS COMPLEMENTARES</v>
      </c>
      <c r="E2408" s="126" t="str">
        <f>IF(A2408="COMPOSIÇÃO",VLOOKUP(C2408,'SINAPI_COMPOSIÇÕES 062020'!A:C,3,FALSE),VLOOKUP(C2408,'SINAPI_INSUMOS 062020'!A:C,3,FALSE))</f>
        <v>H</v>
      </c>
      <c r="F2408" s="74">
        <v>0.65</v>
      </c>
      <c r="G2408" s="128">
        <f>IF(A2408="COMPOSIÇÃO",VLOOKUP(C2408,'SINAPI_COMPOSIÇÕES 062020'!A:D,4,FALSE),VLOOKUP(C2408,'SINAPI_INSUMOS 062020'!A:D,4,FALSE))</f>
        <v>17.71</v>
      </c>
      <c r="H2408" s="75">
        <f t="shared" si="184"/>
        <v>11.51</v>
      </c>
    </row>
    <row r="2409" spans="1:8" x14ac:dyDescent="0.25">
      <c r="A2409" s="125" t="s">
        <v>400</v>
      </c>
      <c r="B2409" s="115" t="s">
        <v>9</v>
      </c>
      <c r="C2409" s="115">
        <v>37595</v>
      </c>
      <c r="D2409" s="127" t="str">
        <f>IF(A2409="COMPOSIÇÃO",VLOOKUP(C2409,'SINAPI_COMPOSIÇÕES 062020'!A:B,2,FALSE),VLOOKUP(C2409,'SINAPI_INSUMOS 062020'!A:B,2,FALSE))</f>
        <v>ARGAMASSA COLANTE TIPO AC III</v>
      </c>
      <c r="E2409" s="126" t="str">
        <f>IF(A2409="COMPOSIÇÃO",VLOOKUP(C2409,'SINAPI_COMPOSIÇÕES 062020'!A:C,3,FALSE),VLOOKUP(C2409,'SINAPI_INSUMOS 062020'!A:C,3,FALSE))</f>
        <v xml:space="preserve">KG    </v>
      </c>
      <c r="F2409" s="74">
        <v>4.4999999999999998E-2</v>
      </c>
      <c r="G2409" s="128">
        <f>IF(A2409="COMPOSIÇÃO",VLOOKUP(C2409,'SINAPI_COMPOSIÇÕES 062020'!A:D,4,FALSE),VLOOKUP(C2409,'SINAPI_INSUMOS 062020'!A:D,4,FALSE))</f>
        <v>1.99</v>
      </c>
      <c r="H2409" s="75">
        <f t="shared" si="184"/>
        <v>0.08</v>
      </c>
    </row>
    <row r="2410" spans="1:8" ht="25.5" x14ac:dyDescent="0.25">
      <c r="A2410" s="125" t="s">
        <v>400</v>
      </c>
      <c r="B2410" s="115" t="s">
        <v>9</v>
      </c>
      <c r="C2410" s="115">
        <v>34796</v>
      </c>
      <c r="D2410" s="127" t="str">
        <f>IF(A2410="COMPOSIÇÃO",VLOOKUP(C2410,'SINAPI_COMPOSIÇÕES 062020'!A:B,2,FALSE),VLOOKUP(C2410,'SINAPI_INSUMOS 062020'!A:B,2,FALSE))</f>
        <v>FAIXA / FILETE / LISTELO EM CERAMICA, LISO OU CORDAO, BRANCO, *2 X 30* CM (L X C)</v>
      </c>
      <c r="E2410" s="126" t="str">
        <f>IF(A2410="COMPOSIÇÃO",VLOOKUP(C2410,'SINAPI_COMPOSIÇÕES 062020'!A:C,3,FALSE),VLOOKUP(C2410,'SINAPI_INSUMOS 062020'!A:C,3,FALSE))</f>
        <v xml:space="preserve">M     </v>
      </c>
      <c r="F2410" s="74">
        <v>1.05</v>
      </c>
      <c r="G2410" s="128">
        <f>IF(A2410="COMPOSIÇÃO",VLOOKUP(C2410,'SINAPI_COMPOSIÇÕES 062020'!A:D,4,FALSE),VLOOKUP(C2410,'SINAPI_INSUMOS 062020'!A:D,4,FALSE))</f>
        <v>10.41</v>
      </c>
      <c r="H2410" s="75">
        <f t="shared" si="184"/>
        <v>10.93</v>
      </c>
    </row>
    <row r="2411" spans="1:8" ht="13.5" thickBot="1" x14ac:dyDescent="0.3">
      <c r="A2411" s="267" t="str">
        <f>CONCATENATE("TOTAL DO ÍTEM - ",A2403)</f>
        <v>TOTAL DO ÍTEM - MPMT-02536</v>
      </c>
      <c r="B2411" s="268"/>
      <c r="C2411" s="268"/>
      <c r="D2411" s="268"/>
      <c r="E2411" s="268"/>
      <c r="F2411" s="268"/>
      <c r="G2411" s="269"/>
      <c r="H2411" s="188">
        <f>TRUNC(SUM(H2407:H2410),2)</f>
        <v>27.19</v>
      </c>
    </row>
    <row r="2412" spans="1:8" ht="13.5" thickBot="1" x14ac:dyDescent="0.3">
      <c r="A2412" s="270" t="s">
        <v>12728</v>
      </c>
      <c r="B2412" s="271"/>
      <c r="C2412" s="271"/>
      <c r="D2412" s="271"/>
      <c r="E2412" s="271"/>
      <c r="F2412" s="271"/>
      <c r="G2412" s="271"/>
      <c r="H2412" s="272"/>
    </row>
    <row r="2413" spans="1:8" ht="13.5" thickBot="1" x14ac:dyDescent="0.3"/>
    <row r="2414" spans="1:8" ht="25.5" x14ac:dyDescent="0.25">
      <c r="A2414" s="120" t="s">
        <v>90</v>
      </c>
      <c r="B2414" s="286" t="s">
        <v>91</v>
      </c>
      <c r="C2414" s="287"/>
      <c r="D2414" s="287"/>
      <c r="E2414" s="287"/>
      <c r="F2414" s="287"/>
      <c r="G2414" s="288"/>
      <c r="H2414" s="121" t="s">
        <v>4</v>
      </c>
    </row>
    <row r="2415" spans="1:8" ht="13.5" thickBot="1" x14ac:dyDescent="0.3">
      <c r="A2415" s="113" t="s">
        <v>12729</v>
      </c>
      <c r="B2415" s="289" t="s">
        <v>12732</v>
      </c>
      <c r="C2415" s="290"/>
      <c r="D2415" s="290"/>
      <c r="E2415" s="290"/>
      <c r="F2415" s="290"/>
      <c r="G2415" s="291"/>
      <c r="H2415" s="114" t="s">
        <v>8</v>
      </c>
    </row>
    <row r="2416" spans="1:8" x14ac:dyDescent="0.25">
      <c r="A2416" s="273" t="s">
        <v>13834</v>
      </c>
      <c r="B2416" s="275" t="s">
        <v>92</v>
      </c>
      <c r="C2416" s="276"/>
      <c r="D2416" s="185" t="s">
        <v>12730</v>
      </c>
      <c r="E2416" s="239" t="s">
        <v>93</v>
      </c>
      <c r="F2416" s="186">
        <v>0</v>
      </c>
      <c r="G2416" s="277" t="s">
        <v>94</v>
      </c>
      <c r="H2416" s="278"/>
    </row>
    <row r="2417" spans="1:8" x14ac:dyDescent="0.25">
      <c r="A2417" s="274"/>
      <c r="B2417" s="281" t="s">
        <v>95</v>
      </c>
      <c r="C2417" s="282"/>
      <c r="D2417" s="187">
        <v>43249</v>
      </c>
      <c r="E2417" s="240" t="s">
        <v>96</v>
      </c>
      <c r="F2417" s="187">
        <v>43249</v>
      </c>
      <c r="G2417" s="279"/>
      <c r="H2417" s="280"/>
    </row>
    <row r="2418" spans="1:8" x14ac:dyDescent="0.25">
      <c r="A2418" s="122" t="s">
        <v>11885</v>
      </c>
      <c r="B2418" s="123" t="s">
        <v>97</v>
      </c>
      <c r="C2418" s="123" t="s">
        <v>98</v>
      </c>
      <c r="D2418" s="123" t="s">
        <v>3</v>
      </c>
      <c r="E2418" s="123" t="s">
        <v>4</v>
      </c>
      <c r="F2418" s="123" t="s">
        <v>99</v>
      </c>
      <c r="G2418" s="123" t="s">
        <v>100</v>
      </c>
      <c r="H2418" s="124" t="s">
        <v>101</v>
      </c>
    </row>
    <row r="2419" spans="1:8" ht="25.5" x14ac:dyDescent="0.25">
      <c r="A2419" s="125" t="s">
        <v>398</v>
      </c>
      <c r="B2419" s="115" t="s">
        <v>9</v>
      </c>
      <c r="C2419" s="115">
        <v>88309</v>
      </c>
      <c r="D2419" s="127" t="str">
        <f>IF(A2419="COMPOSIÇÃO",VLOOKUP(C2419,'SINAPI_COMPOSIÇÕES 062020'!A:B,2,FALSE),VLOOKUP(C2419,'SINAPI_INSUMOS 062020'!A:B,2,FALSE))</f>
        <v>PEDREIRO COM ENCARGOS COMPLEMENTARES</v>
      </c>
      <c r="E2419" s="126" t="str">
        <f>IF(A2419="COMPOSIÇÃO",VLOOKUP(C2419,'SINAPI_COMPOSIÇÕES 062020'!A:C,3,FALSE),VLOOKUP(C2419,'SINAPI_INSUMOS 062020'!A:C,3,FALSE))</f>
        <v>H</v>
      </c>
      <c r="F2419" s="74">
        <v>0.5</v>
      </c>
      <c r="G2419" s="128">
        <f>IF(A2419="COMPOSIÇÃO",VLOOKUP(C2419,'SINAPI_COMPOSIÇÕES 062020'!A:D,4,FALSE),VLOOKUP(C2419,'SINAPI_INSUMOS 062020'!A:D,4,FALSE))</f>
        <v>17.760000000000002</v>
      </c>
      <c r="H2419" s="75">
        <f t="shared" ref="H2419:H2423" si="185">TRUNC(G2419*F2419,2)</f>
        <v>8.8800000000000008</v>
      </c>
    </row>
    <row r="2420" spans="1:8" ht="25.5" x14ac:dyDescent="0.25">
      <c r="A2420" s="125" t="s">
        <v>398</v>
      </c>
      <c r="B2420" s="115" t="s">
        <v>9</v>
      </c>
      <c r="C2420" s="115">
        <v>88316</v>
      </c>
      <c r="D2420" s="127" t="str">
        <f>IF(A2420="COMPOSIÇÃO",VLOOKUP(C2420,'SINAPI_COMPOSIÇÕES 062020'!A:B,2,FALSE),VLOOKUP(C2420,'SINAPI_INSUMOS 062020'!A:B,2,FALSE))</f>
        <v>SERVENTE COM ENCARGOS COMPLEMENTARES</v>
      </c>
      <c r="E2420" s="126" t="str">
        <f>IF(A2420="COMPOSIÇÃO",VLOOKUP(C2420,'SINAPI_COMPOSIÇÕES 062020'!A:C,3,FALSE),VLOOKUP(C2420,'SINAPI_INSUMOS 062020'!A:C,3,FALSE))</f>
        <v>H</v>
      </c>
      <c r="F2420" s="74">
        <v>1.2</v>
      </c>
      <c r="G2420" s="128">
        <f>IF(A2420="COMPOSIÇÃO",VLOOKUP(C2420,'SINAPI_COMPOSIÇÕES 062020'!A:D,4,FALSE),VLOOKUP(C2420,'SINAPI_INSUMOS 062020'!A:D,4,FALSE))</f>
        <v>14.37</v>
      </c>
      <c r="H2420" s="75">
        <f t="shared" si="185"/>
        <v>17.239999999999998</v>
      </c>
    </row>
    <row r="2421" spans="1:8" ht="38.25" x14ac:dyDescent="0.25">
      <c r="A2421" s="125" t="s">
        <v>400</v>
      </c>
      <c r="B2421" s="115" t="s">
        <v>9</v>
      </c>
      <c r="C2421" s="115">
        <v>371</v>
      </c>
      <c r="D2421" s="127" t="str">
        <f>IF(A2421="COMPOSIÇÃO",VLOOKUP(C2421,'SINAPI_COMPOSIÇÕES 062020'!A:B,2,FALSE),VLOOKUP(C2421,'SINAPI_INSUMOS 062020'!A:B,2,FALSE))</f>
        <v>ARGAMASSA INDUSTRIALIZADA MULTIUSO, PARA REVESTIMENTO INTERNO E EXTERNO E ASSENTAMENTO DE BLOCOS DIVERSOS</v>
      </c>
      <c r="E2421" s="126" t="str">
        <f>IF(A2421="COMPOSIÇÃO",VLOOKUP(C2421,'SINAPI_COMPOSIÇÕES 062020'!A:C,3,FALSE),VLOOKUP(C2421,'SINAPI_INSUMOS 062020'!A:C,3,FALSE))</f>
        <v xml:space="preserve">KG    </v>
      </c>
      <c r="F2421" s="74">
        <v>4</v>
      </c>
      <c r="G2421" s="128">
        <f>IF(A2421="COMPOSIÇÃO",VLOOKUP(C2421,'SINAPI_COMPOSIÇÕES 062020'!A:D,4,FALSE),VLOOKUP(C2421,'SINAPI_INSUMOS 062020'!A:D,4,FALSE))</f>
        <v>0.71</v>
      </c>
      <c r="H2421" s="75">
        <f t="shared" si="185"/>
        <v>2.84</v>
      </c>
    </row>
    <row r="2422" spans="1:8" x14ac:dyDescent="0.25">
      <c r="A2422" s="125" t="s">
        <v>400</v>
      </c>
      <c r="B2422" s="115" t="s">
        <v>9</v>
      </c>
      <c r="C2422" s="115">
        <v>34357</v>
      </c>
      <c r="D2422" s="127" t="str">
        <f>IF(A2422="COMPOSIÇÃO",VLOOKUP(C2422,'SINAPI_COMPOSIÇÕES 062020'!A:B,2,FALSE),VLOOKUP(C2422,'SINAPI_INSUMOS 062020'!A:B,2,FALSE))</f>
        <v>REJUNTE COLORIDO, CIMENTICIO</v>
      </c>
      <c r="E2422" s="126" t="str">
        <f>IF(A2422="COMPOSIÇÃO",VLOOKUP(C2422,'SINAPI_COMPOSIÇÕES 062020'!A:C,3,FALSE),VLOOKUP(C2422,'SINAPI_INSUMOS 062020'!A:C,3,FALSE))</f>
        <v xml:space="preserve">KG    </v>
      </c>
      <c r="F2422" s="74">
        <v>0.52</v>
      </c>
      <c r="G2422" s="128">
        <f>IF(A2422="COMPOSIÇÃO",VLOOKUP(C2422,'SINAPI_COMPOSIÇÕES 062020'!A:D,4,FALSE),VLOOKUP(C2422,'SINAPI_INSUMOS 062020'!A:D,4,FALSE))</f>
        <v>4.13</v>
      </c>
      <c r="H2422" s="75">
        <f t="shared" si="185"/>
        <v>2.14</v>
      </c>
    </row>
    <row r="2423" spans="1:8" ht="25.5" x14ac:dyDescent="0.25">
      <c r="A2423" s="125" t="s">
        <v>400</v>
      </c>
      <c r="B2423" s="115" t="s">
        <v>9</v>
      </c>
      <c r="C2423" s="115">
        <v>38135</v>
      </c>
      <c r="D2423" s="127" t="str">
        <f>IF(A2423="COMPOSIÇÃO",VLOOKUP(C2423,'SINAPI_COMPOSIÇÕES 062020'!A:B,2,FALSE),VLOOKUP(C2423,'SINAPI_INSUMOS 062020'!A:B,2,FALSE))</f>
        <v>LADRILHO HIDRAULICO, *20 X 20* CM, E= 2 CM, TATIL ALERTA OU DIRECIONAL, AMARELO</v>
      </c>
      <c r="E2423" s="126" t="str">
        <f>IF(A2423="COMPOSIÇÃO",VLOOKUP(C2423,'SINAPI_COMPOSIÇÕES 062020'!A:C,3,FALSE),VLOOKUP(C2423,'SINAPI_INSUMOS 062020'!A:C,3,FALSE))</f>
        <v xml:space="preserve">M2    </v>
      </c>
      <c r="F2423" s="74">
        <v>1</v>
      </c>
      <c r="G2423" s="128">
        <f>IF(A2423="COMPOSIÇÃO",VLOOKUP(C2423,'SINAPI_COMPOSIÇÕES 062020'!A:D,4,FALSE),VLOOKUP(C2423,'SINAPI_INSUMOS 062020'!A:D,4,FALSE))</f>
        <v>59.46</v>
      </c>
      <c r="H2423" s="75">
        <f t="shared" si="185"/>
        <v>59.46</v>
      </c>
    </row>
    <row r="2424" spans="1:8" ht="13.5" thickBot="1" x14ac:dyDescent="0.3">
      <c r="A2424" s="267" t="str">
        <f>CONCATENATE("TOTAL DO ÍTEM - ",A2415)</f>
        <v>TOTAL DO ÍTEM - MPMT-02261</v>
      </c>
      <c r="B2424" s="268"/>
      <c r="C2424" s="268"/>
      <c r="D2424" s="268"/>
      <c r="E2424" s="268"/>
      <c r="F2424" s="268"/>
      <c r="G2424" s="269"/>
      <c r="H2424" s="188">
        <f>TRUNC(SUM(H2419:H2423),2)</f>
        <v>90.56</v>
      </c>
    </row>
    <row r="2425" spans="1:8" ht="13.5" thickBot="1" x14ac:dyDescent="0.3">
      <c r="A2425" s="270" t="s">
        <v>12731</v>
      </c>
      <c r="B2425" s="271"/>
      <c r="C2425" s="271"/>
      <c r="D2425" s="271"/>
      <c r="E2425" s="271"/>
      <c r="F2425" s="271"/>
      <c r="G2425" s="271"/>
      <c r="H2425" s="272"/>
    </row>
    <row r="2426" spans="1:8" ht="13.5" thickBot="1" x14ac:dyDescent="0.3"/>
    <row r="2427" spans="1:8" ht="25.5" x14ac:dyDescent="0.25">
      <c r="A2427" s="120" t="s">
        <v>90</v>
      </c>
      <c r="B2427" s="286" t="s">
        <v>91</v>
      </c>
      <c r="C2427" s="287"/>
      <c r="D2427" s="287"/>
      <c r="E2427" s="287"/>
      <c r="F2427" s="287"/>
      <c r="G2427" s="288"/>
      <c r="H2427" s="121" t="s">
        <v>4</v>
      </c>
    </row>
    <row r="2428" spans="1:8" ht="13.5" thickBot="1" x14ac:dyDescent="0.3">
      <c r="A2428" s="113" t="s">
        <v>12733</v>
      </c>
      <c r="B2428" s="289" t="s">
        <v>12734</v>
      </c>
      <c r="C2428" s="290"/>
      <c r="D2428" s="290"/>
      <c r="E2428" s="290"/>
      <c r="F2428" s="290"/>
      <c r="G2428" s="291"/>
      <c r="H2428" s="114" t="s">
        <v>4</v>
      </c>
    </row>
    <row r="2429" spans="1:8" x14ac:dyDescent="0.25">
      <c r="A2429" s="273" t="s">
        <v>13834</v>
      </c>
      <c r="B2429" s="275" t="s">
        <v>92</v>
      </c>
      <c r="C2429" s="276"/>
      <c r="D2429" s="185" t="s">
        <v>12735</v>
      </c>
      <c r="E2429" s="239" t="s">
        <v>93</v>
      </c>
      <c r="F2429" s="193" t="s">
        <v>11957</v>
      </c>
      <c r="G2429" s="277" t="s">
        <v>94</v>
      </c>
      <c r="H2429" s="278"/>
    </row>
    <row r="2430" spans="1:8" x14ac:dyDescent="0.25">
      <c r="A2430" s="274"/>
      <c r="B2430" s="281" t="s">
        <v>95</v>
      </c>
      <c r="C2430" s="282"/>
      <c r="D2430" s="187">
        <v>43389</v>
      </c>
      <c r="E2430" s="240" t="s">
        <v>96</v>
      </c>
      <c r="F2430" s="187">
        <v>43670</v>
      </c>
      <c r="G2430" s="279"/>
      <c r="H2430" s="280"/>
    </row>
    <row r="2431" spans="1:8" x14ac:dyDescent="0.25">
      <c r="A2431" s="122" t="s">
        <v>11885</v>
      </c>
      <c r="B2431" s="123" t="s">
        <v>97</v>
      </c>
      <c r="C2431" s="123" t="s">
        <v>98</v>
      </c>
      <c r="D2431" s="123" t="s">
        <v>3</v>
      </c>
      <c r="E2431" s="123" t="s">
        <v>4</v>
      </c>
      <c r="F2431" s="123" t="s">
        <v>99</v>
      </c>
      <c r="G2431" s="123" t="s">
        <v>100</v>
      </c>
      <c r="H2431" s="124" t="s">
        <v>101</v>
      </c>
    </row>
    <row r="2432" spans="1:8" ht="25.5" x14ac:dyDescent="0.25">
      <c r="A2432" s="125" t="s">
        <v>398</v>
      </c>
      <c r="B2432" s="115" t="s">
        <v>9</v>
      </c>
      <c r="C2432" s="115">
        <v>88264</v>
      </c>
      <c r="D2432" s="127" t="str">
        <f>IF(A2432="COMPOSIÇÃO",VLOOKUP(C2432,'SINAPI_COMPOSIÇÕES 062020'!A:B,2,FALSE),VLOOKUP(C2432,'SINAPI_INSUMOS 062020'!A:B,2,FALSE))</f>
        <v>ELETRICISTA COM ENCARGOS COMPLEMENTARES</v>
      </c>
      <c r="E2432" s="126" t="str">
        <f>IF(A2432="COMPOSIÇÃO",VLOOKUP(C2432,'SINAPI_COMPOSIÇÕES 062020'!A:C,3,FALSE),VLOOKUP(C2432,'SINAPI_INSUMOS 062020'!A:C,3,FALSE))</f>
        <v>H</v>
      </c>
      <c r="F2432" s="74">
        <v>0.38500000000000001</v>
      </c>
      <c r="G2432" s="128">
        <f>IF(A2432="COMPOSIÇÃO",VLOOKUP(C2432,'SINAPI_COMPOSIÇÕES 062020'!A:D,4,FALSE),VLOOKUP(C2432,'SINAPI_INSUMOS 062020'!A:D,4,FALSE))</f>
        <v>18.38</v>
      </c>
      <c r="H2432" s="75">
        <f t="shared" ref="H2432:H2436" si="186">TRUNC(G2432*F2432,2)</f>
        <v>7.07</v>
      </c>
    </row>
    <row r="2433" spans="1:8" ht="25.5" x14ac:dyDescent="0.25">
      <c r="A2433" s="125" t="s">
        <v>398</v>
      </c>
      <c r="B2433" s="115" t="s">
        <v>9</v>
      </c>
      <c r="C2433" s="115">
        <v>88247</v>
      </c>
      <c r="D2433" s="127" t="str">
        <f>IF(A2433="COMPOSIÇÃO",VLOOKUP(C2433,'SINAPI_COMPOSIÇÕES 062020'!A:B,2,FALSE),VLOOKUP(C2433,'SINAPI_INSUMOS 062020'!A:B,2,FALSE))</f>
        <v>AUXILIAR DE ELETRICISTA COM ENCARGOS COMPLEMENTARES</v>
      </c>
      <c r="E2433" s="126" t="str">
        <f>IF(A2433="COMPOSIÇÃO",VLOOKUP(C2433,'SINAPI_COMPOSIÇÕES 062020'!A:C,3,FALSE),VLOOKUP(C2433,'SINAPI_INSUMOS 062020'!A:C,3,FALSE))</f>
        <v>H</v>
      </c>
      <c r="F2433" s="74">
        <v>0.38500000000000001</v>
      </c>
      <c r="G2433" s="128">
        <f>IF(A2433="COMPOSIÇÃO",VLOOKUP(C2433,'SINAPI_COMPOSIÇÕES 062020'!A:D,4,FALSE),VLOOKUP(C2433,'SINAPI_INSUMOS 062020'!A:D,4,FALSE))</f>
        <v>14.33</v>
      </c>
      <c r="H2433" s="75">
        <f t="shared" si="186"/>
        <v>5.51</v>
      </c>
    </row>
    <row r="2434" spans="1:8" ht="38.25" x14ac:dyDescent="0.25">
      <c r="A2434" s="125" t="s">
        <v>400</v>
      </c>
      <c r="B2434" s="115" t="s">
        <v>9</v>
      </c>
      <c r="C2434" s="115">
        <v>11054</v>
      </c>
      <c r="D2434" s="127" t="str">
        <f>IF(A2434="COMPOSIÇÃO",VLOOKUP(C2434,'SINAPI_COMPOSIÇÕES 062020'!A:B,2,FALSE),VLOOKUP(C2434,'SINAPI_INSUMOS 062020'!A:B,2,FALSE))</f>
        <v>PARAFUSO ROSCA SOBERBA ZINCADO CABECA CHATA FENDA SIMPLES 3,2 X 20 MM (3/4 ")</v>
      </c>
      <c r="E2434" s="126" t="str">
        <f>IF(A2434="COMPOSIÇÃO",VLOOKUP(C2434,'SINAPI_COMPOSIÇÕES 062020'!A:C,3,FALSE),VLOOKUP(C2434,'SINAPI_INSUMOS 062020'!A:C,3,FALSE))</f>
        <v xml:space="preserve">UN    </v>
      </c>
      <c r="F2434" s="74">
        <v>4</v>
      </c>
      <c r="G2434" s="128">
        <f>IF(A2434="COMPOSIÇÃO",VLOOKUP(C2434,'SINAPI_COMPOSIÇÕES 062020'!A:D,4,FALSE),VLOOKUP(C2434,'SINAPI_INSUMOS 062020'!A:D,4,FALSE))</f>
        <v>0.02</v>
      </c>
      <c r="H2434" s="75">
        <f t="shared" si="186"/>
        <v>0.08</v>
      </c>
    </row>
    <row r="2435" spans="1:8" ht="25.5" x14ac:dyDescent="0.25">
      <c r="A2435" s="125" t="s">
        <v>400</v>
      </c>
      <c r="B2435" s="115" t="s">
        <v>9</v>
      </c>
      <c r="C2435" s="115">
        <v>4339</v>
      </c>
      <c r="D2435" s="127" t="str">
        <f>IF(A2435="COMPOSIÇÃO",VLOOKUP(C2435,'SINAPI_COMPOSIÇÕES 062020'!A:B,2,FALSE),VLOOKUP(C2435,'SINAPI_INSUMOS 062020'!A:B,2,FALSE))</f>
        <v>PORCA ZINCADA, SEXTAVADA, DIAMETRO 1/2"</v>
      </c>
      <c r="E2435" s="126" t="str">
        <f>IF(A2435="COMPOSIÇÃO",VLOOKUP(C2435,'SINAPI_COMPOSIÇÕES 062020'!A:C,3,FALSE),VLOOKUP(C2435,'SINAPI_INSUMOS 062020'!A:C,3,FALSE))</f>
        <v xml:space="preserve">UN    </v>
      </c>
      <c r="F2435" s="74">
        <v>4</v>
      </c>
      <c r="G2435" s="128">
        <f>IF(A2435="COMPOSIÇÃO",VLOOKUP(C2435,'SINAPI_COMPOSIÇÕES 062020'!A:D,4,FALSE),VLOOKUP(C2435,'SINAPI_INSUMOS 062020'!A:D,4,FALSE))</f>
        <v>0.37</v>
      </c>
      <c r="H2435" s="75">
        <f t="shared" si="186"/>
        <v>1.48</v>
      </c>
    </row>
    <row r="2436" spans="1:8" ht="38.25" x14ac:dyDescent="0.25">
      <c r="A2436" s="125" t="s">
        <v>400</v>
      </c>
      <c r="B2436" s="115" t="s">
        <v>9</v>
      </c>
      <c r="C2436" s="115">
        <v>13348</v>
      </c>
      <c r="D2436" s="127" t="str">
        <f>IF(A2436="COMPOSIÇÃO",VLOOKUP(C2436,'SINAPI_COMPOSIÇÕES 062020'!A:B,2,FALSE),VLOOKUP(C2436,'SINAPI_INSUMOS 062020'!A:B,2,FALSE))</f>
        <v>ARRUELA  EM ACO GALVANIZADO, DIAMETRO EXTERNO = 35MM, ESPESSURA = 3MM, DIAMETRO DO FURO= 18MM</v>
      </c>
      <c r="E2436" s="126" t="str">
        <f>IF(A2436="COMPOSIÇÃO",VLOOKUP(C2436,'SINAPI_COMPOSIÇÕES 062020'!A:C,3,FALSE),VLOOKUP(C2436,'SINAPI_INSUMOS 062020'!A:C,3,FALSE))</f>
        <v xml:space="preserve">UN    </v>
      </c>
      <c r="F2436" s="74">
        <v>4</v>
      </c>
      <c r="G2436" s="128">
        <f>IF(A2436="COMPOSIÇÃO",VLOOKUP(C2436,'SINAPI_COMPOSIÇÕES 062020'!A:D,4,FALSE),VLOOKUP(C2436,'SINAPI_INSUMOS 062020'!A:D,4,FALSE))</f>
        <v>0.65</v>
      </c>
      <c r="H2436" s="75">
        <f t="shared" si="186"/>
        <v>2.6</v>
      </c>
    </row>
    <row r="2437" spans="1:8" ht="38.25" x14ac:dyDescent="0.25">
      <c r="A2437" s="125" t="s">
        <v>11958</v>
      </c>
      <c r="B2437" s="115" t="s">
        <v>11959</v>
      </c>
      <c r="C2437" s="115" t="s">
        <v>11960</v>
      </c>
      <c r="D2437" s="194" t="str">
        <f>B2441</f>
        <v>COTOVELO RETO DE 90º PARA ELETROCALHA, ACABAMENTO PRÉ ZINCADO, DIMENSÃO: 150X100MM</v>
      </c>
      <c r="E2437" s="115" t="str">
        <f>H2441</f>
        <v>UND</v>
      </c>
      <c r="F2437" s="74">
        <v>1</v>
      </c>
      <c r="G2437" s="195">
        <f>H2444</f>
        <v>52.64</v>
      </c>
      <c r="H2437" s="75">
        <f t="shared" ref="H2437" si="187">TRUNC(G2437*F2437,2)</f>
        <v>52.64</v>
      </c>
    </row>
    <row r="2438" spans="1:8" ht="13.5" thickBot="1" x14ac:dyDescent="0.3">
      <c r="A2438" s="267" t="str">
        <f>CONCATENATE("TOTAL DO ÍTEM - ",A2428)</f>
        <v>TOTAL DO ÍTEM - MPMT-03439</v>
      </c>
      <c r="B2438" s="268"/>
      <c r="C2438" s="268"/>
      <c r="D2438" s="268"/>
      <c r="E2438" s="268"/>
      <c r="F2438" s="268"/>
      <c r="G2438" s="269"/>
      <c r="H2438" s="188">
        <f>TRUNC(SUM(H2432:H2437),2)</f>
        <v>69.38</v>
      </c>
    </row>
    <row r="2439" spans="1:8" ht="13.5" thickBot="1" x14ac:dyDescent="0.3">
      <c r="A2439" s="299" t="s">
        <v>12736</v>
      </c>
      <c r="B2439" s="300"/>
      <c r="C2439" s="300"/>
      <c r="D2439" s="300"/>
      <c r="E2439" s="300"/>
      <c r="F2439" s="300"/>
      <c r="G2439" s="300"/>
      <c r="H2439" s="301"/>
    </row>
    <row r="2440" spans="1:8" x14ac:dyDescent="0.25">
      <c r="A2440" s="196"/>
      <c r="B2440" s="292" t="s">
        <v>11962</v>
      </c>
      <c r="C2440" s="292"/>
      <c r="D2440" s="292"/>
      <c r="E2440" s="292"/>
      <c r="F2440" s="292"/>
      <c r="G2440" s="292"/>
      <c r="H2440" s="197" t="s">
        <v>11963</v>
      </c>
    </row>
    <row r="2441" spans="1:8" ht="13.5" thickBot="1" x14ac:dyDescent="0.3">
      <c r="A2441" s="234" t="s">
        <v>11960</v>
      </c>
      <c r="B2441" s="293" t="s">
        <v>12737</v>
      </c>
      <c r="C2441" s="293"/>
      <c r="D2441" s="293"/>
      <c r="E2441" s="293"/>
      <c r="F2441" s="293"/>
      <c r="G2441" s="293"/>
      <c r="H2441" s="235" t="s">
        <v>4</v>
      </c>
    </row>
    <row r="2442" spans="1:8" ht="25.5" x14ac:dyDescent="0.25">
      <c r="A2442" s="213" t="s">
        <v>11965</v>
      </c>
      <c r="B2442" s="241" t="s">
        <v>11966</v>
      </c>
      <c r="C2442" s="241" t="s">
        <v>11967</v>
      </c>
      <c r="D2442" s="241" t="s">
        <v>11968</v>
      </c>
      <c r="E2442" s="294" t="s">
        <v>11969</v>
      </c>
      <c r="F2442" s="294"/>
      <c r="G2442" s="241" t="s">
        <v>4</v>
      </c>
      <c r="H2442" s="214" t="s">
        <v>11970</v>
      </c>
    </row>
    <row r="2443" spans="1:8" x14ac:dyDescent="0.25">
      <c r="A2443" s="205">
        <v>44033</v>
      </c>
      <c r="B2443" s="206" t="s">
        <v>12429</v>
      </c>
      <c r="C2443" s="206" t="s">
        <v>12430</v>
      </c>
      <c r="D2443" s="206" t="s">
        <v>12738</v>
      </c>
      <c r="E2443" s="295" t="s">
        <v>12432</v>
      </c>
      <c r="F2443" s="295"/>
      <c r="G2443" s="115" t="s">
        <v>4</v>
      </c>
      <c r="H2443" s="208">
        <v>52.64</v>
      </c>
    </row>
    <row r="2444" spans="1:8" ht="13.5" thickBot="1" x14ac:dyDescent="0.3">
      <c r="A2444" s="296" t="s">
        <v>11981</v>
      </c>
      <c r="B2444" s="297"/>
      <c r="C2444" s="297"/>
      <c r="D2444" s="297"/>
      <c r="E2444" s="297"/>
      <c r="F2444" s="297"/>
      <c r="G2444" s="298"/>
      <c r="H2444" s="188">
        <f>TRUNC(MEDIAN(H2443:H2443),2)</f>
        <v>52.64</v>
      </c>
    </row>
    <row r="2445" spans="1:8" ht="13.5" thickBot="1" x14ac:dyDescent="0.3"/>
    <row r="2446" spans="1:8" ht="25.5" x14ac:dyDescent="0.25">
      <c r="A2446" s="120" t="s">
        <v>90</v>
      </c>
      <c r="B2446" s="286" t="s">
        <v>91</v>
      </c>
      <c r="C2446" s="287"/>
      <c r="D2446" s="287"/>
      <c r="E2446" s="287"/>
      <c r="F2446" s="287"/>
      <c r="G2446" s="288"/>
      <c r="H2446" s="121" t="s">
        <v>4</v>
      </c>
    </row>
    <row r="2447" spans="1:8" ht="13.5" thickBot="1" x14ac:dyDescent="0.3">
      <c r="A2447" s="113" t="s">
        <v>12739</v>
      </c>
      <c r="B2447" s="289" t="s">
        <v>12740</v>
      </c>
      <c r="C2447" s="290"/>
      <c r="D2447" s="290"/>
      <c r="E2447" s="290"/>
      <c r="F2447" s="290"/>
      <c r="G2447" s="291"/>
      <c r="H2447" s="114" t="s">
        <v>4</v>
      </c>
    </row>
    <row r="2448" spans="1:8" x14ac:dyDescent="0.25">
      <c r="A2448" s="273" t="s">
        <v>13834</v>
      </c>
      <c r="B2448" s="275" t="s">
        <v>92</v>
      </c>
      <c r="C2448" s="276"/>
      <c r="D2448" s="185" t="s">
        <v>12741</v>
      </c>
      <c r="E2448" s="239" t="s">
        <v>93</v>
      </c>
      <c r="F2448" s="186">
        <v>0</v>
      </c>
      <c r="G2448" s="277" t="s">
        <v>94</v>
      </c>
      <c r="H2448" s="278"/>
    </row>
    <row r="2449" spans="1:8" x14ac:dyDescent="0.25">
      <c r="A2449" s="274"/>
      <c r="B2449" s="281" t="s">
        <v>95</v>
      </c>
      <c r="C2449" s="282"/>
      <c r="D2449" s="187">
        <v>43389</v>
      </c>
      <c r="E2449" s="240" t="s">
        <v>96</v>
      </c>
      <c r="F2449" s="187">
        <v>43389</v>
      </c>
      <c r="G2449" s="279"/>
      <c r="H2449" s="280"/>
    </row>
    <row r="2450" spans="1:8" x14ac:dyDescent="0.25">
      <c r="A2450" s="122" t="s">
        <v>11885</v>
      </c>
      <c r="B2450" s="123" t="s">
        <v>97</v>
      </c>
      <c r="C2450" s="123" t="s">
        <v>98</v>
      </c>
      <c r="D2450" s="123" t="s">
        <v>3</v>
      </c>
      <c r="E2450" s="123" t="s">
        <v>4</v>
      </c>
      <c r="F2450" s="123" t="s">
        <v>99</v>
      </c>
      <c r="G2450" s="123" t="s">
        <v>100</v>
      </c>
      <c r="H2450" s="124" t="s">
        <v>101</v>
      </c>
    </row>
    <row r="2451" spans="1:8" ht="25.5" x14ac:dyDescent="0.25">
      <c r="A2451" s="125" t="s">
        <v>398</v>
      </c>
      <c r="B2451" s="115" t="s">
        <v>9</v>
      </c>
      <c r="C2451" s="115">
        <v>88316</v>
      </c>
      <c r="D2451" s="127" t="str">
        <f>IF(A2451="COMPOSIÇÃO",VLOOKUP(C2451,'SINAPI_COMPOSIÇÕES 062020'!A:B,2,FALSE),VLOOKUP(C2451,'SINAPI_INSUMOS 062020'!A:B,2,FALSE))</f>
        <v>SERVENTE COM ENCARGOS COMPLEMENTARES</v>
      </c>
      <c r="E2451" s="126" t="str">
        <f>IF(A2451="COMPOSIÇÃO",VLOOKUP(C2451,'SINAPI_COMPOSIÇÕES 062020'!A:C,3,FALSE),VLOOKUP(C2451,'SINAPI_INSUMOS 062020'!A:C,3,FALSE))</f>
        <v>H</v>
      </c>
      <c r="F2451" s="74">
        <v>0.2</v>
      </c>
      <c r="G2451" s="128">
        <f>IF(A2451="COMPOSIÇÃO",VLOOKUP(C2451,'SINAPI_COMPOSIÇÕES 062020'!A:D,4,FALSE),VLOOKUP(C2451,'SINAPI_INSUMOS 062020'!A:D,4,FALSE))</f>
        <v>14.37</v>
      </c>
      <c r="H2451" s="75">
        <f t="shared" ref="H2451:H2455" si="188">TRUNC(G2451*F2451,2)</f>
        <v>2.87</v>
      </c>
    </row>
    <row r="2452" spans="1:8" ht="25.5" x14ac:dyDescent="0.25">
      <c r="A2452" s="125" t="s">
        <v>398</v>
      </c>
      <c r="B2452" s="115" t="s">
        <v>9</v>
      </c>
      <c r="C2452" s="115">
        <v>88264</v>
      </c>
      <c r="D2452" s="127" t="str">
        <f>IF(A2452="COMPOSIÇÃO",VLOOKUP(C2452,'SINAPI_COMPOSIÇÕES 062020'!A:B,2,FALSE),VLOOKUP(C2452,'SINAPI_INSUMOS 062020'!A:B,2,FALSE))</f>
        <v>ELETRICISTA COM ENCARGOS COMPLEMENTARES</v>
      </c>
      <c r="E2452" s="126" t="str">
        <f>IF(A2452="COMPOSIÇÃO",VLOOKUP(C2452,'SINAPI_COMPOSIÇÕES 062020'!A:C,3,FALSE),VLOOKUP(C2452,'SINAPI_INSUMOS 062020'!A:C,3,FALSE))</f>
        <v>H</v>
      </c>
      <c r="F2452" s="74">
        <v>0.2</v>
      </c>
      <c r="G2452" s="128">
        <f>IF(A2452="COMPOSIÇÃO",VLOOKUP(C2452,'SINAPI_COMPOSIÇÕES 062020'!A:D,4,FALSE),VLOOKUP(C2452,'SINAPI_INSUMOS 062020'!A:D,4,FALSE))</f>
        <v>18.38</v>
      </c>
      <c r="H2452" s="75">
        <f t="shared" si="188"/>
        <v>3.67</v>
      </c>
    </row>
    <row r="2453" spans="1:8" ht="38.25" x14ac:dyDescent="0.25">
      <c r="A2453" s="125" t="s">
        <v>400</v>
      </c>
      <c r="B2453" s="115" t="s">
        <v>9</v>
      </c>
      <c r="C2453" s="115">
        <v>11054</v>
      </c>
      <c r="D2453" s="127" t="str">
        <f>IF(A2453="COMPOSIÇÃO",VLOOKUP(C2453,'SINAPI_COMPOSIÇÕES 062020'!A:B,2,FALSE),VLOOKUP(C2453,'SINAPI_INSUMOS 062020'!A:B,2,FALSE))</f>
        <v>PARAFUSO ROSCA SOBERBA ZINCADO CABECA CHATA FENDA SIMPLES 3,2 X 20 MM (3/4 ")</v>
      </c>
      <c r="E2453" s="126" t="str">
        <f>IF(A2453="COMPOSIÇÃO",VLOOKUP(C2453,'SINAPI_COMPOSIÇÕES 062020'!A:C,3,FALSE),VLOOKUP(C2453,'SINAPI_INSUMOS 062020'!A:C,3,FALSE))</f>
        <v xml:space="preserve">UN    </v>
      </c>
      <c r="F2453" s="74">
        <v>6</v>
      </c>
      <c r="G2453" s="128">
        <f>IF(A2453="COMPOSIÇÃO",VLOOKUP(C2453,'SINAPI_COMPOSIÇÕES 062020'!A:D,4,FALSE),VLOOKUP(C2453,'SINAPI_INSUMOS 062020'!A:D,4,FALSE))</f>
        <v>0.02</v>
      </c>
      <c r="H2453" s="75">
        <f t="shared" si="188"/>
        <v>0.12</v>
      </c>
    </row>
    <row r="2454" spans="1:8" ht="25.5" x14ac:dyDescent="0.25">
      <c r="A2454" s="125" t="s">
        <v>400</v>
      </c>
      <c r="B2454" s="115" t="s">
        <v>9</v>
      </c>
      <c r="C2454" s="115">
        <v>4339</v>
      </c>
      <c r="D2454" s="127" t="str">
        <f>IF(A2454="COMPOSIÇÃO",VLOOKUP(C2454,'SINAPI_COMPOSIÇÕES 062020'!A:B,2,FALSE),VLOOKUP(C2454,'SINAPI_INSUMOS 062020'!A:B,2,FALSE))</f>
        <v>PORCA ZINCADA, SEXTAVADA, DIAMETRO 1/2"</v>
      </c>
      <c r="E2454" s="126" t="str">
        <f>IF(A2454="COMPOSIÇÃO",VLOOKUP(C2454,'SINAPI_COMPOSIÇÕES 062020'!A:C,3,FALSE),VLOOKUP(C2454,'SINAPI_INSUMOS 062020'!A:C,3,FALSE))</f>
        <v xml:space="preserve">UN    </v>
      </c>
      <c r="F2454" s="74">
        <v>6</v>
      </c>
      <c r="G2454" s="128">
        <f>IF(A2454="COMPOSIÇÃO",VLOOKUP(C2454,'SINAPI_COMPOSIÇÕES 062020'!A:D,4,FALSE),VLOOKUP(C2454,'SINAPI_INSUMOS 062020'!A:D,4,FALSE))</f>
        <v>0.37</v>
      </c>
      <c r="H2454" s="75">
        <f t="shared" si="188"/>
        <v>2.2200000000000002</v>
      </c>
    </row>
    <row r="2455" spans="1:8" ht="38.25" x14ac:dyDescent="0.25">
      <c r="A2455" s="125" t="s">
        <v>400</v>
      </c>
      <c r="B2455" s="115" t="s">
        <v>9</v>
      </c>
      <c r="C2455" s="115">
        <v>13348</v>
      </c>
      <c r="D2455" s="127" t="str">
        <f>IF(A2455="COMPOSIÇÃO",VLOOKUP(C2455,'SINAPI_COMPOSIÇÕES 062020'!A:B,2,FALSE),VLOOKUP(C2455,'SINAPI_INSUMOS 062020'!A:B,2,FALSE))</f>
        <v>ARRUELA  EM ACO GALVANIZADO, DIAMETRO EXTERNO = 35MM, ESPESSURA = 3MM, DIAMETRO DO FURO= 18MM</v>
      </c>
      <c r="E2455" s="126" t="str">
        <f>IF(A2455="COMPOSIÇÃO",VLOOKUP(C2455,'SINAPI_COMPOSIÇÕES 062020'!A:C,3,FALSE),VLOOKUP(C2455,'SINAPI_INSUMOS 062020'!A:C,3,FALSE))</f>
        <v xml:space="preserve">UN    </v>
      </c>
      <c r="F2455" s="74">
        <v>6</v>
      </c>
      <c r="G2455" s="128">
        <f>IF(A2455="COMPOSIÇÃO",VLOOKUP(C2455,'SINAPI_COMPOSIÇÕES 062020'!A:D,4,FALSE),VLOOKUP(C2455,'SINAPI_INSUMOS 062020'!A:D,4,FALSE))</f>
        <v>0.65</v>
      </c>
      <c r="H2455" s="75">
        <f t="shared" si="188"/>
        <v>3.9</v>
      </c>
    </row>
    <row r="2456" spans="1:8" ht="38.25" x14ac:dyDescent="0.25">
      <c r="A2456" s="125" t="s">
        <v>11958</v>
      </c>
      <c r="B2456" s="115" t="s">
        <v>11959</v>
      </c>
      <c r="C2456" s="115" t="s">
        <v>11960</v>
      </c>
      <c r="D2456" s="194" t="str">
        <f>B2460</f>
        <v>TÊ HORIZONTAL DE 90º PARA ELETROCALHA, ACABAMENTO PRÉ ZINCADO, DIMENSÃO: 150X100MM</v>
      </c>
      <c r="E2456" s="115" t="str">
        <f>H2460</f>
        <v>UND</v>
      </c>
      <c r="F2456" s="74">
        <v>1</v>
      </c>
      <c r="G2456" s="195">
        <f>H2464</f>
        <v>47.71</v>
      </c>
      <c r="H2456" s="75">
        <f t="shared" ref="H2451:H2456" si="189">TRUNC(G2456*F2456,2)</f>
        <v>47.71</v>
      </c>
    </row>
    <row r="2457" spans="1:8" ht="13.5" thickBot="1" x14ac:dyDescent="0.3">
      <c r="A2457" s="267" t="str">
        <f>CONCATENATE("TOTAL DO ÍTEM - ",A2447)</f>
        <v>TOTAL DO ÍTEM - MPMT-03440</v>
      </c>
      <c r="B2457" s="268"/>
      <c r="C2457" s="268"/>
      <c r="D2457" s="268"/>
      <c r="E2457" s="268"/>
      <c r="F2457" s="268"/>
      <c r="G2457" s="269"/>
      <c r="H2457" s="188">
        <f>TRUNC(SUM(H2451:H2456),2)</f>
        <v>60.49</v>
      </c>
    </row>
    <row r="2458" spans="1:8" ht="13.5" thickBot="1" x14ac:dyDescent="0.3">
      <c r="A2458" s="299" t="s">
        <v>12742</v>
      </c>
      <c r="B2458" s="300"/>
      <c r="C2458" s="300"/>
      <c r="D2458" s="300"/>
      <c r="E2458" s="300"/>
      <c r="F2458" s="300"/>
      <c r="G2458" s="300"/>
      <c r="H2458" s="301"/>
    </row>
    <row r="2459" spans="1:8" x14ac:dyDescent="0.25">
      <c r="A2459" s="196"/>
      <c r="B2459" s="292" t="s">
        <v>11962</v>
      </c>
      <c r="C2459" s="292"/>
      <c r="D2459" s="292"/>
      <c r="E2459" s="292"/>
      <c r="F2459" s="292"/>
      <c r="G2459" s="292"/>
      <c r="H2459" s="197" t="s">
        <v>11963</v>
      </c>
    </row>
    <row r="2460" spans="1:8" ht="13.5" thickBot="1" x14ac:dyDescent="0.3">
      <c r="A2460" s="234" t="s">
        <v>11960</v>
      </c>
      <c r="B2460" s="293" t="s">
        <v>12743</v>
      </c>
      <c r="C2460" s="293"/>
      <c r="D2460" s="293"/>
      <c r="E2460" s="293"/>
      <c r="F2460" s="293"/>
      <c r="G2460" s="293"/>
      <c r="H2460" s="235" t="s">
        <v>4</v>
      </c>
    </row>
    <row r="2461" spans="1:8" ht="25.5" x14ac:dyDescent="0.25">
      <c r="A2461" s="213" t="s">
        <v>11965</v>
      </c>
      <c r="B2461" s="241" t="s">
        <v>11966</v>
      </c>
      <c r="C2461" s="241" t="s">
        <v>11967</v>
      </c>
      <c r="D2461" s="241" t="s">
        <v>11968</v>
      </c>
      <c r="E2461" s="294" t="s">
        <v>11969</v>
      </c>
      <c r="F2461" s="294"/>
      <c r="G2461" s="241" t="s">
        <v>4</v>
      </c>
      <c r="H2461" s="214" t="s">
        <v>11970</v>
      </c>
    </row>
    <row r="2462" spans="1:8" x14ac:dyDescent="0.25">
      <c r="A2462" s="205">
        <v>44033</v>
      </c>
      <c r="B2462" s="206" t="s">
        <v>12744</v>
      </c>
      <c r="C2462" s="206" t="s">
        <v>12745</v>
      </c>
      <c r="D2462" s="206" t="s">
        <v>12746</v>
      </c>
      <c r="E2462" s="295" t="s">
        <v>12747</v>
      </c>
      <c r="F2462" s="295"/>
      <c r="G2462" s="115" t="s">
        <v>4</v>
      </c>
      <c r="H2462" s="208">
        <v>27.2</v>
      </c>
    </row>
    <row r="2463" spans="1:8" x14ac:dyDescent="0.25">
      <c r="A2463" s="205">
        <v>44033</v>
      </c>
      <c r="B2463" s="206" t="s">
        <v>12429</v>
      </c>
      <c r="C2463" s="206" t="s">
        <v>12430</v>
      </c>
      <c r="D2463" s="206" t="s">
        <v>12738</v>
      </c>
      <c r="E2463" s="295" t="s">
        <v>12432</v>
      </c>
      <c r="F2463" s="295"/>
      <c r="G2463" s="115" t="s">
        <v>4</v>
      </c>
      <c r="H2463" s="208">
        <v>68.22</v>
      </c>
    </row>
    <row r="2464" spans="1:8" ht="13.5" thickBot="1" x14ac:dyDescent="0.3">
      <c r="A2464" s="296" t="s">
        <v>11981</v>
      </c>
      <c r="B2464" s="297"/>
      <c r="C2464" s="297"/>
      <c r="D2464" s="297"/>
      <c r="E2464" s="297"/>
      <c r="F2464" s="297"/>
      <c r="G2464" s="298"/>
      <c r="H2464" s="188">
        <f>TRUNC(MEDIAN(H2462:H2463),2)</f>
        <v>47.71</v>
      </c>
    </row>
    <row r="2465" spans="1:8" ht="13.5" thickBot="1" x14ac:dyDescent="0.3"/>
    <row r="2466" spans="1:8" ht="25.5" x14ac:dyDescent="0.25">
      <c r="A2466" s="120" t="s">
        <v>90</v>
      </c>
      <c r="B2466" s="286" t="s">
        <v>91</v>
      </c>
      <c r="C2466" s="287"/>
      <c r="D2466" s="287"/>
      <c r="E2466" s="287"/>
      <c r="F2466" s="287"/>
      <c r="G2466" s="288"/>
      <c r="H2466" s="121" t="s">
        <v>4</v>
      </c>
    </row>
    <row r="2467" spans="1:8" ht="13.5" thickBot="1" x14ac:dyDescent="0.3">
      <c r="A2467" s="113" t="s">
        <v>12748</v>
      </c>
      <c r="B2467" s="289" t="s">
        <v>12749</v>
      </c>
      <c r="C2467" s="290"/>
      <c r="D2467" s="290"/>
      <c r="E2467" s="290"/>
      <c r="F2467" s="290"/>
      <c r="G2467" s="291"/>
      <c r="H2467" s="114" t="s">
        <v>4</v>
      </c>
    </row>
    <row r="2468" spans="1:8" x14ac:dyDescent="0.25">
      <c r="A2468" s="273" t="s">
        <v>13834</v>
      </c>
      <c r="B2468" s="275" t="s">
        <v>92</v>
      </c>
      <c r="C2468" s="276"/>
      <c r="D2468" s="185" t="s">
        <v>12750</v>
      </c>
      <c r="E2468" s="239" t="s">
        <v>93</v>
      </c>
      <c r="F2468" s="186">
        <v>0</v>
      </c>
      <c r="G2468" s="277" t="s">
        <v>94</v>
      </c>
      <c r="H2468" s="278"/>
    </row>
    <row r="2469" spans="1:8" x14ac:dyDescent="0.25">
      <c r="A2469" s="274"/>
      <c r="B2469" s="281" t="s">
        <v>95</v>
      </c>
      <c r="C2469" s="282"/>
      <c r="D2469" s="187">
        <v>43389</v>
      </c>
      <c r="E2469" s="240" t="s">
        <v>96</v>
      </c>
      <c r="F2469" s="187">
        <v>43389</v>
      </c>
      <c r="G2469" s="279"/>
      <c r="H2469" s="280"/>
    </row>
    <row r="2470" spans="1:8" x14ac:dyDescent="0.25">
      <c r="A2470" s="122" t="s">
        <v>11885</v>
      </c>
      <c r="B2470" s="123" t="s">
        <v>97</v>
      </c>
      <c r="C2470" s="123" t="s">
        <v>98</v>
      </c>
      <c r="D2470" s="123" t="s">
        <v>3</v>
      </c>
      <c r="E2470" s="123" t="s">
        <v>4</v>
      </c>
      <c r="F2470" s="123" t="s">
        <v>99</v>
      </c>
      <c r="G2470" s="123" t="s">
        <v>100</v>
      </c>
      <c r="H2470" s="124" t="s">
        <v>101</v>
      </c>
    </row>
    <row r="2471" spans="1:8" ht="25.5" x14ac:dyDescent="0.25">
      <c r="A2471" s="125" t="s">
        <v>398</v>
      </c>
      <c r="B2471" s="115" t="s">
        <v>9</v>
      </c>
      <c r="C2471" s="115">
        <v>88264</v>
      </c>
      <c r="D2471" s="127" t="str">
        <f>IF(A2471="COMPOSIÇÃO",VLOOKUP(C2471,'SINAPI_COMPOSIÇÕES 062020'!A:B,2,FALSE),VLOOKUP(C2471,'SINAPI_INSUMOS 062020'!A:B,2,FALSE))</f>
        <v>ELETRICISTA COM ENCARGOS COMPLEMENTARES</v>
      </c>
      <c r="E2471" s="126" t="str">
        <f>IF(A2471="COMPOSIÇÃO",VLOOKUP(C2471,'SINAPI_COMPOSIÇÕES 062020'!A:C,3,FALSE),VLOOKUP(C2471,'SINAPI_INSUMOS 062020'!A:C,3,FALSE))</f>
        <v>H</v>
      </c>
      <c r="F2471" s="74">
        <v>0.4</v>
      </c>
      <c r="G2471" s="128">
        <f>IF(A2471="COMPOSIÇÃO",VLOOKUP(C2471,'SINAPI_COMPOSIÇÕES 062020'!A:D,4,FALSE),VLOOKUP(C2471,'SINAPI_INSUMOS 062020'!A:D,4,FALSE))</f>
        <v>18.38</v>
      </c>
      <c r="H2471" s="75">
        <f t="shared" ref="H2471:H2475" si="190">TRUNC(G2471*F2471,2)</f>
        <v>7.35</v>
      </c>
    </row>
    <row r="2472" spans="1:8" ht="25.5" x14ac:dyDescent="0.25">
      <c r="A2472" s="125" t="s">
        <v>398</v>
      </c>
      <c r="B2472" s="115" t="s">
        <v>9</v>
      </c>
      <c r="C2472" s="115">
        <v>88247</v>
      </c>
      <c r="D2472" s="127" t="str">
        <f>IF(A2472="COMPOSIÇÃO",VLOOKUP(C2472,'SINAPI_COMPOSIÇÕES 062020'!A:B,2,FALSE),VLOOKUP(C2472,'SINAPI_INSUMOS 062020'!A:B,2,FALSE))</f>
        <v>AUXILIAR DE ELETRICISTA COM ENCARGOS COMPLEMENTARES</v>
      </c>
      <c r="E2472" s="126" t="str">
        <f>IF(A2472="COMPOSIÇÃO",VLOOKUP(C2472,'SINAPI_COMPOSIÇÕES 062020'!A:C,3,FALSE),VLOOKUP(C2472,'SINAPI_INSUMOS 062020'!A:C,3,FALSE))</f>
        <v>H</v>
      </c>
      <c r="F2472" s="74">
        <v>0.4</v>
      </c>
      <c r="G2472" s="128">
        <f>IF(A2472="COMPOSIÇÃO",VLOOKUP(C2472,'SINAPI_COMPOSIÇÕES 062020'!A:D,4,FALSE),VLOOKUP(C2472,'SINAPI_INSUMOS 062020'!A:D,4,FALSE))</f>
        <v>14.33</v>
      </c>
      <c r="H2472" s="75">
        <f t="shared" si="190"/>
        <v>5.73</v>
      </c>
    </row>
    <row r="2473" spans="1:8" ht="38.25" x14ac:dyDescent="0.25">
      <c r="A2473" s="125" t="s">
        <v>400</v>
      </c>
      <c r="B2473" s="115" t="s">
        <v>9</v>
      </c>
      <c r="C2473" s="115">
        <v>11054</v>
      </c>
      <c r="D2473" s="127" t="str">
        <f>IF(A2473="COMPOSIÇÃO",VLOOKUP(C2473,'SINAPI_COMPOSIÇÕES 062020'!A:B,2,FALSE),VLOOKUP(C2473,'SINAPI_INSUMOS 062020'!A:B,2,FALSE))</f>
        <v>PARAFUSO ROSCA SOBERBA ZINCADO CABECA CHATA FENDA SIMPLES 3,2 X 20 MM (3/4 ")</v>
      </c>
      <c r="E2473" s="126" t="str">
        <f>IF(A2473="COMPOSIÇÃO",VLOOKUP(C2473,'SINAPI_COMPOSIÇÕES 062020'!A:C,3,FALSE),VLOOKUP(C2473,'SINAPI_INSUMOS 062020'!A:C,3,FALSE))</f>
        <v xml:space="preserve">UN    </v>
      </c>
      <c r="F2473" s="74">
        <v>4</v>
      </c>
      <c r="G2473" s="128">
        <f>IF(A2473="COMPOSIÇÃO",VLOOKUP(C2473,'SINAPI_COMPOSIÇÕES 062020'!A:D,4,FALSE),VLOOKUP(C2473,'SINAPI_INSUMOS 062020'!A:D,4,FALSE))</f>
        <v>0.02</v>
      </c>
      <c r="H2473" s="75">
        <f t="shared" si="190"/>
        <v>0.08</v>
      </c>
    </row>
    <row r="2474" spans="1:8" ht="25.5" x14ac:dyDescent="0.25">
      <c r="A2474" s="125" t="s">
        <v>400</v>
      </c>
      <c r="B2474" s="115" t="s">
        <v>9</v>
      </c>
      <c r="C2474" s="115">
        <v>4339</v>
      </c>
      <c r="D2474" s="127" t="str">
        <f>IF(A2474="COMPOSIÇÃO",VLOOKUP(C2474,'SINAPI_COMPOSIÇÕES 062020'!A:B,2,FALSE),VLOOKUP(C2474,'SINAPI_INSUMOS 062020'!A:B,2,FALSE))</f>
        <v>PORCA ZINCADA, SEXTAVADA, DIAMETRO 1/2"</v>
      </c>
      <c r="E2474" s="126" t="str">
        <f>IF(A2474="COMPOSIÇÃO",VLOOKUP(C2474,'SINAPI_COMPOSIÇÕES 062020'!A:C,3,FALSE),VLOOKUP(C2474,'SINAPI_INSUMOS 062020'!A:C,3,FALSE))</f>
        <v xml:space="preserve">UN    </v>
      </c>
      <c r="F2474" s="74">
        <v>4</v>
      </c>
      <c r="G2474" s="128">
        <f>IF(A2474="COMPOSIÇÃO",VLOOKUP(C2474,'SINAPI_COMPOSIÇÕES 062020'!A:D,4,FALSE),VLOOKUP(C2474,'SINAPI_INSUMOS 062020'!A:D,4,FALSE))</f>
        <v>0.37</v>
      </c>
      <c r="H2474" s="75">
        <f t="shared" si="190"/>
        <v>1.48</v>
      </c>
    </row>
    <row r="2475" spans="1:8" ht="38.25" x14ac:dyDescent="0.25">
      <c r="A2475" s="125" t="s">
        <v>400</v>
      </c>
      <c r="B2475" s="115" t="s">
        <v>9</v>
      </c>
      <c r="C2475" s="115">
        <v>13348</v>
      </c>
      <c r="D2475" s="127" t="str">
        <f>IF(A2475="COMPOSIÇÃO",VLOOKUP(C2475,'SINAPI_COMPOSIÇÕES 062020'!A:B,2,FALSE),VLOOKUP(C2475,'SINAPI_INSUMOS 062020'!A:B,2,FALSE))</f>
        <v>ARRUELA  EM ACO GALVANIZADO, DIAMETRO EXTERNO = 35MM, ESPESSURA = 3MM, DIAMETRO DO FURO= 18MM</v>
      </c>
      <c r="E2475" s="126" t="str">
        <f>IF(A2475="COMPOSIÇÃO",VLOOKUP(C2475,'SINAPI_COMPOSIÇÕES 062020'!A:C,3,FALSE),VLOOKUP(C2475,'SINAPI_INSUMOS 062020'!A:C,3,FALSE))</f>
        <v xml:space="preserve">UN    </v>
      </c>
      <c r="F2475" s="74">
        <v>4</v>
      </c>
      <c r="G2475" s="128">
        <f>IF(A2475="COMPOSIÇÃO",VLOOKUP(C2475,'SINAPI_COMPOSIÇÕES 062020'!A:D,4,FALSE),VLOOKUP(C2475,'SINAPI_INSUMOS 062020'!A:D,4,FALSE))</f>
        <v>0.65</v>
      </c>
      <c r="H2475" s="75">
        <f t="shared" si="190"/>
        <v>2.6</v>
      </c>
    </row>
    <row r="2476" spans="1:8" ht="38.25" x14ac:dyDescent="0.25">
      <c r="A2476" s="125" t="s">
        <v>11958</v>
      </c>
      <c r="B2476" s="115" t="s">
        <v>11959</v>
      </c>
      <c r="C2476" s="115" t="s">
        <v>11960</v>
      </c>
      <c r="D2476" s="194" t="str">
        <f>B2480</f>
        <v>CURVA DE INVERSÃO PARA ELETROCALHA, ACABAMENTO PRÉ ZINCADO, DIMENSÃO: 150X100MM</v>
      </c>
      <c r="E2476" s="115" t="str">
        <f>H2480</f>
        <v>UND</v>
      </c>
      <c r="F2476" s="74">
        <v>1</v>
      </c>
      <c r="G2476" s="195">
        <f>H2483</f>
        <v>58.47</v>
      </c>
      <c r="H2476" s="75">
        <f t="shared" ref="H2471:H2476" si="191">TRUNC(G2476*F2476,2)</f>
        <v>58.47</v>
      </c>
    </row>
    <row r="2477" spans="1:8" ht="13.5" thickBot="1" x14ac:dyDescent="0.3">
      <c r="A2477" s="267" t="str">
        <f>CONCATENATE("TOTAL DO ÍTEM - ",A2467)</f>
        <v>TOTAL DO ÍTEM - MPMT-03441</v>
      </c>
      <c r="B2477" s="268"/>
      <c r="C2477" s="268"/>
      <c r="D2477" s="268"/>
      <c r="E2477" s="268"/>
      <c r="F2477" s="268"/>
      <c r="G2477" s="269"/>
      <c r="H2477" s="188">
        <f>TRUNC(SUM(H2471:H2476),2)</f>
        <v>75.709999999999994</v>
      </c>
    </row>
    <row r="2478" spans="1:8" ht="13.5" thickBot="1" x14ac:dyDescent="0.3">
      <c r="A2478" s="299" t="s">
        <v>12751</v>
      </c>
      <c r="B2478" s="300"/>
      <c r="C2478" s="300"/>
      <c r="D2478" s="300"/>
      <c r="E2478" s="300"/>
      <c r="F2478" s="300"/>
      <c r="G2478" s="300"/>
      <c r="H2478" s="301"/>
    </row>
    <row r="2479" spans="1:8" x14ac:dyDescent="0.25">
      <c r="A2479" s="196"/>
      <c r="B2479" s="292" t="s">
        <v>11962</v>
      </c>
      <c r="C2479" s="292"/>
      <c r="D2479" s="292"/>
      <c r="E2479" s="292"/>
      <c r="F2479" s="292"/>
      <c r="G2479" s="292"/>
      <c r="H2479" s="197" t="s">
        <v>11963</v>
      </c>
    </row>
    <row r="2480" spans="1:8" ht="13.5" thickBot="1" x14ac:dyDescent="0.3">
      <c r="A2480" s="234" t="s">
        <v>11960</v>
      </c>
      <c r="B2480" s="293" t="s">
        <v>12752</v>
      </c>
      <c r="C2480" s="293"/>
      <c r="D2480" s="293"/>
      <c r="E2480" s="293"/>
      <c r="F2480" s="293"/>
      <c r="G2480" s="293"/>
      <c r="H2480" s="235" t="s">
        <v>4</v>
      </c>
    </row>
    <row r="2481" spans="1:8" ht="25.5" x14ac:dyDescent="0.25">
      <c r="A2481" s="213" t="s">
        <v>11965</v>
      </c>
      <c r="B2481" s="241" t="s">
        <v>11966</v>
      </c>
      <c r="C2481" s="241" t="s">
        <v>11967</v>
      </c>
      <c r="D2481" s="241" t="s">
        <v>11968</v>
      </c>
      <c r="E2481" s="294" t="s">
        <v>11969</v>
      </c>
      <c r="F2481" s="294"/>
      <c r="G2481" s="241" t="s">
        <v>4</v>
      </c>
      <c r="H2481" s="214" t="s">
        <v>11970</v>
      </c>
    </row>
    <row r="2482" spans="1:8" x14ac:dyDescent="0.25">
      <c r="A2482" s="205">
        <v>44033</v>
      </c>
      <c r="B2482" s="206" t="s">
        <v>12429</v>
      </c>
      <c r="C2482" s="206" t="s">
        <v>12430</v>
      </c>
      <c r="D2482" s="206" t="s">
        <v>12738</v>
      </c>
      <c r="E2482" s="295" t="s">
        <v>12432</v>
      </c>
      <c r="F2482" s="295"/>
      <c r="G2482" s="115" t="s">
        <v>4</v>
      </c>
      <c r="H2482" s="208">
        <v>58.47</v>
      </c>
    </row>
    <row r="2483" spans="1:8" ht="13.5" thickBot="1" x14ac:dyDescent="0.3">
      <c r="A2483" s="296" t="s">
        <v>11981</v>
      </c>
      <c r="B2483" s="297"/>
      <c r="C2483" s="297"/>
      <c r="D2483" s="297"/>
      <c r="E2483" s="297"/>
      <c r="F2483" s="297"/>
      <c r="G2483" s="298"/>
      <c r="H2483" s="188">
        <f>TRUNC(MEDIAN(H2482:H2482),2)</f>
        <v>58.47</v>
      </c>
    </row>
    <row r="2484" spans="1:8" ht="13.5" thickBot="1" x14ac:dyDescent="0.3"/>
    <row r="2485" spans="1:8" ht="25.5" x14ac:dyDescent="0.25">
      <c r="A2485" s="120" t="s">
        <v>90</v>
      </c>
      <c r="B2485" s="286" t="s">
        <v>91</v>
      </c>
      <c r="C2485" s="287"/>
      <c r="D2485" s="287"/>
      <c r="E2485" s="287"/>
      <c r="F2485" s="287"/>
      <c r="G2485" s="288"/>
      <c r="H2485" s="121" t="s">
        <v>4</v>
      </c>
    </row>
    <row r="2486" spans="1:8" ht="13.5" thickBot="1" x14ac:dyDescent="0.3">
      <c r="A2486" s="113" t="s">
        <v>12753</v>
      </c>
      <c r="B2486" s="289" t="s">
        <v>12754</v>
      </c>
      <c r="C2486" s="290"/>
      <c r="D2486" s="290"/>
      <c r="E2486" s="290"/>
      <c r="F2486" s="290"/>
      <c r="G2486" s="291"/>
      <c r="H2486" s="114" t="s">
        <v>4</v>
      </c>
    </row>
    <row r="2487" spans="1:8" x14ac:dyDescent="0.25">
      <c r="A2487" s="273" t="s">
        <v>13834</v>
      </c>
      <c r="B2487" s="275" t="s">
        <v>92</v>
      </c>
      <c r="C2487" s="276"/>
      <c r="D2487" s="185" t="s">
        <v>12755</v>
      </c>
      <c r="E2487" s="239" t="s">
        <v>93</v>
      </c>
      <c r="F2487" s="186">
        <v>0</v>
      </c>
      <c r="G2487" s="277" t="s">
        <v>94</v>
      </c>
      <c r="H2487" s="278"/>
    </row>
    <row r="2488" spans="1:8" x14ac:dyDescent="0.25">
      <c r="A2488" s="274"/>
      <c r="B2488" s="281" t="s">
        <v>95</v>
      </c>
      <c r="C2488" s="282"/>
      <c r="D2488" s="187">
        <v>43388</v>
      </c>
      <c r="E2488" s="240" t="s">
        <v>96</v>
      </c>
      <c r="F2488" s="187">
        <v>43388</v>
      </c>
      <c r="G2488" s="279"/>
      <c r="H2488" s="280"/>
    </row>
    <row r="2489" spans="1:8" x14ac:dyDescent="0.25">
      <c r="A2489" s="122" t="s">
        <v>11885</v>
      </c>
      <c r="B2489" s="123" t="s">
        <v>97</v>
      </c>
      <c r="C2489" s="123" t="s">
        <v>98</v>
      </c>
      <c r="D2489" s="123" t="s">
        <v>3</v>
      </c>
      <c r="E2489" s="123" t="s">
        <v>4</v>
      </c>
      <c r="F2489" s="123" t="s">
        <v>99</v>
      </c>
      <c r="G2489" s="123" t="s">
        <v>100</v>
      </c>
      <c r="H2489" s="124" t="s">
        <v>101</v>
      </c>
    </row>
    <row r="2490" spans="1:8" ht="25.5" x14ac:dyDescent="0.25">
      <c r="A2490" s="125" t="s">
        <v>398</v>
      </c>
      <c r="B2490" s="115" t="s">
        <v>9</v>
      </c>
      <c r="C2490" s="115">
        <v>88264</v>
      </c>
      <c r="D2490" s="127" t="str">
        <f>IF(A2490="COMPOSIÇÃO",VLOOKUP(C2490,'SINAPI_COMPOSIÇÕES 062020'!A:B,2,FALSE),VLOOKUP(C2490,'SINAPI_INSUMOS 062020'!A:B,2,FALSE))</f>
        <v>ELETRICISTA COM ENCARGOS COMPLEMENTARES</v>
      </c>
      <c r="E2490" s="126" t="str">
        <f>IF(A2490="COMPOSIÇÃO",VLOOKUP(C2490,'SINAPI_COMPOSIÇÕES 062020'!A:C,3,FALSE),VLOOKUP(C2490,'SINAPI_INSUMOS 062020'!A:C,3,FALSE))</f>
        <v>H</v>
      </c>
      <c r="F2490" s="74">
        <v>0.12</v>
      </c>
      <c r="G2490" s="128">
        <f>IF(A2490="COMPOSIÇÃO",VLOOKUP(C2490,'SINAPI_COMPOSIÇÕES 062020'!A:D,4,FALSE),VLOOKUP(C2490,'SINAPI_INSUMOS 062020'!A:D,4,FALSE))</f>
        <v>18.38</v>
      </c>
      <c r="H2490" s="75">
        <f t="shared" ref="H2490:H2492" si="192">TRUNC(G2490*F2490,2)</f>
        <v>2.2000000000000002</v>
      </c>
    </row>
    <row r="2491" spans="1:8" ht="25.5" x14ac:dyDescent="0.25">
      <c r="A2491" s="125" t="s">
        <v>398</v>
      </c>
      <c r="B2491" s="115" t="s">
        <v>9</v>
      </c>
      <c r="C2491" s="115">
        <v>88316</v>
      </c>
      <c r="D2491" s="127" t="str">
        <f>IF(A2491="COMPOSIÇÃO",VLOOKUP(C2491,'SINAPI_COMPOSIÇÕES 062020'!A:B,2,FALSE),VLOOKUP(C2491,'SINAPI_INSUMOS 062020'!A:B,2,FALSE))</f>
        <v>SERVENTE COM ENCARGOS COMPLEMENTARES</v>
      </c>
      <c r="E2491" s="126" t="str">
        <f>IF(A2491="COMPOSIÇÃO",VLOOKUP(C2491,'SINAPI_COMPOSIÇÕES 062020'!A:C,3,FALSE),VLOOKUP(C2491,'SINAPI_INSUMOS 062020'!A:C,3,FALSE))</f>
        <v>H</v>
      </c>
      <c r="F2491" s="74">
        <v>0.12</v>
      </c>
      <c r="G2491" s="128">
        <f>IF(A2491="COMPOSIÇÃO",VLOOKUP(C2491,'SINAPI_COMPOSIÇÕES 062020'!A:D,4,FALSE),VLOOKUP(C2491,'SINAPI_INSUMOS 062020'!A:D,4,FALSE))</f>
        <v>14.37</v>
      </c>
      <c r="H2491" s="75">
        <f t="shared" si="192"/>
        <v>1.72</v>
      </c>
    </row>
    <row r="2492" spans="1:8" ht="25.5" x14ac:dyDescent="0.25">
      <c r="A2492" s="125" t="s">
        <v>400</v>
      </c>
      <c r="B2492" s="115" t="s">
        <v>9</v>
      </c>
      <c r="C2492" s="115">
        <v>39207</v>
      </c>
      <c r="D2492" s="127" t="str">
        <f>IF(A2492="COMPOSIÇÃO",VLOOKUP(C2492,'SINAPI_COMPOSIÇÕES 062020'!A:B,2,FALSE),VLOOKUP(C2492,'SINAPI_INSUMOS 062020'!A:B,2,FALSE))</f>
        <v>ARRUELA EM ALUMINIO, COM ROSCA, DE 3/8", PARA ELETRODUTO</v>
      </c>
      <c r="E2492" s="126" t="str">
        <f>IF(A2492="COMPOSIÇÃO",VLOOKUP(C2492,'SINAPI_COMPOSIÇÕES 062020'!A:C,3,FALSE),VLOOKUP(C2492,'SINAPI_INSUMOS 062020'!A:C,3,FALSE))</f>
        <v xml:space="preserve">UN    </v>
      </c>
      <c r="F2492" s="74">
        <v>2</v>
      </c>
      <c r="G2492" s="128">
        <f>IF(A2492="COMPOSIÇÃO",VLOOKUP(C2492,'SINAPI_COMPOSIÇÕES 062020'!A:D,4,FALSE),VLOOKUP(C2492,'SINAPI_INSUMOS 062020'!A:D,4,FALSE))</f>
        <v>0.56999999999999995</v>
      </c>
      <c r="H2492" s="75">
        <f t="shared" si="192"/>
        <v>1.1399999999999999</v>
      </c>
    </row>
    <row r="2493" spans="1:8" x14ac:dyDescent="0.25">
      <c r="A2493" s="125" t="s">
        <v>11958</v>
      </c>
      <c r="B2493" s="115" t="s">
        <v>11959</v>
      </c>
      <c r="C2493" s="115" t="s">
        <v>11960</v>
      </c>
      <c r="D2493" s="194" t="str">
        <f>B2497</f>
        <v>SAÍDA HORIZONTAL PARA ELETRODUTO, 1"</v>
      </c>
      <c r="E2493" s="115" t="str">
        <f>H2497</f>
        <v>UND</v>
      </c>
      <c r="F2493" s="74">
        <v>1</v>
      </c>
      <c r="G2493" s="195">
        <f>H2502</f>
        <v>1.55</v>
      </c>
      <c r="H2493" s="75">
        <f>TRUNC(G2493*F2493,2)</f>
        <v>1.55</v>
      </c>
    </row>
    <row r="2494" spans="1:8" ht="13.5" thickBot="1" x14ac:dyDescent="0.3">
      <c r="A2494" s="267" t="str">
        <f>CONCATENATE("TOTAL DO ÍTEM - ",A2486)</f>
        <v>TOTAL DO ÍTEM - MPMT-03290</v>
      </c>
      <c r="B2494" s="268"/>
      <c r="C2494" s="268"/>
      <c r="D2494" s="268"/>
      <c r="E2494" s="268"/>
      <c r="F2494" s="268"/>
      <c r="G2494" s="269"/>
      <c r="H2494" s="188">
        <f>TRUNC(SUM(H2490:H2493),2)</f>
        <v>6.61</v>
      </c>
    </row>
    <row r="2495" spans="1:8" ht="13.5" thickBot="1" x14ac:dyDescent="0.3">
      <c r="A2495" s="299" t="s">
        <v>12756</v>
      </c>
      <c r="B2495" s="300"/>
      <c r="C2495" s="300"/>
      <c r="D2495" s="300"/>
      <c r="E2495" s="300"/>
      <c r="F2495" s="300"/>
      <c r="G2495" s="300"/>
      <c r="H2495" s="301"/>
    </row>
    <row r="2496" spans="1:8" x14ac:dyDescent="0.25">
      <c r="A2496" s="196"/>
      <c r="B2496" s="292" t="s">
        <v>11962</v>
      </c>
      <c r="C2496" s="292"/>
      <c r="D2496" s="292"/>
      <c r="E2496" s="292"/>
      <c r="F2496" s="292"/>
      <c r="G2496" s="292"/>
      <c r="H2496" s="197" t="s">
        <v>11963</v>
      </c>
    </row>
    <row r="2497" spans="1:8" ht="13.5" thickBot="1" x14ac:dyDescent="0.3">
      <c r="A2497" s="234" t="s">
        <v>11960</v>
      </c>
      <c r="B2497" s="293" t="s">
        <v>12757</v>
      </c>
      <c r="C2497" s="293"/>
      <c r="D2497" s="293"/>
      <c r="E2497" s="293"/>
      <c r="F2497" s="293"/>
      <c r="G2497" s="293"/>
      <c r="H2497" s="235" t="s">
        <v>4</v>
      </c>
    </row>
    <row r="2498" spans="1:8" ht="25.5" x14ac:dyDescent="0.25">
      <c r="A2498" s="213" t="s">
        <v>11965</v>
      </c>
      <c r="B2498" s="241" t="s">
        <v>11966</v>
      </c>
      <c r="C2498" s="241" t="s">
        <v>11967</v>
      </c>
      <c r="D2498" s="241" t="s">
        <v>11968</v>
      </c>
      <c r="E2498" s="294" t="s">
        <v>11969</v>
      </c>
      <c r="F2498" s="294"/>
      <c r="G2498" s="241" t="s">
        <v>4</v>
      </c>
      <c r="H2498" s="214" t="s">
        <v>11970</v>
      </c>
    </row>
    <row r="2499" spans="1:8" x14ac:dyDescent="0.25">
      <c r="A2499" s="205">
        <v>43663</v>
      </c>
      <c r="B2499" s="206" t="s">
        <v>12418</v>
      </c>
      <c r="C2499" s="206" t="s">
        <v>12419</v>
      </c>
      <c r="D2499" s="206" t="s">
        <v>12420</v>
      </c>
      <c r="E2499" s="306" t="s">
        <v>12421</v>
      </c>
      <c r="F2499" s="306"/>
      <c r="G2499" s="115" t="s">
        <v>4</v>
      </c>
      <c r="H2499" s="218">
        <v>4.0999999999999996</v>
      </c>
    </row>
    <row r="2500" spans="1:8" x14ac:dyDescent="0.25">
      <c r="A2500" s="205">
        <v>43663</v>
      </c>
      <c r="B2500" s="206" t="s">
        <v>12422</v>
      </c>
      <c r="C2500" s="206"/>
      <c r="D2500" s="206" t="s">
        <v>12423</v>
      </c>
      <c r="E2500" s="295"/>
      <c r="F2500" s="295"/>
      <c r="G2500" s="115" t="s">
        <v>4</v>
      </c>
      <c r="H2500" s="208">
        <v>1.1000000000000001</v>
      </c>
    </row>
    <row r="2501" spans="1:8" x14ac:dyDescent="0.25">
      <c r="A2501" s="205">
        <v>43668</v>
      </c>
      <c r="B2501" s="206" t="s">
        <v>12424</v>
      </c>
      <c r="C2501" s="206" t="s">
        <v>12450</v>
      </c>
      <c r="D2501" s="206" t="s">
        <v>12425</v>
      </c>
      <c r="E2501" s="295" t="s">
        <v>12451</v>
      </c>
      <c r="F2501" s="295"/>
      <c r="G2501" s="115" t="s">
        <v>4</v>
      </c>
      <c r="H2501" s="208">
        <v>1.55</v>
      </c>
    </row>
    <row r="2502" spans="1:8" ht="13.5" thickBot="1" x14ac:dyDescent="0.3">
      <c r="A2502" s="296" t="s">
        <v>11981</v>
      </c>
      <c r="B2502" s="297"/>
      <c r="C2502" s="297"/>
      <c r="D2502" s="297"/>
      <c r="E2502" s="297"/>
      <c r="F2502" s="297"/>
      <c r="G2502" s="298"/>
      <c r="H2502" s="188">
        <f>TRUNC(MEDIAN(H2499:H2501),2)</f>
        <v>1.55</v>
      </c>
    </row>
    <row r="2503" spans="1:8" ht="13.5" thickBot="1" x14ac:dyDescent="0.3"/>
    <row r="2504" spans="1:8" ht="25.5" x14ac:dyDescent="0.25">
      <c r="A2504" s="120" t="s">
        <v>90</v>
      </c>
      <c r="B2504" s="286" t="s">
        <v>91</v>
      </c>
      <c r="C2504" s="287"/>
      <c r="D2504" s="287"/>
      <c r="E2504" s="287"/>
      <c r="F2504" s="287"/>
      <c r="G2504" s="288"/>
      <c r="H2504" s="121" t="s">
        <v>4</v>
      </c>
    </row>
    <row r="2505" spans="1:8" ht="13.5" thickBot="1" x14ac:dyDescent="0.3">
      <c r="A2505" s="113" t="s">
        <v>12758</v>
      </c>
      <c r="B2505" s="289" t="s">
        <v>12759</v>
      </c>
      <c r="C2505" s="290"/>
      <c r="D2505" s="290"/>
      <c r="E2505" s="290"/>
      <c r="F2505" s="290"/>
      <c r="G2505" s="291"/>
      <c r="H2505" s="114" t="s">
        <v>4</v>
      </c>
    </row>
    <row r="2506" spans="1:8" x14ac:dyDescent="0.25">
      <c r="A2506" s="273" t="s">
        <v>13834</v>
      </c>
      <c r="B2506" s="275" t="s">
        <v>92</v>
      </c>
      <c r="C2506" s="276"/>
      <c r="D2506" s="185" t="s">
        <v>12760</v>
      </c>
      <c r="E2506" s="239" t="s">
        <v>93</v>
      </c>
      <c r="F2506" s="186">
        <v>0</v>
      </c>
      <c r="G2506" s="277" t="s">
        <v>94</v>
      </c>
      <c r="H2506" s="278"/>
    </row>
    <row r="2507" spans="1:8" x14ac:dyDescent="0.25">
      <c r="A2507" s="274"/>
      <c r="B2507" s="281" t="s">
        <v>95</v>
      </c>
      <c r="C2507" s="282"/>
      <c r="D2507" s="230">
        <v>43878</v>
      </c>
      <c r="E2507" s="240" t="s">
        <v>96</v>
      </c>
      <c r="F2507" s="230">
        <v>43878</v>
      </c>
      <c r="G2507" s="279"/>
      <c r="H2507" s="280"/>
    </row>
    <row r="2508" spans="1:8" x14ac:dyDescent="0.25">
      <c r="A2508" s="122" t="s">
        <v>11885</v>
      </c>
      <c r="B2508" s="123" t="s">
        <v>97</v>
      </c>
      <c r="C2508" s="123" t="s">
        <v>98</v>
      </c>
      <c r="D2508" s="123" t="s">
        <v>3</v>
      </c>
      <c r="E2508" s="123" t="s">
        <v>4</v>
      </c>
      <c r="F2508" s="123" t="s">
        <v>99</v>
      </c>
      <c r="G2508" s="123" t="s">
        <v>100</v>
      </c>
      <c r="H2508" s="124" t="s">
        <v>101</v>
      </c>
    </row>
    <row r="2509" spans="1:8" ht="25.5" x14ac:dyDescent="0.25">
      <c r="A2509" s="125" t="s">
        <v>398</v>
      </c>
      <c r="B2509" s="115" t="s">
        <v>9</v>
      </c>
      <c r="C2509" s="115">
        <v>88247</v>
      </c>
      <c r="D2509" s="127" t="str">
        <f>IF(A2509="COMPOSIÇÃO",VLOOKUP(C2509,'SINAPI_COMPOSIÇÕES 062020'!A:B,2,FALSE),VLOOKUP(C2509,'SINAPI_INSUMOS 062020'!A:B,2,FALSE))</f>
        <v>AUXILIAR DE ELETRICISTA COM ENCARGOS COMPLEMENTARES</v>
      </c>
      <c r="E2509" s="126" t="str">
        <f>IF(A2509="COMPOSIÇÃO",VLOOKUP(C2509,'SINAPI_COMPOSIÇÕES 062020'!A:C,3,FALSE),VLOOKUP(C2509,'SINAPI_INSUMOS 062020'!A:C,3,FALSE))</f>
        <v>H</v>
      </c>
      <c r="F2509" s="233">
        <v>1.169</v>
      </c>
      <c r="G2509" s="128">
        <f>IF(A2509="COMPOSIÇÃO",VLOOKUP(C2509,'SINAPI_COMPOSIÇÕES 062020'!A:D,4,FALSE),VLOOKUP(C2509,'SINAPI_INSUMOS 062020'!A:D,4,FALSE))</f>
        <v>14.33</v>
      </c>
      <c r="H2509" s="75">
        <f t="shared" ref="H2509:H2510" si="193">TRUNC(G2509*F2509,2)</f>
        <v>16.75</v>
      </c>
    </row>
    <row r="2510" spans="1:8" ht="25.5" x14ac:dyDescent="0.25">
      <c r="A2510" s="125" t="s">
        <v>398</v>
      </c>
      <c r="B2510" s="115" t="s">
        <v>9</v>
      </c>
      <c r="C2510" s="115">
        <v>88264</v>
      </c>
      <c r="D2510" s="127" t="str">
        <f>IF(A2510="COMPOSIÇÃO",VLOOKUP(C2510,'SINAPI_COMPOSIÇÕES 062020'!A:B,2,FALSE),VLOOKUP(C2510,'SINAPI_INSUMOS 062020'!A:B,2,FALSE))</f>
        <v>ELETRICISTA COM ENCARGOS COMPLEMENTARES</v>
      </c>
      <c r="E2510" s="126" t="str">
        <f>IF(A2510="COMPOSIÇÃO",VLOOKUP(C2510,'SINAPI_COMPOSIÇÕES 062020'!A:C,3,FALSE),VLOOKUP(C2510,'SINAPI_INSUMOS 062020'!A:C,3,FALSE))</f>
        <v>H</v>
      </c>
      <c r="F2510" s="233">
        <v>1.169</v>
      </c>
      <c r="G2510" s="128">
        <f>IF(A2510="COMPOSIÇÃO",VLOOKUP(C2510,'SINAPI_COMPOSIÇÕES 062020'!A:D,4,FALSE),VLOOKUP(C2510,'SINAPI_INSUMOS 062020'!A:D,4,FALSE))</f>
        <v>18.38</v>
      </c>
      <c r="H2510" s="75">
        <f t="shared" si="193"/>
        <v>21.48</v>
      </c>
    </row>
    <row r="2511" spans="1:8" ht="13.5" thickBot="1" x14ac:dyDescent="0.3">
      <c r="A2511" s="267" t="str">
        <f>CONCATENATE("TOTAL DO ÍTEM - ",A2505)</f>
        <v>TOTAL DO ÍTEM - MPMT-05139</v>
      </c>
      <c r="B2511" s="268"/>
      <c r="C2511" s="268"/>
      <c r="D2511" s="268"/>
      <c r="E2511" s="268"/>
      <c r="F2511" s="268"/>
      <c r="G2511" s="269"/>
      <c r="H2511" s="188">
        <f>SUM(H2509:H2510)</f>
        <v>38.230000000000004</v>
      </c>
    </row>
    <row r="2512" spans="1:8" ht="13.5" thickBot="1" x14ac:dyDescent="0.3">
      <c r="A2512" s="299" t="s">
        <v>12761</v>
      </c>
      <c r="B2512" s="300"/>
      <c r="C2512" s="300"/>
      <c r="D2512" s="300"/>
      <c r="E2512" s="300"/>
      <c r="F2512" s="300"/>
      <c r="G2512" s="300"/>
      <c r="H2512" s="301"/>
    </row>
    <row r="2513" spans="1:8" ht="13.5" thickBot="1" x14ac:dyDescent="0.3"/>
    <row r="2514" spans="1:8" ht="25.5" x14ac:dyDescent="0.25">
      <c r="A2514" s="120" t="s">
        <v>90</v>
      </c>
      <c r="B2514" s="286" t="s">
        <v>91</v>
      </c>
      <c r="C2514" s="287"/>
      <c r="D2514" s="287"/>
      <c r="E2514" s="287"/>
      <c r="F2514" s="287"/>
      <c r="G2514" s="288"/>
      <c r="H2514" s="121" t="s">
        <v>4</v>
      </c>
    </row>
    <row r="2515" spans="1:8" ht="13.5" thickBot="1" x14ac:dyDescent="0.3">
      <c r="A2515" s="113" t="s">
        <v>12762</v>
      </c>
      <c r="B2515" s="289" t="s">
        <v>12763</v>
      </c>
      <c r="C2515" s="290"/>
      <c r="D2515" s="290"/>
      <c r="E2515" s="290"/>
      <c r="F2515" s="290"/>
      <c r="G2515" s="291"/>
      <c r="H2515" s="114" t="s">
        <v>4</v>
      </c>
    </row>
    <row r="2516" spans="1:8" x14ac:dyDescent="0.25">
      <c r="A2516" s="273" t="s">
        <v>13834</v>
      </c>
      <c r="B2516" s="275" t="s">
        <v>92</v>
      </c>
      <c r="C2516" s="276"/>
      <c r="D2516" s="185" t="s">
        <v>11958</v>
      </c>
      <c r="E2516" s="239" t="s">
        <v>93</v>
      </c>
      <c r="F2516" s="186">
        <v>0</v>
      </c>
      <c r="G2516" s="277" t="s">
        <v>94</v>
      </c>
      <c r="H2516" s="278"/>
    </row>
    <row r="2517" spans="1:8" x14ac:dyDescent="0.25">
      <c r="A2517" s="274"/>
      <c r="B2517" s="281" t="s">
        <v>95</v>
      </c>
      <c r="C2517" s="282"/>
      <c r="D2517" s="230">
        <v>43878</v>
      </c>
      <c r="E2517" s="240" t="s">
        <v>96</v>
      </c>
      <c r="F2517" s="230">
        <v>43878</v>
      </c>
      <c r="G2517" s="279"/>
      <c r="H2517" s="280"/>
    </row>
    <row r="2518" spans="1:8" x14ac:dyDescent="0.25">
      <c r="A2518" s="122" t="s">
        <v>11885</v>
      </c>
      <c r="B2518" s="123" t="s">
        <v>97</v>
      </c>
      <c r="C2518" s="123" t="s">
        <v>98</v>
      </c>
      <c r="D2518" s="123" t="s">
        <v>3</v>
      </c>
      <c r="E2518" s="123" t="s">
        <v>4</v>
      </c>
      <c r="F2518" s="123" t="s">
        <v>99</v>
      </c>
      <c r="G2518" s="123" t="s">
        <v>100</v>
      </c>
      <c r="H2518" s="124" t="s">
        <v>101</v>
      </c>
    </row>
    <row r="2519" spans="1:8" x14ac:dyDescent="0.25">
      <c r="A2519" s="125" t="s">
        <v>11958</v>
      </c>
      <c r="B2519" s="115" t="s">
        <v>11959</v>
      </c>
      <c r="C2519" s="115" t="s">
        <v>11960</v>
      </c>
      <c r="D2519" s="194" t="str">
        <f>B2523</f>
        <v>RACK 44U, 19"</v>
      </c>
      <c r="E2519" s="115" t="str">
        <f>H2523</f>
        <v>UND</v>
      </c>
      <c r="F2519" s="233">
        <v>1</v>
      </c>
      <c r="G2519" s="195">
        <f>H2528</f>
        <v>2161.67</v>
      </c>
      <c r="H2519" s="222">
        <f t="shared" ref="H2519" si="194">G2519*F2519</f>
        <v>2161.67</v>
      </c>
    </row>
    <row r="2520" spans="1:8" ht="13.5" thickBot="1" x14ac:dyDescent="0.3">
      <c r="A2520" s="267" t="str">
        <f>CONCATENATE("TOTAL DO ÍTEM - ",A2515)</f>
        <v>TOTAL DO ÍTEM - MPMT-05150</v>
      </c>
      <c r="B2520" s="268"/>
      <c r="C2520" s="268"/>
      <c r="D2520" s="268"/>
      <c r="E2520" s="268"/>
      <c r="F2520" s="268"/>
      <c r="G2520" s="269"/>
      <c r="H2520" s="188">
        <f>SUM(H2519:H2519)</f>
        <v>2161.67</v>
      </c>
    </row>
    <row r="2521" spans="1:8" ht="13.5" thickBot="1" x14ac:dyDescent="0.3">
      <c r="A2521" s="299" t="s">
        <v>12494</v>
      </c>
      <c r="B2521" s="300"/>
      <c r="C2521" s="300"/>
      <c r="D2521" s="300"/>
      <c r="E2521" s="300"/>
      <c r="F2521" s="300"/>
      <c r="G2521" s="300"/>
      <c r="H2521" s="301"/>
    </row>
    <row r="2522" spans="1:8" ht="13.5" thickBot="1" x14ac:dyDescent="0.3">
      <c r="A2522" s="317" t="s">
        <v>12483</v>
      </c>
      <c r="B2522" s="318"/>
      <c r="C2522" s="318"/>
      <c r="D2522" s="318"/>
      <c r="E2522" s="318"/>
      <c r="F2522" s="318"/>
      <c r="G2522" s="318"/>
      <c r="H2522" s="319"/>
    </row>
    <row r="2523" spans="1:8" ht="13.5" thickBot="1" x14ac:dyDescent="0.3">
      <c r="A2523" s="234" t="s">
        <v>11960</v>
      </c>
      <c r="B2523" s="293" t="s">
        <v>12764</v>
      </c>
      <c r="C2523" s="293"/>
      <c r="D2523" s="293"/>
      <c r="E2523" s="293"/>
      <c r="F2523" s="293"/>
      <c r="G2523" s="293"/>
      <c r="H2523" s="235" t="s">
        <v>4</v>
      </c>
    </row>
    <row r="2524" spans="1:8" ht="25.5" x14ac:dyDescent="0.25">
      <c r="A2524" s="213" t="s">
        <v>11965</v>
      </c>
      <c r="B2524" s="241" t="s">
        <v>11966</v>
      </c>
      <c r="C2524" s="241" t="s">
        <v>11967</v>
      </c>
      <c r="D2524" s="241" t="s">
        <v>11968</v>
      </c>
      <c r="E2524" s="294" t="s">
        <v>11969</v>
      </c>
      <c r="F2524" s="294"/>
      <c r="G2524" s="241" t="s">
        <v>4</v>
      </c>
      <c r="H2524" s="214" t="s">
        <v>11970</v>
      </c>
    </row>
    <row r="2525" spans="1:8" x14ac:dyDescent="0.25">
      <c r="A2525" s="205">
        <v>43874</v>
      </c>
      <c r="B2525" s="206" t="s">
        <v>12765</v>
      </c>
      <c r="C2525" s="206" t="s">
        <v>12745</v>
      </c>
      <c r="D2525" s="360" t="s">
        <v>12766</v>
      </c>
      <c r="E2525" s="295" t="s">
        <v>12747</v>
      </c>
      <c r="F2525" s="295"/>
      <c r="G2525" s="115" t="s">
        <v>4</v>
      </c>
      <c r="H2525" s="218">
        <v>2952.04</v>
      </c>
    </row>
    <row r="2526" spans="1:8" x14ac:dyDescent="0.25">
      <c r="A2526" s="205" t="s">
        <v>12767</v>
      </c>
      <c r="B2526" s="206" t="s">
        <v>12484</v>
      </c>
      <c r="C2526" s="206" t="s">
        <v>12485</v>
      </c>
      <c r="D2526" s="236" t="s">
        <v>12486</v>
      </c>
      <c r="E2526" s="295" t="s">
        <v>12474</v>
      </c>
      <c r="F2526" s="295"/>
      <c r="G2526" s="115" t="s">
        <v>4</v>
      </c>
      <c r="H2526" s="218">
        <v>2161.67</v>
      </c>
    </row>
    <row r="2527" spans="1:8" x14ac:dyDescent="0.25">
      <c r="A2527" s="205">
        <v>43880</v>
      </c>
      <c r="B2527" s="206" t="s">
        <v>12768</v>
      </c>
      <c r="C2527" s="206" t="s">
        <v>12769</v>
      </c>
      <c r="D2527" s="360" t="s">
        <v>12770</v>
      </c>
      <c r="E2527" s="295" t="s">
        <v>12771</v>
      </c>
      <c r="F2527" s="295"/>
      <c r="G2527" s="115" t="s">
        <v>4</v>
      </c>
      <c r="H2527" s="218">
        <v>1575</v>
      </c>
    </row>
    <row r="2528" spans="1:8" ht="13.5" thickBot="1" x14ac:dyDescent="0.3">
      <c r="A2528" s="296" t="s">
        <v>11981</v>
      </c>
      <c r="B2528" s="297"/>
      <c r="C2528" s="297"/>
      <c r="D2528" s="297"/>
      <c r="E2528" s="297"/>
      <c r="F2528" s="297"/>
      <c r="G2528" s="298"/>
      <c r="H2528" s="188">
        <f>TRUNC(MEDIAN(H2525:H2527),2)</f>
        <v>2161.67</v>
      </c>
    </row>
    <row r="2529" spans="1:8" ht="13.5" thickBot="1" x14ac:dyDescent="0.3"/>
    <row r="2530" spans="1:8" ht="25.5" x14ac:dyDescent="0.25">
      <c r="A2530" s="120" t="s">
        <v>90</v>
      </c>
      <c r="B2530" s="286" t="s">
        <v>91</v>
      </c>
      <c r="C2530" s="287"/>
      <c r="D2530" s="287"/>
      <c r="E2530" s="287"/>
      <c r="F2530" s="287"/>
      <c r="G2530" s="288"/>
      <c r="H2530" s="121" t="s">
        <v>4</v>
      </c>
    </row>
    <row r="2531" spans="1:8" ht="13.5" thickBot="1" x14ac:dyDescent="0.3">
      <c r="A2531" s="113" t="s">
        <v>12772</v>
      </c>
      <c r="B2531" s="289" t="s">
        <v>12773</v>
      </c>
      <c r="C2531" s="290"/>
      <c r="D2531" s="290"/>
      <c r="E2531" s="290"/>
      <c r="F2531" s="290"/>
      <c r="G2531" s="291"/>
      <c r="H2531" s="114" t="s">
        <v>4</v>
      </c>
    </row>
    <row r="2532" spans="1:8" x14ac:dyDescent="0.25">
      <c r="A2532" s="273" t="s">
        <v>13834</v>
      </c>
      <c r="B2532" s="275" t="s">
        <v>92</v>
      </c>
      <c r="C2532" s="276"/>
      <c r="D2532" s="185" t="s">
        <v>12774</v>
      </c>
      <c r="E2532" s="239" t="s">
        <v>93</v>
      </c>
      <c r="F2532" s="186">
        <v>0</v>
      </c>
      <c r="G2532" s="277" t="s">
        <v>94</v>
      </c>
      <c r="H2532" s="278"/>
    </row>
    <row r="2533" spans="1:8" x14ac:dyDescent="0.25">
      <c r="A2533" s="274"/>
      <c r="B2533" s="281" t="s">
        <v>95</v>
      </c>
      <c r="C2533" s="282"/>
      <c r="D2533" s="230">
        <v>43878</v>
      </c>
      <c r="E2533" s="240" t="s">
        <v>96</v>
      </c>
      <c r="F2533" s="230">
        <v>43878</v>
      </c>
      <c r="G2533" s="279"/>
      <c r="H2533" s="280"/>
    </row>
    <row r="2534" spans="1:8" x14ac:dyDescent="0.25">
      <c r="A2534" s="122" t="s">
        <v>11885</v>
      </c>
      <c r="B2534" s="123" t="s">
        <v>97</v>
      </c>
      <c r="C2534" s="123" t="s">
        <v>98</v>
      </c>
      <c r="D2534" s="123" t="s">
        <v>3</v>
      </c>
      <c r="E2534" s="123" t="s">
        <v>4</v>
      </c>
      <c r="F2534" s="123" t="s">
        <v>99</v>
      </c>
      <c r="G2534" s="123" t="s">
        <v>100</v>
      </c>
      <c r="H2534" s="124" t="s">
        <v>101</v>
      </c>
    </row>
    <row r="2535" spans="1:8" ht="25.5" x14ac:dyDescent="0.25">
      <c r="A2535" s="125" t="s">
        <v>398</v>
      </c>
      <c r="B2535" s="115" t="s">
        <v>9</v>
      </c>
      <c r="C2535" s="115">
        <v>88247</v>
      </c>
      <c r="D2535" s="127" t="str">
        <f>IF(A2535="COMPOSIÇÃO",VLOOKUP(C2535,'SINAPI_COMPOSIÇÕES 062020'!A:B,2,FALSE),VLOOKUP(C2535,'SINAPI_INSUMOS 062020'!A:B,2,FALSE))</f>
        <v>AUXILIAR DE ELETRICISTA COM ENCARGOS COMPLEMENTARES</v>
      </c>
      <c r="E2535" s="126" t="str">
        <f>IF(A2535="COMPOSIÇÃO",VLOOKUP(C2535,'SINAPI_COMPOSIÇÕES 062020'!A:C,3,FALSE),VLOOKUP(C2535,'SINAPI_INSUMOS 062020'!A:C,3,FALSE))</f>
        <v>H</v>
      </c>
      <c r="F2535" s="233">
        <v>6.2007000000000003</v>
      </c>
      <c r="G2535" s="128">
        <f>IF(A2535="COMPOSIÇÃO",VLOOKUP(C2535,'SINAPI_COMPOSIÇÕES 062020'!A:D,4,FALSE),VLOOKUP(C2535,'SINAPI_INSUMOS 062020'!A:D,4,FALSE))</f>
        <v>14.33</v>
      </c>
      <c r="H2535" s="75">
        <f t="shared" ref="H2535:H2536" si="195">TRUNC(G2535*F2535,2)</f>
        <v>88.85</v>
      </c>
    </row>
    <row r="2536" spans="1:8" ht="25.5" x14ac:dyDescent="0.25">
      <c r="A2536" s="125" t="s">
        <v>398</v>
      </c>
      <c r="B2536" s="115" t="s">
        <v>9</v>
      </c>
      <c r="C2536" s="115">
        <v>88264</v>
      </c>
      <c r="D2536" s="127" t="str">
        <f>IF(A2536="COMPOSIÇÃO",VLOOKUP(C2536,'SINAPI_COMPOSIÇÕES 062020'!A:B,2,FALSE),VLOOKUP(C2536,'SINAPI_INSUMOS 062020'!A:B,2,FALSE))</f>
        <v>ELETRICISTA COM ENCARGOS COMPLEMENTARES</v>
      </c>
      <c r="E2536" s="126" t="str">
        <f>IF(A2536="COMPOSIÇÃO",VLOOKUP(C2536,'SINAPI_COMPOSIÇÕES 062020'!A:C,3,FALSE),VLOOKUP(C2536,'SINAPI_INSUMOS 062020'!A:C,3,FALSE))</f>
        <v>H</v>
      </c>
      <c r="F2536" s="233">
        <v>6.2007000000000003</v>
      </c>
      <c r="G2536" s="128">
        <f>IF(A2536="COMPOSIÇÃO",VLOOKUP(C2536,'SINAPI_COMPOSIÇÕES 062020'!A:D,4,FALSE),VLOOKUP(C2536,'SINAPI_INSUMOS 062020'!A:D,4,FALSE))</f>
        <v>18.38</v>
      </c>
      <c r="H2536" s="75">
        <f t="shared" si="195"/>
        <v>113.96</v>
      </c>
    </row>
    <row r="2537" spans="1:8" ht="13.5" thickBot="1" x14ac:dyDescent="0.3">
      <c r="A2537" s="267" t="str">
        <f>CONCATENATE("TOTAL DO ÍTEM - ",A2531)</f>
        <v>TOTAL DO ÍTEM - MPMT-05142</v>
      </c>
      <c r="B2537" s="268"/>
      <c r="C2537" s="268"/>
      <c r="D2537" s="268"/>
      <c r="E2537" s="268"/>
      <c r="F2537" s="268"/>
      <c r="G2537" s="269"/>
      <c r="H2537" s="188">
        <f>SUM(H2535:H2536)</f>
        <v>202.81</v>
      </c>
    </row>
    <row r="2538" spans="1:8" ht="13.5" thickBot="1" x14ac:dyDescent="0.3">
      <c r="A2538" s="299" t="s">
        <v>12775</v>
      </c>
      <c r="B2538" s="300"/>
      <c r="C2538" s="300"/>
      <c r="D2538" s="300"/>
      <c r="E2538" s="300"/>
      <c r="F2538" s="300"/>
      <c r="G2538" s="300"/>
      <c r="H2538" s="301"/>
    </row>
    <row r="2539" spans="1:8" ht="13.5" thickBot="1" x14ac:dyDescent="0.3"/>
    <row r="2540" spans="1:8" ht="25.5" x14ac:dyDescent="0.25">
      <c r="A2540" s="120" t="s">
        <v>90</v>
      </c>
      <c r="B2540" s="286" t="s">
        <v>91</v>
      </c>
      <c r="C2540" s="287"/>
      <c r="D2540" s="287"/>
      <c r="E2540" s="287"/>
      <c r="F2540" s="287"/>
      <c r="G2540" s="288"/>
      <c r="H2540" s="121" t="s">
        <v>4</v>
      </c>
    </row>
    <row r="2541" spans="1:8" ht="13.5" thickBot="1" x14ac:dyDescent="0.3">
      <c r="A2541" s="113" t="s">
        <v>12776</v>
      </c>
      <c r="B2541" s="289" t="s">
        <v>12777</v>
      </c>
      <c r="C2541" s="290"/>
      <c r="D2541" s="290"/>
      <c r="E2541" s="290"/>
      <c r="F2541" s="290"/>
      <c r="G2541" s="291"/>
      <c r="H2541" s="114" t="s">
        <v>4</v>
      </c>
    </row>
    <row r="2542" spans="1:8" x14ac:dyDescent="0.25">
      <c r="A2542" s="273" t="s">
        <v>13834</v>
      </c>
      <c r="B2542" s="275" t="s">
        <v>92</v>
      </c>
      <c r="C2542" s="276"/>
      <c r="D2542" s="185" t="s">
        <v>11958</v>
      </c>
      <c r="E2542" s="239" t="s">
        <v>93</v>
      </c>
      <c r="F2542" s="186">
        <v>0</v>
      </c>
      <c r="G2542" s="277" t="s">
        <v>94</v>
      </c>
      <c r="H2542" s="278"/>
    </row>
    <row r="2543" spans="1:8" x14ac:dyDescent="0.25">
      <c r="A2543" s="274"/>
      <c r="B2543" s="281" t="s">
        <v>95</v>
      </c>
      <c r="C2543" s="282"/>
      <c r="D2543" s="230">
        <v>43878</v>
      </c>
      <c r="E2543" s="240" t="s">
        <v>96</v>
      </c>
      <c r="F2543" s="230">
        <v>43878</v>
      </c>
      <c r="G2543" s="279"/>
      <c r="H2543" s="280"/>
    </row>
    <row r="2544" spans="1:8" x14ac:dyDescent="0.25">
      <c r="A2544" s="122" t="s">
        <v>11885</v>
      </c>
      <c r="B2544" s="123" t="s">
        <v>97</v>
      </c>
      <c r="C2544" s="123" t="s">
        <v>98</v>
      </c>
      <c r="D2544" s="123" t="s">
        <v>3</v>
      </c>
      <c r="E2544" s="123" t="s">
        <v>4</v>
      </c>
      <c r="F2544" s="123" t="s">
        <v>99</v>
      </c>
      <c r="G2544" s="123" t="s">
        <v>100</v>
      </c>
      <c r="H2544" s="124" t="s">
        <v>101</v>
      </c>
    </row>
    <row r="2545" spans="1:8" x14ac:dyDescent="0.25">
      <c r="A2545" s="125" t="s">
        <v>11958</v>
      </c>
      <c r="B2545" s="115" t="s">
        <v>11959</v>
      </c>
      <c r="C2545" s="115" t="s">
        <v>11960</v>
      </c>
      <c r="D2545" s="194" t="str">
        <f>B2549</f>
        <v>SWITCH 24 PORTAS POE, 4P SFP</v>
      </c>
      <c r="E2545" s="115" t="str">
        <f>H2549</f>
        <v>UND</v>
      </c>
      <c r="F2545" s="233">
        <v>1</v>
      </c>
      <c r="G2545" s="195">
        <f>H2554</f>
        <v>3553.12</v>
      </c>
      <c r="H2545" s="222">
        <f t="shared" ref="H2545" si="196">G2545*F2545</f>
        <v>3553.12</v>
      </c>
    </row>
    <row r="2546" spans="1:8" ht="13.5" thickBot="1" x14ac:dyDescent="0.3">
      <c r="A2546" s="267" t="str">
        <f>CONCATENATE("TOTAL DO ÍTEM - ",A2541)</f>
        <v>TOTAL DO ÍTEM - MPMT-05153</v>
      </c>
      <c r="B2546" s="268"/>
      <c r="C2546" s="268"/>
      <c r="D2546" s="268"/>
      <c r="E2546" s="268"/>
      <c r="F2546" s="268"/>
      <c r="G2546" s="269"/>
      <c r="H2546" s="188">
        <f>SUM(H2545:H2545)</f>
        <v>3553.12</v>
      </c>
    </row>
    <row r="2547" spans="1:8" ht="13.5" thickBot="1" x14ac:dyDescent="0.3">
      <c r="A2547" s="299" t="s">
        <v>12494</v>
      </c>
      <c r="B2547" s="300"/>
      <c r="C2547" s="300"/>
      <c r="D2547" s="300"/>
      <c r="E2547" s="300"/>
      <c r="F2547" s="300"/>
      <c r="G2547" s="300"/>
      <c r="H2547" s="301"/>
    </row>
    <row r="2548" spans="1:8" ht="13.5" thickBot="1" x14ac:dyDescent="0.3">
      <c r="A2548" s="317" t="s">
        <v>12483</v>
      </c>
      <c r="B2548" s="318"/>
      <c r="C2548" s="318"/>
      <c r="D2548" s="318"/>
      <c r="E2548" s="318"/>
      <c r="F2548" s="318"/>
      <c r="G2548" s="318"/>
      <c r="H2548" s="319"/>
    </row>
    <row r="2549" spans="1:8" ht="13.5" thickBot="1" x14ac:dyDescent="0.3">
      <c r="A2549" s="234" t="s">
        <v>11960</v>
      </c>
      <c r="B2549" s="293" t="s">
        <v>12778</v>
      </c>
      <c r="C2549" s="293"/>
      <c r="D2549" s="293"/>
      <c r="E2549" s="293"/>
      <c r="F2549" s="293"/>
      <c r="G2549" s="293"/>
      <c r="H2549" s="235" t="s">
        <v>4</v>
      </c>
    </row>
    <row r="2550" spans="1:8" ht="25.5" x14ac:dyDescent="0.25">
      <c r="A2550" s="213" t="s">
        <v>11965</v>
      </c>
      <c r="B2550" s="241" t="s">
        <v>11966</v>
      </c>
      <c r="C2550" s="241" t="s">
        <v>11967</v>
      </c>
      <c r="D2550" s="241" t="s">
        <v>11968</v>
      </c>
      <c r="E2550" s="294" t="s">
        <v>11969</v>
      </c>
      <c r="F2550" s="294"/>
      <c r="G2550" s="241" t="s">
        <v>4</v>
      </c>
      <c r="H2550" s="214" t="s">
        <v>11970</v>
      </c>
    </row>
    <row r="2551" spans="1:8" x14ac:dyDescent="0.25">
      <c r="A2551" s="205">
        <v>43874</v>
      </c>
      <c r="B2551" s="206" t="s">
        <v>12765</v>
      </c>
      <c r="C2551" s="206" t="s">
        <v>12745</v>
      </c>
      <c r="D2551" s="360" t="s">
        <v>12766</v>
      </c>
      <c r="E2551" s="295" t="s">
        <v>12747</v>
      </c>
      <c r="F2551" s="295"/>
      <c r="G2551" s="115" t="s">
        <v>4</v>
      </c>
      <c r="H2551" s="218">
        <v>3553.12</v>
      </c>
    </row>
    <row r="2552" spans="1:8" x14ac:dyDescent="0.25">
      <c r="A2552" s="205" t="s">
        <v>12767</v>
      </c>
      <c r="B2552" s="206" t="s">
        <v>12484</v>
      </c>
      <c r="C2552" s="206" t="s">
        <v>12485</v>
      </c>
      <c r="D2552" s="236" t="s">
        <v>12486</v>
      </c>
      <c r="E2552" s="295" t="s">
        <v>12474</v>
      </c>
      <c r="F2552" s="295"/>
      <c r="G2552" s="115" t="s">
        <v>4</v>
      </c>
      <c r="H2552" s="218">
        <v>3730.76</v>
      </c>
    </row>
    <row r="2553" spans="1:8" x14ac:dyDescent="0.25">
      <c r="A2553" s="205">
        <v>43880</v>
      </c>
      <c r="B2553" s="206" t="s">
        <v>12768</v>
      </c>
      <c r="C2553" s="206" t="s">
        <v>12769</v>
      </c>
      <c r="D2553" s="360" t="s">
        <v>12770</v>
      </c>
      <c r="E2553" s="295" t="s">
        <v>12771</v>
      </c>
      <c r="F2553" s="295"/>
      <c r="G2553" s="115" t="s">
        <v>4</v>
      </c>
      <c r="H2553" s="218">
        <v>2530</v>
      </c>
    </row>
    <row r="2554" spans="1:8" ht="13.5" thickBot="1" x14ac:dyDescent="0.3">
      <c r="A2554" s="296" t="s">
        <v>11981</v>
      </c>
      <c r="B2554" s="297"/>
      <c r="C2554" s="297"/>
      <c r="D2554" s="297"/>
      <c r="E2554" s="297"/>
      <c r="F2554" s="297"/>
      <c r="G2554" s="298"/>
      <c r="H2554" s="188">
        <f>TRUNC(MEDIAN(H2551:H2553),2)</f>
        <v>3553.12</v>
      </c>
    </row>
    <row r="2555" spans="1:8" ht="13.5" thickBot="1" x14ac:dyDescent="0.3"/>
    <row r="2556" spans="1:8" ht="25.5" x14ac:dyDescent="0.25">
      <c r="A2556" s="120" t="s">
        <v>90</v>
      </c>
      <c r="B2556" s="286" t="s">
        <v>91</v>
      </c>
      <c r="C2556" s="287"/>
      <c r="D2556" s="287"/>
      <c r="E2556" s="287"/>
      <c r="F2556" s="287"/>
      <c r="G2556" s="288"/>
      <c r="H2556" s="121" t="s">
        <v>4</v>
      </c>
    </row>
    <row r="2557" spans="1:8" ht="13.5" thickBot="1" x14ac:dyDescent="0.3">
      <c r="A2557" s="113" t="s">
        <v>12779</v>
      </c>
      <c r="B2557" s="289" t="s">
        <v>12780</v>
      </c>
      <c r="C2557" s="290"/>
      <c r="D2557" s="290"/>
      <c r="E2557" s="290"/>
      <c r="F2557" s="290"/>
      <c r="G2557" s="291"/>
      <c r="H2557" s="114" t="s">
        <v>4</v>
      </c>
    </row>
    <row r="2558" spans="1:8" x14ac:dyDescent="0.25">
      <c r="A2558" s="273" t="s">
        <v>13834</v>
      </c>
      <c r="B2558" s="275" t="s">
        <v>92</v>
      </c>
      <c r="C2558" s="276"/>
      <c r="D2558" s="185" t="s">
        <v>12774</v>
      </c>
      <c r="E2558" s="239" t="s">
        <v>93</v>
      </c>
      <c r="F2558" s="186">
        <v>0</v>
      </c>
      <c r="G2558" s="277" t="s">
        <v>94</v>
      </c>
      <c r="H2558" s="278"/>
    </row>
    <row r="2559" spans="1:8" x14ac:dyDescent="0.25">
      <c r="A2559" s="274"/>
      <c r="B2559" s="281" t="s">
        <v>95</v>
      </c>
      <c r="C2559" s="282"/>
      <c r="D2559" s="230">
        <v>43878</v>
      </c>
      <c r="E2559" s="240" t="s">
        <v>96</v>
      </c>
      <c r="F2559" s="230">
        <v>43878</v>
      </c>
      <c r="G2559" s="279"/>
      <c r="H2559" s="280"/>
    </row>
    <row r="2560" spans="1:8" x14ac:dyDescent="0.25">
      <c r="A2560" s="122" t="s">
        <v>11885</v>
      </c>
      <c r="B2560" s="123" t="s">
        <v>97</v>
      </c>
      <c r="C2560" s="123" t="s">
        <v>98</v>
      </c>
      <c r="D2560" s="123" t="s">
        <v>3</v>
      </c>
      <c r="E2560" s="123" t="s">
        <v>4</v>
      </c>
      <c r="F2560" s="123" t="s">
        <v>99</v>
      </c>
      <c r="G2560" s="123" t="s">
        <v>100</v>
      </c>
      <c r="H2560" s="124" t="s">
        <v>101</v>
      </c>
    </row>
    <row r="2561" spans="1:8" ht="25.5" x14ac:dyDescent="0.25">
      <c r="A2561" s="125" t="s">
        <v>398</v>
      </c>
      <c r="B2561" s="115" t="s">
        <v>9</v>
      </c>
      <c r="C2561" s="115">
        <v>88247</v>
      </c>
      <c r="D2561" s="127" t="str">
        <f>IF(A2561="COMPOSIÇÃO",VLOOKUP(C2561,'SINAPI_COMPOSIÇÕES 062020'!A:B,2,FALSE),VLOOKUP(C2561,'SINAPI_INSUMOS 062020'!A:B,2,FALSE))</f>
        <v>AUXILIAR DE ELETRICISTA COM ENCARGOS COMPLEMENTARES</v>
      </c>
      <c r="E2561" s="126" t="str">
        <f>IF(A2561="COMPOSIÇÃO",VLOOKUP(C2561,'SINAPI_COMPOSIÇÕES 062020'!A:C,3,FALSE),VLOOKUP(C2561,'SINAPI_INSUMOS 062020'!A:C,3,FALSE))</f>
        <v>H</v>
      </c>
      <c r="F2561" s="233">
        <v>6.2007000000000003</v>
      </c>
      <c r="G2561" s="128">
        <f>IF(A2561="COMPOSIÇÃO",VLOOKUP(C2561,'SINAPI_COMPOSIÇÕES 062020'!A:D,4,FALSE),VLOOKUP(C2561,'SINAPI_INSUMOS 062020'!A:D,4,FALSE))</f>
        <v>14.33</v>
      </c>
      <c r="H2561" s="75">
        <f t="shared" ref="H2561:H2562" si="197">TRUNC(G2561*F2561,2)</f>
        <v>88.85</v>
      </c>
    </row>
    <row r="2562" spans="1:8" ht="25.5" x14ac:dyDescent="0.25">
      <c r="A2562" s="125" t="s">
        <v>398</v>
      </c>
      <c r="B2562" s="115" t="s">
        <v>9</v>
      </c>
      <c r="C2562" s="115">
        <v>88264</v>
      </c>
      <c r="D2562" s="127" t="str">
        <f>IF(A2562="COMPOSIÇÃO",VLOOKUP(C2562,'SINAPI_COMPOSIÇÕES 062020'!A:B,2,FALSE),VLOOKUP(C2562,'SINAPI_INSUMOS 062020'!A:B,2,FALSE))</f>
        <v>ELETRICISTA COM ENCARGOS COMPLEMENTARES</v>
      </c>
      <c r="E2562" s="126" t="str">
        <f>IF(A2562="COMPOSIÇÃO",VLOOKUP(C2562,'SINAPI_COMPOSIÇÕES 062020'!A:C,3,FALSE),VLOOKUP(C2562,'SINAPI_INSUMOS 062020'!A:C,3,FALSE))</f>
        <v>H</v>
      </c>
      <c r="F2562" s="233">
        <v>6.2007000000000003</v>
      </c>
      <c r="G2562" s="128">
        <f>IF(A2562="COMPOSIÇÃO",VLOOKUP(C2562,'SINAPI_COMPOSIÇÕES 062020'!A:D,4,FALSE),VLOOKUP(C2562,'SINAPI_INSUMOS 062020'!A:D,4,FALSE))</f>
        <v>18.38</v>
      </c>
      <c r="H2562" s="75">
        <f t="shared" si="197"/>
        <v>113.96</v>
      </c>
    </row>
    <row r="2563" spans="1:8" ht="13.5" thickBot="1" x14ac:dyDescent="0.3">
      <c r="A2563" s="267" t="str">
        <f>CONCATENATE("TOTAL DO ÍTEM - ",A2557)</f>
        <v>TOTAL DO ÍTEM - MPMT-05141</v>
      </c>
      <c r="B2563" s="268"/>
      <c r="C2563" s="268"/>
      <c r="D2563" s="268"/>
      <c r="E2563" s="268"/>
      <c r="F2563" s="268"/>
      <c r="G2563" s="269"/>
      <c r="H2563" s="188">
        <f>SUM(H2561:H2562)</f>
        <v>202.81</v>
      </c>
    </row>
    <row r="2564" spans="1:8" ht="13.5" thickBot="1" x14ac:dyDescent="0.3">
      <c r="A2564" s="299" t="s">
        <v>12775</v>
      </c>
      <c r="B2564" s="300"/>
      <c r="C2564" s="300"/>
      <c r="D2564" s="300"/>
      <c r="E2564" s="300"/>
      <c r="F2564" s="300"/>
      <c r="G2564" s="300"/>
      <c r="H2564" s="301"/>
    </row>
    <row r="2565" spans="1:8" ht="13.5" thickBot="1" x14ac:dyDescent="0.3"/>
    <row r="2566" spans="1:8" ht="25.5" x14ac:dyDescent="0.25">
      <c r="A2566" s="120" t="s">
        <v>90</v>
      </c>
      <c r="B2566" s="286" t="s">
        <v>91</v>
      </c>
      <c r="C2566" s="287"/>
      <c r="D2566" s="287"/>
      <c r="E2566" s="287"/>
      <c r="F2566" s="287"/>
      <c r="G2566" s="288"/>
      <c r="H2566" s="121" t="s">
        <v>4</v>
      </c>
    </row>
    <row r="2567" spans="1:8" ht="13.5" thickBot="1" x14ac:dyDescent="0.3">
      <c r="A2567" s="113" t="s">
        <v>12781</v>
      </c>
      <c r="B2567" s="289" t="s">
        <v>12782</v>
      </c>
      <c r="C2567" s="290"/>
      <c r="D2567" s="290"/>
      <c r="E2567" s="290"/>
      <c r="F2567" s="290"/>
      <c r="G2567" s="291"/>
      <c r="H2567" s="114" t="s">
        <v>4</v>
      </c>
    </row>
    <row r="2568" spans="1:8" x14ac:dyDescent="0.25">
      <c r="A2568" s="273" t="s">
        <v>13834</v>
      </c>
      <c r="B2568" s="275" t="s">
        <v>92</v>
      </c>
      <c r="C2568" s="276"/>
      <c r="D2568" s="185" t="s">
        <v>11958</v>
      </c>
      <c r="E2568" s="239" t="s">
        <v>93</v>
      </c>
      <c r="F2568" s="186">
        <v>0</v>
      </c>
      <c r="G2568" s="277" t="s">
        <v>94</v>
      </c>
      <c r="H2568" s="278"/>
    </row>
    <row r="2569" spans="1:8" x14ac:dyDescent="0.25">
      <c r="A2569" s="274"/>
      <c r="B2569" s="281" t="s">
        <v>95</v>
      </c>
      <c r="C2569" s="282"/>
      <c r="D2569" s="230">
        <v>43878</v>
      </c>
      <c r="E2569" s="240" t="s">
        <v>96</v>
      </c>
      <c r="F2569" s="230">
        <v>43878</v>
      </c>
      <c r="G2569" s="279"/>
      <c r="H2569" s="280"/>
    </row>
    <row r="2570" spans="1:8" x14ac:dyDescent="0.25">
      <c r="A2570" s="122" t="s">
        <v>11885</v>
      </c>
      <c r="B2570" s="123" t="s">
        <v>97</v>
      </c>
      <c r="C2570" s="123" t="s">
        <v>98</v>
      </c>
      <c r="D2570" s="123" t="s">
        <v>3</v>
      </c>
      <c r="E2570" s="123" t="s">
        <v>4</v>
      </c>
      <c r="F2570" s="123" t="s">
        <v>99</v>
      </c>
      <c r="G2570" s="123" t="s">
        <v>100</v>
      </c>
      <c r="H2570" s="124" t="s">
        <v>101</v>
      </c>
    </row>
    <row r="2571" spans="1:8" ht="25.5" x14ac:dyDescent="0.25">
      <c r="A2571" s="125" t="s">
        <v>11958</v>
      </c>
      <c r="B2571" s="115" t="s">
        <v>11959</v>
      </c>
      <c r="C2571" s="115" t="s">
        <v>11960</v>
      </c>
      <c r="D2571" s="194" t="str">
        <f>B2575</f>
        <v>SWITCH GERENCIÁVEL 48 PORTAS GIGABIT ETHERNET, 4 PORTAS MINI-GBIC SFP+</v>
      </c>
      <c r="E2571" s="115" t="str">
        <f>H2575</f>
        <v>UND</v>
      </c>
      <c r="F2571" s="233">
        <v>1</v>
      </c>
      <c r="G2571" s="195">
        <f>H2580</f>
        <v>3755.7</v>
      </c>
      <c r="H2571" s="222">
        <f t="shared" ref="H2571" si="198">G2571*F2571</f>
        <v>3755.7</v>
      </c>
    </row>
    <row r="2572" spans="1:8" ht="13.5" thickBot="1" x14ac:dyDescent="0.3">
      <c r="A2572" s="267" t="str">
        <f>CONCATENATE("TOTAL DO ÍTEM - ",A2567)</f>
        <v>TOTAL DO ÍTEM - MPMT-05152</v>
      </c>
      <c r="B2572" s="268"/>
      <c r="C2572" s="268"/>
      <c r="D2572" s="268"/>
      <c r="E2572" s="268"/>
      <c r="F2572" s="268"/>
      <c r="G2572" s="269"/>
      <c r="H2572" s="188">
        <f>SUM(H2571:H2571)</f>
        <v>3755.7</v>
      </c>
    </row>
    <row r="2573" spans="1:8" ht="13.5" thickBot="1" x14ac:dyDescent="0.3">
      <c r="A2573" s="299" t="s">
        <v>12494</v>
      </c>
      <c r="B2573" s="300"/>
      <c r="C2573" s="300"/>
      <c r="D2573" s="300"/>
      <c r="E2573" s="300"/>
      <c r="F2573" s="300"/>
      <c r="G2573" s="300"/>
      <c r="H2573" s="301"/>
    </row>
    <row r="2574" spans="1:8" ht="13.5" thickBot="1" x14ac:dyDescent="0.3">
      <c r="A2574" s="317" t="s">
        <v>12483</v>
      </c>
      <c r="B2574" s="318"/>
      <c r="C2574" s="318"/>
      <c r="D2574" s="318"/>
      <c r="E2574" s="318"/>
      <c r="F2574" s="318"/>
      <c r="G2574" s="318"/>
      <c r="H2574" s="319"/>
    </row>
    <row r="2575" spans="1:8" ht="13.5" thickBot="1" x14ac:dyDescent="0.3">
      <c r="A2575" s="234" t="s">
        <v>11960</v>
      </c>
      <c r="B2575" s="293" t="s">
        <v>12783</v>
      </c>
      <c r="C2575" s="293"/>
      <c r="D2575" s="293"/>
      <c r="E2575" s="293"/>
      <c r="F2575" s="293"/>
      <c r="G2575" s="293"/>
      <c r="H2575" s="235" t="s">
        <v>4</v>
      </c>
    </row>
    <row r="2576" spans="1:8" ht="25.5" x14ac:dyDescent="0.25">
      <c r="A2576" s="213" t="s">
        <v>11965</v>
      </c>
      <c r="B2576" s="241" t="s">
        <v>11966</v>
      </c>
      <c r="C2576" s="241" t="s">
        <v>11967</v>
      </c>
      <c r="D2576" s="241" t="s">
        <v>11968</v>
      </c>
      <c r="E2576" s="294" t="s">
        <v>11969</v>
      </c>
      <c r="F2576" s="294"/>
      <c r="G2576" s="241" t="s">
        <v>4</v>
      </c>
      <c r="H2576" s="214" t="s">
        <v>11970</v>
      </c>
    </row>
    <row r="2577" spans="1:8" x14ac:dyDescent="0.25">
      <c r="A2577" s="205">
        <v>43874</v>
      </c>
      <c r="B2577" s="206" t="s">
        <v>12765</v>
      </c>
      <c r="C2577" s="206" t="s">
        <v>12745</v>
      </c>
      <c r="D2577" s="360" t="s">
        <v>12766</v>
      </c>
      <c r="E2577" s="295" t="s">
        <v>12747</v>
      </c>
      <c r="F2577" s="295"/>
      <c r="G2577" s="115" t="s">
        <v>4</v>
      </c>
      <c r="H2577" s="218">
        <v>3578.04</v>
      </c>
    </row>
    <row r="2578" spans="1:8" x14ac:dyDescent="0.25">
      <c r="A2578" s="205" t="s">
        <v>12767</v>
      </c>
      <c r="B2578" s="206" t="s">
        <v>12484</v>
      </c>
      <c r="C2578" s="206" t="s">
        <v>12485</v>
      </c>
      <c r="D2578" s="236" t="s">
        <v>12486</v>
      </c>
      <c r="E2578" s="295" t="s">
        <v>12474</v>
      </c>
      <c r="F2578" s="295"/>
      <c r="G2578" s="115" t="s">
        <v>4</v>
      </c>
      <c r="H2578" s="218">
        <v>3755.7</v>
      </c>
    </row>
    <row r="2579" spans="1:8" x14ac:dyDescent="0.25">
      <c r="A2579" s="205">
        <v>43880</v>
      </c>
      <c r="B2579" s="206" t="s">
        <v>12768</v>
      </c>
      <c r="C2579" s="206" t="s">
        <v>12769</v>
      </c>
      <c r="D2579" s="360" t="s">
        <v>12770</v>
      </c>
      <c r="E2579" s="295" t="s">
        <v>12771</v>
      </c>
      <c r="F2579" s="295"/>
      <c r="G2579" s="115" t="s">
        <v>4</v>
      </c>
      <c r="H2579" s="218">
        <v>3850</v>
      </c>
    </row>
    <row r="2580" spans="1:8" ht="13.5" thickBot="1" x14ac:dyDescent="0.3">
      <c r="A2580" s="296" t="s">
        <v>11981</v>
      </c>
      <c r="B2580" s="297"/>
      <c r="C2580" s="297"/>
      <c r="D2580" s="297"/>
      <c r="E2580" s="297"/>
      <c r="F2580" s="297"/>
      <c r="G2580" s="298"/>
      <c r="H2580" s="188">
        <f>TRUNC(MEDIAN(H2577:H2579),2)</f>
        <v>3755.7</v>
      </c>
    </row>
    <row r="2581" spans="1:8" ht="13.5" thickBot="1" x14ac:dyDescent="0.3"/>
    <row r="2582" spans="1:8" ht="25.5" x14ac:dyDescent="0.25">
      <c r="A2582" s="120" t="s">
        <v>90</v>
      </c>
      <c r="B2582" s="286" t="s">
        <v>91</v>
      </c>
      <c r="C2582" s="287"/>
      <c r="D2582" s="287"/>
      <c r="E2582" s="287"/>
      <c r="F2582" s="287"/>
      <c r="G2582" s="288"/>
      <c r="H2582" s="121" t="s">
        <v>4</v>
      </c>
    </row>
    <row r="2583" spans="1:8" ht="13.5" thickBot="1" x14ac:dyDescent="0.3">
      <c r="A2583" s="113" t="s">
        <v>12784</v>
      </c>
      <c r="B2583" s="289" t="s">
        <v>12785</v>
      </c>
      <c r="C2583" s="290"/>
      <c r="D2583" s="290"/>
      <c r="E2583" s="290"/>
      <c r="F2583" s="290"/>
      <c r="G2583" s="291"/>
      <c r="H2583" s="114" t="s">
        <v>4</v>
      </c>
    </row>
    <row r="2584" spans="1:8" x14ac:dyDescent="0.25">
      <c r="A2584" s="273" t="s">
        <v>13834</v>
      </c>
      <c r="B2584" s="275" t="s">
        <v>92</v>
      </c>
      <c r="C2584" s="276"/>
      <c r="D2584" s="185" t="s">
        <v>12786</v>
      </c>
      <c r="E2584" s="239" t="s">
        <v>93</v>
      </c>
      <c r="F2584" s="186">
        <v>0</v>
      </c>
      <c r="G2584" s="277" t="s">
        <v>94</v>
      </c>
      <c r="H2584" s="278"/>
    </row>
    <row r="2585" spans="1:8" x14ac:dyDescent="0.25">
      <c r="A2585" s="274"/>
      <c r="B2585" s="281" t="s">
        <v>95</v>
      </c>
      <c r="C2585" s="282"/>
      <c r="D2585" s="230">
        <v>43878</v>
      </c>
      <c r="E2585" s="240" t="s">
        <v>96</v>
      </c>
      <c r="F2585" s="230">
        <v>43878</v>
      </c>
      <c r="G2585" s="279"/>
      <c r="H2585" s="280"/>
    </row>
    <row r="2586" spans="1:8" x14ac:dyDescent="0.25">
      <c r="A2586" s="122" t="s">
        <v>11885</v>
      </c>
      <c r="B2586" s="123" t="s">
        <v>97</v>
      </c>
      <c r="C2586" s="123" t="s">
        <v>98</v>
      </c>
      <c r="D2586" s="123" t="s">
        <v>3</v>
      </c>
      <c r="E2586" s="123" t="s">
        <v>4</v>
      </c>
      <c r="F2586" s="123" t="s">
        <v>99</v>
      </c>
      <c r="G2586" s="123" t="s">
        <v>100</v>
      </c>
      <c r="H2586" s="124" t="s">
        <v>101</v>
      </c>
    </row>
    <row r="2587" spans="1:8" ht="25.5" x14ac:dyDescent="0.25">
      <c r="A2587" s="125" t="s">
        <v>398</v>
      </c>
      <c r="B2587" s="115" t="s">
        <v>9</v>
      </c>
      <c r="C2587" s="115">
        <v>88247</v>
      </c>
      <c r="D2587" s="127" t="str">
        <f>IF(A2587="COMPOSIÇÃO",VLOOKUP(C2587,'SINAPI_COMPOSIÇÕES 062020'!A:B,2,FALSE),VLOOKUP(C2587,'SINAPI_INSUMOS 062020'!A:B,2,FALSE))</f>
        <v>AUXILIAR DE ELETRICISTA COM ENCARGOS COMPLEMENTARES</v>
      </c>
      <c r="E2587" s="126" t="str">
        <f>IF(A2587="COMPOSIÇÃO",VLOOKUP(C2587,'SINAPI_COMPOSIÇÕES 062020'!A:C,3,FALSE),VLOOKUP(C2587,'SINAPI_INSUMOS 062020'!A:C,3,FALSE))</f>
        <v>H</v>
      </c>
      <c r="F2587" s="233">
        <v>0.1</v>
      </c>
      <c r="G2587" s="128">
        <f>IF(A2587="COMPOSIÇÃO",VLOOKUP(C2587,'SINAPI_COMPOSIÇÕES 062020'!A:D,4,FALSE),VLOOKUP(C2587,'SINAPI_INSUMOS 062020'!A:D,4,FALSE))</f>
        <v>14.33</v>
      </c>
      <c r="H2587" s="75">
        <f t="shared" ref="H2587" si="199">TRUNC(G2587*F2587,2)</f>
        <v>1.43</v>
      </c>
    </row>
    <row r="2588" spans="1:8" ht="13.5" thickBot="1" x14ac:dyDescent="0.3">
      <c r="A2588" s="267" t="str">
        <f>CONCATENATE("TOTAL DO ÍTEM - ",A2583)</f>
        <v>TOTAL DO ÍTEM - MPMT-05165</v>
      </c>
      <c r="B2588" s="268"/>
      <c r="C2588" s="268"/>
      <c r="D2588" s="268"/>
      <c r="E2588" s="268"/>
      <c r="F2588" s="268"/>
      <c r="G2588" s="269"/>
      <c r="H2588" s="188">
        <f>SUM(H2587:H2587)</f>
        <v>1.43</v>
      </c>
    </row>
    <row r="2589" spans="1:8" ht="13.5" thickBot="1" x14ac:dyDescent="0.3">
      <c r="A2589" s="299" t="s">
        <v>12787</v>
      </c>
      <c r="B2589" s="300"/>
      <c r="C2589" s="300"/>
      <c r="D2589" s="300"/>
      <c r="E2589" s="300"/>
      <c r="F2589" s="300"/>
      <c r="G2589" s="300"/>
      <c r="H2589" s="301"/>
    </row>
    <row r="2590" spans="1:8" ht="13.5" thickBot="1" x14ac:dyDescent="0.3"/>
    <row r="2591" spans="1:8" ht="25.5" x14ac:dyDescent="0.25">
      <c r="A2591" s="120" t="s">
        <v>90</v>
      </c>
      <c r="B2591" s="286" t="s">
        <v>91</v>
      </c>
      <c r="C2591" s="287"/>
      <c r="D2591" s="287"/>
      <c r="E2591" s="287"/>
      <c r="F2591" s="287"/>
      <c r="G2591" s="288"/>
      <c r="H2591" s="121" t="s">
        <v>4</v>
      </c>
    </row>
    <row r="2592" spans="1:8" ht="13.5" thickBot="1" x14ac:dyDescent="0.3">
      <c r="A2592" s="113" t="s">
        <v>12788</v>
      </c>
      <c r="B2592" s="289" t="s">
        <v>12789</v>
      </c>
      <c r="C2592" s="290"/>
      <c r="D2592" s="290"/>
      <c r="E2592" s="290"/>
      <c r="F2592" s="290"/>
      <c r="G2592" s="291"/>
      <c r="H2592" s="114" t="s">
        <v>4</v>
      </c>
    </row>
    <row r="2593" spans="1:8" x14ac:dyDescent="0.25">
      <c r="A2593" s="273" t="s">
        <v>13834</v>
      </c>
      <c r="B2593" s="275" t="s">
        <v>92</v>
      </c>
      <c r="C2593" s="276"/>
      <c r="D2593" s="185" t="s">
        <v>11958</v>
      </c>
      <c r="E2593" s="239" t="s">
        <v>93</v>
      </c>
      <c r="F2593" s="186">
        <v>0</v>
      </c>
      <c r="G2593" s="277" t="s">
        <v>94</v>
      </c>
      <c r="H2593" s="278"/>
    </row>
    <row r="2594" spans="1:8" x14ac:dyDescent="0.25">
      <c r="A2594" s="274"/>
      <c r="B2594" s="281" t="s">
        <v>95</v>
      </c>
      <c r="C2594" s="282"/>
      <c r="D2594" s="230">
        <v>43878</v>
      </c>
      <c r="E2594" s="240" t="s">
        <v>96</v>
      </c>
      <c r="F2594" s="230">
        <v>43878</v>
      </c>
      <c r="G2594" s="279"/>
      <c r="H2594" s="280"/>
    </row>
    <row r="2595" spans="1:8" x14ac:dyDescent="0.25">
      <c r="A2595" s="122" t="s">
        <v>11885</v>
      </c>
      <c r="B2595" s="123" t="s">
        <v>97</v>
      </c>
      <c r="C2595" s="123" t="s">
        <v>98</v>
      </c>
      <c r="D2595" s="123" t="s">
        <v>3</v>
      </c>
      <c r="E2595" s="123" t="s">
        <v>4</v>
      </c>
      <c r="F2595" s="123" t="s">
        <v>99</v>
      </c>
      <c r="G2595" s="123" t="s">
        <v>100</v>
      </c>
      <c r="H2595" s="124" t="s">
        <v>101</v>
      </c>
    </row>
    <row r="2596" spans="1:8" ht="25.5" x14ac:dyDescent="0.25">
      <c r="A2596" s="125" t="s">
        <v>11958</v>
      </c>
      <c r="B2596" s="115" t="s">
        <v>11959</v>
      </c>
      <c r="C2596" s="115" t="s">
        <v>11960</v>
      </c>
      <c r="D2596" s="194" t="str">
        <f>B2600</f>
        <v>TRANSCEIVER (GBIC) 1000BASE-SX PARA SWITCHES - FORNECIMENTO</v>
      </c>
      <c r="E2596" s="115" t="str">
        <f>H2600</f>
        <v>UND</v>
      </c>
      <c r="F2596" s="233">
        <v>1</v>
      </c>
      <c r="G2596" s="195">
        <f>H2605</f>
        <v>422.43</v>
      </c>
      <c r="H2596" s="222">
        <f t="shared" ref="H2596" si="200">G2596*F2596</f>
        <v>422.43</v>
      </c>
    </row>
    <row r="2597" spans="1:8" ht="13.5" thickBot="1" x14ac:dyDescent="0.3">
      <c r="A2597" s="267" t="str">
        <f>CONCATENATE("TOTAL DO ÍTEM - ",A2592)</f>
        <v>TOTAL DO ÍTEM - MPMT-05176</v>
      </c>
      <c r="B2597" s="268"/>
      <c r="C2597" s="268"/>
      <c r="D2597" s="268"/>
      <c r="E2597" s="268"/>
      <c r="F2597" s="268"/>
      <c r="G2597" s="269"/>
      <c r="H2597" s="188">
        <f>SUM(H2596:H2596)</f>
        <v>422.43</v>
      </c>
    </row>
    <row r="2598" spans="1:8" ht="13.5" thickBot="1" x14ac:dyDescent="0.3">
      <c r="A2598" s="299" t="s">
        <v>12494</v>
      </c>
      <c r="B2598" s="300"/>
      <c r="C2598" s="300"/>
      <c r="D2598" s="300"/>
      <c r="E2598" s="300"/>
      <c r="F2598" s="300"/>
      <c r="G2598" s="300"/>
      <c r="H2598" s="301"/>
    </row>
    <row r="2599" spans="1:8" ht="13.5" thickBot="1" x14ac:dyDescent="0.3">
      <c r="A2599" s="317" t="s">
        <v>12483</v>
      </c>
      <c r="B2599" s="318"/>
      <c r="C2599" s="318"/>
      <c r="D2599" s="318"/>
      <c r="E2599" s="318"/>
      <c r="F2599" s="318"/>
      <c r="G2599" s="318"/>
      <c r="H2599" s="319"/>
    </row>
    <row r="2600" spans="1:8" ht="13.5" thickBot="1" x14ac:dyDescent="0.3">
      <c r="A2600" s="234" t="s">
        <v>11960</v>
      </c>
      <c r="B2600" s="293" t="s">
        <v>12789</v>
      </c>
      <c r="C2600" s="293"/>
      <c r="D2600" s="293"/>
      <c r="E2600" s="293"/>
      <c r="F2600" s="293"/>
      <c r="G2600" s="293"/>
      <c r="H2600" s="235" t="s">
        <v>4</v>
      </c>
    </row>
    <row r="2601" spans="1:8" ht="25.5" x14ac:dyDescent="0.25">
      <c r="A2601" s="213" t="s">
        <v>11965</v>
      </c>
      <c r="B2601" s="241" t="s">
        <v>11966</v>
      </c>
      <c r="C2601" s="241" t="s">
        <v>11967</v>
      </c>
      <c r="D2601" s="241" t="s">
        <v>11968</v>
      </c>
      <c r="E2601" s="294" t="s">
        <v>11969</v>
      </c>
      <c r="F2601" s="294"/>
      <c r="G2601" s="241" t="s">
        <v>4</v>
      </c>
      <c r="H2601" s="214" t="s">
        <v>11970</v>
      </c>
    </row>
    <row r="2602" spans="1:8" x14ac:dyDescent="0.25">
      <c r="A2602" s="205">
        <v>43997</v>
      </c>
      <c r="B2602" s="206" t="s">
        <v>11971</v>
      </c>
      <c r="C2602" s="206" t="s">
        <v>12790</v>
      </c>
      <c r="D2602" s="360" t="s">
        <v>12791</v>
      </c>
      <c r="E2602" s="295" t="s">
        <v>12792</v>
      </c>
      <c r="F2602" s="295"/>
      <c r="G2602" s="115" t="s">
        <v>4</v>
      </c>
      <c r="H2602" s="218">
        <f>5069.19/12</f>
        <v>422.43249999999995</v>
      </c>
    </row>
    <row r="2603" spans="1:8" x14ac:dyDescent="0.25">
      <c r="A2603" s="205">
        <v>43997</v>
      </c>
      <c r="B2603" s="206" t="s">
        <v>11971</v>
      </c>
      <c r="C2603" s="206" t="s">
        <v>12793</v>
      </c>
      <c r="D2603" s="360" t="s">
        <v>12794</v>
      </c>
      <c r="E2603" s="295" t="s">
        <v>12795</v>
      </c>
      <c r="F2603" s="295"/>
      <c r="G2603" s="115" t="s">
        <v>4</v>
      </c>
      <c r="H2603" s="218">
        <f>7618.06/12</f>
        <v>634.83833333333337</v>
      </c>
    </row>
    <row r="2604" spans="1:8" x14ac:dyDescent="0.25">
      <c r="A2604" s="205"/>
      <c r="B2604" s="206"/>
      <c r="C2604" s="206"/>
      <c r="D2604" s="360"/>
      <c r="E2604" s="295"/>
      <c r="F2604" s="295"/>
      <c r="G2604" s="115" t="s">
        <v>4</v>
      </c>
      <c r="H2604" s="218">
        <v>0</v>
      </c>
    </row>
    <row r="2605" spans="1:8" ht="13.5" thickBot="1" x14ac:dyDescent="0.3">
      <c r="A2605" s="296" t="s">
        <v>11981</v>
      </c>
      <c r="B2605" s="297"/>
      <c r="C2605" s="297"/>
      <c r="D2605" s="297"/>
      <c r="E2605" s="297"/>
      <c r="F2605" s="297"/>
      <c r="G2605" s="298"/>
      <c r="H2605" s="188">
        <f>TRUNC(MEDIAN(H2602:H2604),2)</f>
        <v>422.43</v>
      </c>
    </row>
    <row r="2606" spans="1:8" ht="13.5" thickBot="1" x14ac:dyDescent="0.3"/>
    <row r="2607" spans="1:8" ht="25.5" x14ac:dyDescent="0.25">
      <c r="A2607" s="120" t="s">
        <v>90</v>
      </c>
      <c r="B2607" s="286" t="s">
        <v>91</v>
      </c>
      <c r="C2607" s="287"/>
      <c r="D2607" s="287"/>
      <c r="E2607" s="287"/>
      <c r="F2607" s="287"/>
      <c r="G2607" s="288"/>
      <c r="H2607" s="121" t="s">
        <v>4</v>
      </c>
    </row>
    <row r="2608" spans="1:8" ht="13.5" thickBot="1" x14ac:dyDescent="0.3">
      <c r="A2608" s="113" t="s">
        <v>12796</v>
      </c>
      <c r="B2608" s="289" t="s">
        <v>12799</v>
      </c>
      <c r="C2608" s="290"/>
      <c r="D2608" s="290"/>
      <c r="E2608" s="290"/>
      <c r="F2608" s="290"/>
      <c r="G2608" s="291"/>
      <c r="H2608" s="114" t="s">
        <v>4</v>
      </c>
    </row>
    <row r="2609" spans="1:8" x14ac:dyDescent="0.25">
      <c r="A2609" s="273" t="s">
        <v>13834</v>
      </c>
      <c r="B2609" s="275" t="s">
        <v>92</v>
      </c>
      <c r="C2609" s="276"/>
      <c r="D2609" s="185" t="s">
        <v>12797</v>
      </c>
      <c r="E2609" s="239" t="s">
        <v>93</v>
      </c>
      <c r="F2609" s="186">
        <v>0</v>
      </c>
      <c r="G2609" s="277" t="s">
        <v>94</v>
      </c>
      <c r="H2609" s="278"/>
    </row>
    <row r="2610" spans="1:8" x14ac:dyDescent="0.25">
      <c r="A2610" s="274"/>
      <c r="B2610" s="281" t="s">
        <v>95</v>
      </c>
      <c r="C2610" s="282"/>
      <c r="D2610" s="230">
        <v>43878</v>
      </c>
      <c r="E2610" s="240" t="s">
        <v>96</v>
      </c>
      <c r="F2610" s="230">
        <v>43878</v>
      </c>
      <c r="G2610" s="279"/>
      <c r="H2610" s="280"/>
    </row>
    <row r="2611" spans="1:8" x14ac:dyDescent="0.25">
      <c r="A2611" s="122" t="s">
        <v>11885</v>
      </c>
      <c r="B2611" s="123" t="s">
        <v>97</v>
      </c>
      <c r="C2611" s="123" t="s">
        <v>98</v>
      </c>
      <c r="D2611" s="123" t="s">
        <v>3</v>
      </c>
      <c r="E2611" s="123" t="s">
        <v>4</v>
      </c>
      <c r="F2611" s="123" t="s">
        <v>99</v>
      </c>
      <c r="G2611" s="123" t="s">
        <v>100</v>
      </c>
      <c r="H2611" s="124" t="s">
        <v>101</v>
      </c>
    </row>
    <row r="2612" spans="1:8" ht="25.5" x14ac:dyDescent="0.25">
      <c r="A2612" s="125" t="s">
        <v>398</v>
      </c>
      <c r="B2612" s="115" t="s">
        <v>9</v>
      </c>
      <c r="C2612" s="115">
        <v>88247</v>
      </c>
      <c r="D2612" s="127" t="str">
        <f>IF(A2612="COMPOSIÇÃO",VLOOKUP(C2612,'SINAPI_COMPOSIÇÕES 062020'!A:B,2,FALSE),VLOOKUP(C2612,'SINAPI_INSUMOS 062020'!A:B,2,FALSE))</f>
        <v>AUXILIAR DE ELETRICISTA COM ENCARGOS COMPLEMENTARES</v>
      </c>
      <c r="E2612" s="126" t="str">
        <f>IF(A2612="COMPOSIÇÃO",VLOOKUP(C2612,'SINAPI_COMPOSIÇÕES 062020'!A:C,3,FALSE),VLOOKUP(C2612,'SINAPI_INSUMOS 062020'!A:C,3,FALSE))</f>
        <v>H</v>
      </c>
      <c r="F2612" s="233">
        <v>12.323600000000001</v>
      </c>
      <c r="G2612" s="128">
        <f>IF(A2612="COMPOSIÇÃO",VLOOKUP(C2612,'SINAPI_COMPOSIÇÕES 062020'!A:D,4,FALSE),VLOOKUP(C2612,'SINAPI_INSUMOS 062020'!A:D,4,FALSE))</f>
        <v>14.33</v>
      </c>
      <c r="H2612" s="75">
        <f t="shared" ref="H2612:H2613" si="201">TRUNC(G2612*F2612,2)</f>
        <v>176.59</v>
      </c>
    </row>
    <row r="2613" spans="1:8" ht="25.5" x14ac:dyDescent="0.25">
      <c r="A2613" s="125" t="s">
        <v>398</v>
      </c>
      <c r="B2613" s="115" t="s">
        <v>9</v>
      </c>
      <c r="C2613" s="115">
        <v>88264</v>
      </c>
      <c r="D2613" s="127" t="str">
        <f>IF(A2613="COMPOSIÇÃO",VLOOKUP(C2613,'SINAPI_COMPOSIÇÕES 062020'!A:B,2,FALSE),VLOOKUP(C2613,'SINAPI_INSUMOS 062020'!A:B,2,FALSE))</f>
        <v>ELETRICISTA COM ENCARGOS COMPLEMENTARES</v>
      </c>
      <c r="E2613" s="126" t="str">
        <f>IF(A2613="COMPOSIÇÃO",VLOOKUP(C2613,'SINAPI_COMPOSIÇÕES 062020'!A:C,3,FALSE),VLOOKUP(C2613,'SINAPI_INSUMOS 062020'!A:C,3,FALSE))</f>
        <v>H</v>
      </c>
      <c r="F2613" s="233">
        <v>12.323600000000001</v>
      </c>
      <c r="G2613" s="128">
        <f>IF(A2613="COMPOSIÇÃO",VLOOKUP(C2613,'SINAPI_COMPOSIÇÕES 062020'!A:D,4,FALSE),VLOOKUP(C2613,'SINAPI_INSUMOS 062020'!A:D,4,FALSE))</f>
        <v>18.38</v>
      </c>
      <c r="H2613" s="75">
        <f t="shared" si="201"/>
        <v>226.5</v>
      </c>
    </row>
    <row r="2614" spans="1:8" ht="13.5" thickBot="1" x14ac:dyDescent="0.3">
      <c r="A2614" s="267" t="str">
        <f>CONCATENATE("TOTAL DO ÍTEM - ",A2608)</f>
        <v>TOTAL DO ÍTEM - MPMT-05154</v>
      </c>
      <c r="B2614" s="268"/>
      <c r="C2614" s="268"/>
      <c r="D2614" s="268"/>
      <c r="E2614" s="268"/>
      <c r="F2614" s="268"/>
      <c r="G2614" s="269"/>
      <c r="H2614" s="188">
        <f>SUM(H2612:H2613)</f>
        <v>403.09000000000003</v>
      </c>
    </row>
    <row r="2615" spans="1:8" ht="13.5" thickBot="1" x14ac:dyDescent="0.3">
      <c r="A2615" s="299" t="s">
        <v>12798</v>
      </c>
      <c r="B2615" s="300"/>
      <c r="C2615" s="300"/>
      <c r="D2615" s="300"/>
      <c r="E2615" s="300"/>
      <c r="F2615" s="300"/>
      <c r="G2615" s="300"/>
      <c r="H2615" s="301"/>
    </row>
    <row r="2616" spans="1:8" ht="13.5" thickBot="1" x14ac:dyDescent="0.3"/>
    <row r="2617" spans="1:8" ht="25.5" x14ac:dyDescent="0.25">
      <c r="A2617" s="120" t="s">
        <v>90</v>
      </c>
      <c r="B2617" s="286" t="s">
        <v>91</v>
      </c>
      <c r="C2617" s="287"/>
      <c r="D2617" s="287"/>
      <c r="E2617" s="287"/>
      <c r="F2617" s="287"/>
      <c r="G2617" s="288"/>
      <c r="H2617" s="121" t="s">
        <v>4</v>
      </c>
    </row>
    <row r="2618" spans="1:8" ht="13.5" thickBot="1" x14ac:dyDescent="0.3">
      <c r="A2618" s="113" t="s">
        <v>12800</v>
      </c>
      <c r="B2618" s="289" t="s">
        <v>12801</v>
      </c>
      <c r="C2618" s="290"/>
      <c r="D2618" s="290"/>
      <c r="E2618" s="290"/>
      <c r="F2618" s="290"/>
      <c r="G2618" s="291"/>
      <c r="H2618" s="114" t="s">
        <v>4</v>
      </c>
    </row>
    <row r="2619" spans="1:8" x14ac:dyDescent="0.25">
      <c r="A2619" s="273" t="s">
        <v>13834</v>
      </c>
      <c r="B2619" s="275" t="s">
        <v>92</v>
      </c>
      <c r="C2619" s="276"/>
      <c r="D2619" s="185" t="s">
        <v>12797</v>
      </c>
      <c r="E2619" s="239" t="s">
        <v>93</v>
      </c>
      <c r="F2619" s="186">
        <v>0</v>
      </c>
      <c r="G2619" s="277" t="s">
        <v>94</v>
      </c>
      <c r="H2619" s="278"/>
    </row>
    <row r="2620" spans="1:8" x14ac:dyDescent="0.25">
      <c r="A2620" s="274"/>
      <c r="B2620" s="281" t="s">
        <v>95</v>
      </c>
      <c r="C2620" s="282"/>
      <c r="D2620" s="230">
        <v>43878</v>
      </c>
      <c r="E2620" s="240" t="s">
        <v>96</v>
      </c>
      <c r="F2620" s="230">
        <v>43878</v>
      </c>
      <c r="G2620" s="279"/>
      <c r="H2620" s="280"/>
    </row>
    <row r="2621" spans="1:8" x14ac:dyDescent="0.25">
      <c r="A2621" s="122" t="s">
        <v>11885</v>
      </c>
      <c r="B2621" s="123" t="s">
        <v>97</v>
      </c>
      <c r="C2621" s="123" t="s">
        <v>98</v>
      </c>
      <c r="D2621" s="123" t="s">
        <v>3</v>
      </c>
      <c r="E2621" s="123" t="s">
        <v>4</v>
      </c>
      <c r="F2621" s="123" t="s">
        <v>99</v>
      </c>
      <c r="G2621" s="123" t="s">
        <v>100</v>
      </c>
      <c r="H2621" s="124" t="s">
        <v>101</v>
      </c>
    </row>
    <row r="2622" spans="1:8" ht="25.5" x14ac:dyDescent="0.25">
      <c r="A2622" s="125" t="s">
        <v>400</v>
      </c>
      <c r="B2622" s="115" t="s">
        <v>9</v>
      </c>
      <c r="C2622" s="115">
        <v>39596</v>
      </c>
      <c r="D2622" s="127" t="str">
        <f>IF(A2622="COMPOSIÇÃO",VLOOKUP(C2622,'SINAPI_COMPOSIÇÕES 062020'!A:B,2,FALSE),VLOOKUP(C2622,'SINAPI_INSUMOS 062020'!A:B,2,FALSE))</f>
        <v>PATCH PANEL, 24 PORTAS, CATEGORIA 6, COM RACKS DE 19" E 1 U DE ALTURA</v>
      </c>
      <c r="E2622" s="126" t="str">
        <f>IF(A2622="COMPOSIÇÃO",VLOOKUP(C2622,'SINAPI_COMPOSIÇÕES 062020'!A:C,3,FALSE),VLOOKUP(C2622,'SINAPI_INSUMOS 062020'!A:C,3,FALSE))</f>
        <v xml:space="preserve">UN    </v>
      </c>
      <c r="F2622" s="233">
        <v>1</v>
      </c>
      <c r="G2622" s="128">
        <f>IF(A2622="COMPOSIÇÃO",VLOOKUP(C2622,'SINAPI_COMPOSIÇÕES 062020'!A:D,4,FALSE),VLOOKUP(C2622,'SINAPI_INSUMOS 062020'!A:D,4,FALSE))</f>
        <v>270.16000000000003</v>
      </c>
      <c r="H2622" s="75">
        <f t="shared" ref="H2622" si="202">TRUNC(G2622*F2622,2)</f>
        <v>270.16000000000003</v>
      </c>
    </row>
    <row r="2623" spans="1:8" ht="13.5" thickBot="1" x14ac:dyDescent="0.3">
      <c r="A2623" s="267" t="str">
        <f>CONCATENATE("TOTAL DO ÍTEM - ",A2618)</f>
        <v>TOTAL DO ÍTEM - MPMT-05155</v>
      </c>
      <c r="B2623" s="268"/>
      <c r="C2623" s="268"/>
      <c r="D2623" s="268"/>
      <c r="E2623" s="268"/>
      <c r="F2623" s="268"/>
      <c r="G2623" s="269"/>
      <c r="H2623" s="188">
        <f>SUM(H2622:H2622)</f>
        <v>270.16000000000003</v>
      </c>
    </row>
    <row r="2624" spans="1:8" ht="13.5" thickBot="1" x14ac:dyDescent="0.3"/>
    <row r="2625" spans="1:8" ht="25.5" x14ac:dyDescent="0.25">
      <c r="A2625" s="120" t="s">
        <v>90</v>
      </c>
      <c r="B2625" s="286" t="s">
        <v>91</v>
      </c>
      <c r="C2625" s="287"/>
      <c r="D2625" s="287"/>
      <c r="E2625" s="287"/>
      <c r="F2625" s="287"/>
      <c r="G2625" s="288"/>
      <c r="H2625" s="121" t="s">
        <v>4</v>
      </c>
    </row>
    <row r="2626" spans="1:8" ht="13.5" thickBot="1" x14ac:dyDescent="0.3">
      <c r="A2626" s="113" t="s">
        <v>12802</v>
      </c>
      <c r="B2626" s="289" t="s">
        <v>12803</v>
      </c>
      <c r="C2626" s="290"/>
      <c r="D2626" s="290"/>
      <c r="E2626" s="290"/>
      <c r="F2626" s="290"/>
      <c r="G2626" s="291"/>
      <c r="H2626" s="114" t="s">
        <v>4</v>
      </c>
    </row>
    <row r="2627" spans="1:8" x14ac:dyDescent="0.25">
      <c r="A2627" s="273" t="s">
        <v>13834</v>
      </c>
      <c r="B2627" s="275" t="s">
        <v>92</v>
      </c>
      <c r="C2627" s="276"/>
      <c r="D2627" s="185" t="s">
        <v>12804</v>
      </c>
      <c r="E2627" s="239" t="s">
        <v>93</v>
      </c>
      <c r="F2627" s="186">
        <v>0</v>
      </c>
      <c r="G2627" s="277" t="s">
        <v>94</v>
      </c>
      <c r="H2627" s="278"/>
    </row>
    <row r="2628" spans="1:8" x14ac:dyDescent="0.25">
      <c r="A2628" s="274"/>
      <c r="B2628" s="281" t="s">
        <v>95</v>
      </c>
      <c r="C2628" s="282"/>
      <c r="D2628" s="230">
        <v>43878</v>
      </c>
      <c r="E2628" s="240" t="s">
        <v>96</v>
      </c>
      <c r="F2628" s="230">
        <v>43878</v>
      </c>
      <c r="G2628" s="279"/>
      <c r="H2628" s="280"/>
    </row>
    <row r="2629" spans="1:8" x14ac:dyDescent="0.25">
      <c r="A2629" s="122" t="s">
        <v>11885</v>
      </c>
      <c r="B2629" s="123" t="s">
        <v>97</v>
      </c>
      <c r="C2629" s="123" t="s">
        <v>98</v>
      </c>
      <c r="D2629" s="123" t="s">
        <v>3</v>
      </c>
      <c r="E2629" s="123" t="s">
        <v>4</v>
      </c>
      <c r="F2629" s="123" t="s">
        <v>99</v>
      </c>
      <c r="G2629" s="123" t="s">
        <v>100</v>
      </c>
      <c r="H2629" s="124" t="s">
        <v>101</v>
      </c>
    </row>
    <row r="2630" spans="1:8" ht="25.5" x14ac:dyDescent="0.25">
      <c r="A2630" s="125" t="s">
        <v>398</v>
      </c>
      <c r="B2630" s="115" t="s">
        <v>9</v>
      </c>
      <c r="C2630" s="115">
        <v>88264</v>
      </c>
      <c r="D2630" s="127" t="str">
        <f>IF(A2630="COMPOSIÇÃO",VLOOKUP(C2630,'SINAPI_COMPOSIÇÕES 062020'!A:B,2,FALSE),VLOOKUP(C2630,'SINAPI_INSUMOS 062020'!A:B,2,FALSE))</f>
        <v>ELETRICISTA COM ENCARGOS COMPLEMENTARES</v>
      </c>
      <c r="E2630" s="126" t="str">
        <f>IF(A2630="COMPOSIÇÃO",VLOOKUP(C2630,'SINAPI_COMPOSIÇÕES 062020'!A:C,3,FALSE),VLOOKUP(C2630,'SINAPI_INSUMOS 062020'!A:C,3,FALSE))</f>
        <v>H</v>
      </c>
      <c r="F2630" s="233">
        <v>2.1</v>
      </c>
      <c r="G2630" s="128">
        <f>IF(A2630="COMPOSIÇÃO",VLOOKUP(C2630,'SINAPI_COMPOSIÇÕES 062020'!A:D,4,FALSE),VLOOKUP(C2630,'SINAPI_INSUMOS 062020'!A:D,4,FALSE))</f>
        <v>18.38</v>
      </c>
      <c r="H2630" s="75">
        <f t="shared" ref="H2630:H2631" si="203">TRUNC(G2630*F2630,2)</f>
        <v>38.590000000000003</v>
      </c>
    </row>
    <row r="2631" spans="1:8" ht="25.5" x14ac:dyDescent="0.25">
      <c r="A2631" s="125" t="s">
        <v>398</v>
      </c>
      <c r="B2631" s="115" t="s">
        <v>9</v>
      </c>
      <c r="C2631" s="115">
        <v>88247</v>
      </c>
      <c r="D2631" s="127" t="str">
        <f>IF(A2631="COMPOSIÇÃO",VLOOKUP(C2631,'SINAPI_COMPOSIÇÕES 062020'!A:B,2,FALSE),VLOOKUP(C2631,'SINAPI_INSUMOS 062020'!A:B,2,FALSE))</f>
        <v>AUXILIAR DE ELETRICISTA COM ENCARGOS COMPLEMENTARES</v>
      </c>
      <c r="E2631" s="126" t="str">
        <f>IF(A2631="COMPOSIÇÃO",VLOOKUP(C2631,'SINAPI_COMPOSIÇÕES 062020'!A:C,3,FALSE),VLOOKUP(C2631,'SINAPI_INSUMOS 062020'!A:C,3,FALSE))</f>
        <v>H</v>
      </c>
      <c r="F2631" s="233">
        <v>2.1</v>
      </c>
      <c r="G2631" s="128">
        <f>IF(A2631="COMPOSIÇÃO",VLOOKUP(C2631,'SINAPI_COMPOSIÇÕES 062020'!A:D,4,FALSE),VLOOKUP(C2631,'SINAPI_INSUMOS 062020'!A:D,4,FALSE))</f>
        <v>14.33</v>
      </c>
      <c r="H2631" s="75">
        <f t="shared" si="203"/>
        <v>30.09</v>
      </c>
    </row>
    <row r="2632" spans="1:8" ht="13.5" thickBot="1" x14ac:dyDescent="0.3">
      <c r="A2632" s="267" t="str">
        <f>CONCATENATE("TOTAL DO ÍTEM - ",A2626)</f>
        <v>TOTAL DO ÍTEM - MPMT-05134</v>
      </c>
      <c r="B2632" s="268"/>
      <c r="C2632" s="268"/>
      <c r="D2632" s="268"/>
      <c r="E2632" s="268"/>
      <c r="F2632" s="268"/>
      <c r="G2632" s="269"/>
      <c r="H2632" s="188">
        <f>SUM(H2630:H2631)</f>
        <v>68.680000000000007</v>
      </c>
    </row>
    <row r="2633" spans="1:8" ht="13.5" thickBot="1" x14ac:dyDescent="0.3">
      <c r="A2633" s="299" t="s">
        <v>12805</v>
      </c>
      <c r="B2633" s="300"/>
      <c r="C2633" s="300"/>
      <c r="D2633" s="300"/>
      <c r="E2633" s="300"/>
      <c r="F2633" s="300"/>
      <c r="G2633" s="300"/>
      <c r="H2633" s="301"/>
    </row>
    <row r="2634" spans="1:8" ht="13.5" thickBot="1" x14ac:dyDescent="0.3"/>
    <row r="2635" spans="1:8" ht="25.5" x14ac:dyDescent="0.25">
      <c r="A2635" s="120" t="s">
        <v>90</v>
      </c>
      <c r="B2635" s="286" t="s">
        <v>91</v>
      </c>
      <c r="C2635" s="287"/>
      <c r="D2635" s="287"/>
      <c r="E2635" s="287"/>
      <c r="F2635" s="287"/>
      <c r="G2635" s="288"/>
      <c r="H2635" s="121" t="s">
        <v>4</v>
      </c>
    </row>
    <row r="2636" spans="1:8" ht="13.5" thickBot="1" x14ac:dyDescent="0.3">
      <c r="A2636" s="113" t="s">
        <v>12806</v>
      </c>
      <c r="B2636" s="289" t="s">
        <v>12807</v>
      </c>
      <c r="C2636" s="290"/>
      <c r="D2636" s="290"/>
      <c r="E2636" s="290"/>
      <c r="F2636" s="290"/>
      <c r="G2636" s="291"/>
      <c r="H2636" s="114" t="s">
        <v>4</v>
      </c>
    </row>
    <row r="2637" spans="1:8" x14ac:dyDescent="0.25">
      <c r="A2637" s="273" t="s">
        <v>13834</v>
      </c>
      <c r="B2637" s="275" t="s">
        <v>92</v>
      </c>
      <c r="C2637" s="276"/>
      <c r="D2637" s="185" t="s">
        <v>11958</v>
      </c>
      <c r="E2637" s="239" t="s">
        <v>93</v>
      </c>
      <c r="F2637" s="186">
        <v>0</v>
      </c>
      <c r="G2637" s="277" t="s">
        <v>94</v>
      </c>
      <c r="H2637" s="278"/>
    </row>
    <row r="2638" spans="1:8" x14ac:dyDescent="0.25">
      <c r="A2638" s="274"/>
      <c r="B2638" s="281" t="s">
        <v>95</v>
      </c>
      <c r="C2638" s="282"/>
      <c r="D2638" s="230">
        <v>43878</v>
      </c>
      <c r="E2638" s="240" t="s">
        <v>96</v>
      </c>
      <c r="F2638" s="230">
        <v>43878</v>
      </c>
      <c r="G2638" s="279"/>
      <c r="H2638" s="280"/>
    </row>
    <row r="2639" spans="1:8" x14ac:dyDescent="0.25">
      <c r="A2639" s="122" t="s">
        <v>11885</v>
      </c>
      <c r="B2639" s="123" t="s">
        <v>97</v>
      </c>
      <c r="C2639" s="123" t="s">
        <v>98</v>
      </c>
      <c r="D2639" s="123" t="s">
        <v>3</v>
      </c>
      <c r="E2639" s="123" t="s">
        <v>4</v>
      </c>
      <c r="F2639" s="123" t="s">
        <v>99</v>
      </c>
      <c r="G2639" s="123" t="s">
        <v>100</v>
      </c>
      <c r="H2639" s="124" t="s">
        <v>101</v>
      </c>
    </row>
    <row r="2640" spans="1:8" ht="25.5" x14ac:dyDescent="0.25">
      <c r="A2640" s="125" t="s">
        <v>11958</v>
      </c>
      <c r="B2640" s="115" t="s">
        <v>11959</v>
      </c>
      <c r="C2640" s="115" t="s">
        <v>11960</v>
      </c>
      <c r="D2640" s="194" t="str">
        <f>B2644</f>
        <v>DISTRIBUIDOR ÓPTICO (D.I.O) COMPLETO, 19", ATÉ 12FO</v>
      </c>
      <c r="E2640" s="115" t="str">
        <f>H2644</f>
        <v>UND</v>
      </c>
      <c r="F2640" s="233">
        <v>1</v>
      </c>
      <c r="G2640" s="195">
        <f>H2649</f>
        <v>485.91</v>
      </c>
      <c r="H2640" s="222">
        <f t="shared" ref="H2640" si="204">G2640*F2640</f>
        <v>485.91</v>
      </c>
    </row>
    <row r="2641" spans="1:8" ht="13.5" thickBot="1" x14ac:dyDescent="0.3">
      <c r="A2641" s="267" t="str">
        <f>CONCATENATE("TOTAL DO ÍTEM - ",A2636)</f>
        <v>TOTAL DO ÍTEM - MPMT-05146</v>
      </c>
      <c r="B2641" s="268"/>
      <c r="C2641" s="268"/>
      <c r="D2641" s="268"/>
      <c r="E2641" s="268"/>
      <c r="F2641" s="268"/>
      <c r="G2641" s="269"/>
      <c r="H2641" s="188">
        <f>SUM(H2640:H2640)</f>
        <v>485.91</v>
      </c>
    </row>
    <row r="2642" spans="1:8" ht="13.5" thickBot="1" x14ac:dyDescent="0.3">
      <c r="A2642" s="299" t="s">
        <v>12494</v>
      </c>
      <c r="B2642" s="300"/>
      <c r="C2642" s="300"/>
      <c r="D2642" s="300"/>
      <c r="E2642" s="300"/>
      <c r="F2642" s="300"/>
      <c r="G2642" s="300"/>
      <c r="H2642" s="301"/>
    </row>
    <row r="2643" spans="1:8" ht="13.5" thickBot="1" x14ac:dyDescent="0.3">
      <c r="A2643" s="317" t="s">
        <v>12483</v>
      </c>
      <c r="B2643" s="318"/>
      <c r="C2643" s="318"/>
      <c r="D2643" s="318"/>
      <c r="E2643" s="318"/>
      <c r="F2643" s="318"/>
      <c r="G2643" s="318"/>
      <c r="H2643" s="319"/>
    </row>
    <row r="2644" spans="1:8" ht="13.5" thickBot="1" x14ac:dyDescent="0.3">
      <c r="A2644" s="234" t="s">
        <v>11960</v>
      </c>
      <c r="B2644" s="293" t="s">
        <v>12808</v>
      </c>
      <c r="C2644" s="293"/>
      <c r="D2644" s="293"/>
      <c r="E2644" s="293"/>
      <c r="F2644" s="293"/>
      <c r="G2644" s="293"/>
      <c r="H2644" s="235" t="s">
        <v>4</v>
      </c>
    </row>
    <row r="2645" spans="1:8" ht="25.5" x14ac:dyDescent="0.25">
      <c r="A2645" s="213" t="s">
        <v>11965</v>
      </c>
      <c r="B2645" s="241" t="s">
        <v>11966</v>
      </c>
      <c r="C2645" s="241" t="s">
        <v>11967</v>
      </c>
      <c r="D2645" s="241" t="s">
        <v>11968</v>
      </c>
      <c r="E2645" s="294" t="s">
        <v>11969</v>
      </c>
      <c r="F2645" s="294"/>
      <c r="G2645" s="241" t="s">
        <v>4</v>
      </c>
      <c r="H2645" s="214" t="s">
        <v>11970</v>
      </c>
    </row>
    <row r="2646" spans="1:8" x14ac:dyDescent="0.25">
      <c r="A2646" s="205">
        <v>43881</v>
      </c>
      <c r="B2646" s="206" t="s">
        <v>11971</v>
      </c>
      <c r="C2646" s="206" t="s">
        <v>12374</v>
      </c>
      <c r="D2646" s="360" t="s">
        <v>12375</v>
      </c>
      <c r="E2646" s="295" t="s">
        <v>12373</v>
      </c>
      <c r="F2646" s="295"/>
      <c r="G2646" s="115" t="s">
        <v>4</v>
      </c>
      <c r="H2646" s="218">
        <f>1259.5/2</f>
        <v>629.75</v>
      </c>
    </row>
    <row r="2647" spans="1:8" x14ac:dyDescent="0.25">
      <c r="A2647" s="205" t="s">
        <v>12767</v>
      </c>
      <c r="B2647" s="206" t="s">
        <v>12484</v>
      </c>
      <c r="C2647" s="206" t="s">
        <v>12485</v>
      </c>
      <c r="D2647" s="236" t="s">
        <v>12486</v>
      </c>
      <c r="E2647" s="295" t="s">
        <v>12474</v>
      </c>
      <c r="F2647" s="295"/>
      <c r="G2647" s="115" t="s">
        <v>4</v>
      </c>
      <c r="H2647" s="218">
        <v>485.91</v>
      </c>
    </row>
    <row r="2648" spans="1:8" x14ac:dyDescent="0.25">
      <c r="A2648" s="205"/>
      <c r="B2648" s="206"/>
      <c r="C2648" s="206"/>
      <c r="D2648" s="360"/>
      <c r="E2648" s="295"/>
      <c r="F2648" s="295"/>
      <c r="G2648" s="115" t="s">
        <v>4</v>
      </c>
      <c r="H2648" s="218">
        <v>0</v>
      </c>
    </row>
    <row r="2649" spans="1:8" ht="13.5" thickBot="1" x14ac:dyDescent="0.3">
      <c r="A2649" s="296" t="s">
        <v>11981</v>
      </c>
      <c r="B2649" s="297"/>
      <c r="C2649" s="297"/>
      <c r="D2649" s="297"/>
      <c r="E2649" s="297"/>
      <c r="F2649" s="297"/>
      <c r="G2649" s="298"/>
      <c r="H2649" s="188">
        <f>TRUNC(MEDIAN(H2646:H2648),2)</f>
        <v>485.91</v>
      </c>
    </row>
    <row r="2650" spans="1:8" ht="13.5" thickBot="1" x14ac:dyDescent="0.3"/>
    <row r="2651" spans="1:8" ht="25.5" x14ac:dyDescent="0.25">
      <c r="A2651" s="120" t="s">
        <v>90</v>
      </c>
      <c r="B2651" s="286" t="s">
        <v>91</v>
      </c>
      <c r="C2651" s="287"/>
      <c r="D2651" s="287"/>
      <c r="E2651" s="287"/>
      <c r="F2651" s="287"/>
      <c r="G2651" s="288"/>
      <c r="H2651" s="121" t="s">
        <v>4</v>
      </c>
    </row>
    <row r="2652" spans="1:8" ht="13.5" thickBot="1" x14ac:dyDescent="0.3">
      <c r="A2652" s="113" t="s">
        <v>12809</v>
      </c>
      <c r="B2652" s="289" t="s">
        <v>12810</v>
      </c>
      <c r="C2652" s="290"/>
      <c r="D2652" s="290"/>
      <c r="E2652" s="290"/>
      <c r="F2652" s="290"/>
      <c r="G2652" s="291"/>
      <c r="H2652" s="114" t="s">
        <v>4</v>
      </c>
    </row>
    <row r="2653" spans="1:8" x14ac:dyDescent="0.25">
      <c r="A2653" s="273" t="s">
        <v>13834</v>
      </c>
      <c r="B2653" s="275" t="s">
        <v>92</v>
      </c>
      <c r="C2653" s="276"/>
      <c r="D2653" s="185" t="s">
        <v>12811</v>
      </c>
      <c r="E2653" s="239" t="s">
        <v>93</v>
      </c>
      <c r="F2653" s="186">
        <v>0</v>
      </c>
      <c r="G2653" s="277" t="s">
        <v>94</v>
      </c>
      <c r="H2653" s="278"/>
    </row>
    <row r="2654" spans="1:8" x14ac:dyDescent="0.25">
      <c r="A2654" s="274"/>
      <c r="B2654" s="281" t="s">
        <v>95</v>
      </c>
      <c r="C2654" s="282"/>
      <c r="D2654" s="230">
        <v>43878</v>
      </c>
      <c r="E2654" s="240" t="s">
        <v>96</v>
      </c>
      <c r="F2654" s="230">
        <v>43878</v>
      </c>
      <c r="G2654" s="279"/>
      <c r="H2654" s="280"/>
    </row>
    <row r="2655" spans="1:8" x14ac:dyDescent="0.25">
      <c r="A2655" s="122" t="s">
        <v>11885</v>
      </c>
      <c r="B2655" s="123" t="s">
        <v>97</v>
      </c>
      <c r="C2655" s="123" t="s">
        <v>98</v>
      </c>
      <c r="D2655" s="123" t="s">
        <v>3</v>
      </c>
      <c r="E2655" s="123" t="s">
        <v>4</v>
      </c>
      <c r="F2655" s="123" t="s">
        <v>99</v>
      </c>
      <c r="G2655" s="123" t="s">
        <v>100</v>
      </c>
      <c r="H2655" s="124" t="s">
        <v>101</v>
      </c>
    </row>
    <row r="2656" spans="1:8" ht="25.5" x14ac:dyDescent="0.25">
      <c r="A2656" s="125" t="s">
        <v>398</v>
      </c>
      <c r="B2656" s="115" t="s">
        <v>9</v>
      </c>
      <c r="C2656" s="115">
        <v>88247</v>
      </c>
      <c r="D2656" s="127" t="str">
        <f>IF(A2656="COMPOSIÇÃO",VLOOKUP(C2656,'SINAPI_COMPOSIÇÕES 062020'!A:B,2,FALSE),VLOOKUP(C2656,'SINAPI_INSUMOS 062020'!A:B,2,FALSE))</f>
        <v>AUXILIAR DE ELETRICISTA COM ENCARGOS COMPLEMENTARES</v>
      </c>
      <c r="E2656" s="126" t="str">
        <f>IF(A2656="COMPOSIÇÃO",VLOOKUP(C2656,'SINAPI_COMPOSIÇÕES 062020'!A:C,3,FALSE),VLOOKUP(C2656,'SINAPI_INSUMOS 062020'!A:C,3,FALSE))</f>
        <v>H</v>
      </c>
      <c r="F2656" s="233">
        <v>0.6</v>
      </c>
      <c r="G2656" s="128">
        <f>IF(A2656="COMPOSIÇÃO",VLOOKUP(C2656,'SINAPI_COMPOSIÇÕES 062020'!A:D,4,FALSE),VLOOKUP(C2656,'SINAPI_INSUMOS 062020'!A:D,4,FALSE))</f>
        <v>14.33</v>
      </c>
      <c r="H2656" s="75">
        <f t="shared" ref="H2656" si="205">TRUNC(G2656*F2656,2)</f>
        <v>8.59</v>
      </c>
    </row>
    <row r="2657" spans="1:8" x14ac:dyDescent="0.25">
      <c r="A2657" s="125" t="s">
        <v>11958</v>
      </c>
      <c r="B2657" s="115" t="s">
        <v>11959</v>
      </c>
      <c r="C2657" s="115" t="s">
        <v>11960</v>
      </c>
      <c r="D2657" s="194" t="str">
        <f>B2661</f>
        <v>PATCH CORD ÓPTICO, LC/LC</v>
      </c>
      <c r="E2657" s="115" t="str">
        <f>H2661</f>
        <v>UND</v>
      </c>
      <c r="F2657" s="233">
        <v>1</v>
      </c>
      <c r="G2657" s="195">
        <f>H2666</f>
        <v>53.47</v>
      </c>
      <c r="H2657" s="222">
        <f t="shared" ref="H2657" si="206">G2657*F2657</f>
        <v>53.47</v>
      </c>
    </row>
    <row r="2658" spans="1:8" ht="13.5" thickBot="1" x14ac:dyDescent="0.3">
      <c r="A2658" s="267" t="str">
        <f>CONCATENATE("TOTAL DO ÍTEM - ",A2652)</f>
        <v>TOTAL DO ÍTEM - MPMT-05132</v>
      </c>
      <c r="B2658" s="268"/>
      <c r="C2658" s="268"/>
      <c r="D2658" s="268"/>
      <c r="E2658" s="268"/>
      <c r="F2658" s="268"/>
      <c r="G2658" s="269"/>
      <c r="H2658" s="188">
        <f>SUM(H2656:H2657)</f>
        <v>62.06</v>
      </c>
    </row>
    <row r="2659" spans="1:8" ht="13.5" thickBot="1" x14ac:dyDescent="0.3">
      <c r="A2659" s="299" t="s">
        <v>12812</v>
      </c>
      <c r="B2659" s="300"/>
      <c r="C2659" s="300"/>
      <c r="D2659" s="300"/>
      <c r="E2659" s="300"/>
      <c r="F2659" s="300"/>
      <c r="G2659" s="300"/>
      <c r="H2659" s="301"/>
    </row>
    <row r="2660" spans="1:8" ht="13.5" thickBot="1" x14ac:dyDescent="0.3">
      <c r="A2660" s="317" t="s">
        <v>12483</v>
      </c>
      <c r="B2660" s="318"/>
      <c r="C2660" s="318"/>
      <c r="D2660" s="318"/>
      <c r="E2660" s="318"/>
      <c r="F2660" s="318"/>
      <c r="G2660" s="318"/>
      <c r="H2660" s="319"/>
    </row>
    <row r="2661" spans="1:8" ht="13.5" thickBot="1" x14ac:dyDescent="0.3">
      <c r="A2661" s="234" t="s">
        <v>11960</v>
      </c>
      <c r="B2661" s="293" t="s">
        <v>12813</v>
      </c>
      <c r="C2661" s="293"/>
      <c r="D2661" s="293"/>
      <c r="E2661" s="293"/>
      <c r="F2661" s="293"/>
      <c r="G2661" s="293"/>
      <c r="H2661" s="235" t="s">
        <v>4</v>
      </c>
    </row>
    <row r="2662" spans="1:8" ht="25.5" x14ac:dyDescent="0.25">
      <c r="A2662" s="213" t="s">
        <v>11965</v>
      </c>
      <c r="B2662" s="241" t="s">
        <v>11966</v>
      </c>
      <c r="C2662" s="241" t="s">
        <v>11967</v>
      </c>
      <c r="D2662" s="241" t="s">
        <v>11968</v>
      </c>
      <c r="E2662" s="294" t="s">
        <v>11969</v>
      </c>
      <c r="F2662" s="294"/>
      <c r="G2662" s="241" t="s">
        <v>4</v>
      </c>
      <c r="H2662" s="214" t="s">
        <v>11970</v>
      </c>
    </row>
    <row r="2663" spans="1:8" x14ac:dyDescent="0.25">
      <c r="A2663" s="205">
        <v>43874</v>
      </c>
      <c r="B2663" s="206" t="s">
        <v>12765</v>
      </c>
      <c r="C2663" s="206" t="s">
        <v>12745</v>
      </c>
      <c r="D2663" s="360" t="s">
        <v>12766</v>
      </c>
      <c r="E2663" s="295" t="s">
        <v>12747</v>
      </c>
      <c r="F2663" s="295"/>
      <c r="G2663" s="115" t="s">
        <v>4</v>
      </c>
      <c r="H2663" s="218">
        <v>46.19</v>
      </c>
    </row>
    <row r="2664" spans="1:8" x14ac:dyDescent="0.25">
      <c r="A2664" s="205" t="s">
        <v>12767</v>
      </c>
      <c r="B2664" s="206" t="s">
        <v>12484</v>
      </c>
      <c r="C2664" s="206" t="s">
        <v>12485</v>
      </c>
      <c r="D2664" s="236" t="s">
        <v>12486</v>
      </c>
      <c r="E2664" s="295" t="s">
        <v>12474</v>
      </c>
      <c r="F2664" s="295"/>
      <c r="G2664" s="115" t="s">
        <v>4</v>
      </c>
      <c r="H2664" s="218">
        <v>53.47</v>
      </c>
    </row>
    <row r="2665" spans="1:8" x14ac:dyDescent="0.25">
      <c r="A2665" s="205" t="s">
        <v>12814</v>
      </c>
      <c r="B2665" s="206" t="s">
        <v>11971</v>
      </c>
      <c r="C2665" s="206" t="s">
        <v>12793</v>
      </c>
      <c r="D2665" s="360" t="s">
        <v>12815</v>
      </c>
      <c r="E2665" s="295" t="s">
        <v>12795</v>
      </c>
      <c r="F2665" s="295"/>
      <c r="G2665" s="115" t="s">
        <v>4</v>
      </c>
      <c r="H2665" s="218">
        <f>270.73/4</f>
        <v>67.682500000000005</v>
      </c>
    </row>
    <row r="2666" spans="1:8" ht="13.5" thickBot="1" x14ac:dyDescent="0.3">
      <c r="A2666" s="296" t="s">
        <v>11981</v>
      </c>
      <c r="B2666" s="297"/>
      <c r="C2666" s="297"/>
      <c r="D2666" s="297"/>
      <c r="E2666" s="297"/>
      <c r="F2666" s="297"/>
      <c r="G2666" s="298"/>
      <c r="H2666" s="188">
        <f>TRUNC(MEDIAN(H2663:H2665),2)</f>
        <v>53.47</v>
      </c>
    </row>
    <row r="2667" spans="1:8" ht="13.5" thickBot="1" x14ac:dyDescent="0.3"/>
    <row r="2668" spans="1:8" ht="25.5" x14ac:dyDescent="0.25">
      <c r="A2668" s="120" t="s">
        <v>90</v>
      </c>
      <c r="B2668" s="286" t="s">
        <v>91</v>
      </c>
      <c r="C2668" s="287"/>
      <c r="D2668" s="287"/>
      <c r="E2668" s="287"/>
      <c r="F2668" s="287"/>
      <c r="G2668" s="288"/>
      <c r="H2668" s="121" t="s">
        <v>4</v>
      </c>
    </row>
    <row r="2669" spans="1:8" ht="13.5" thickBot="1" x14ac:dyDescent="0.3">
      <c r="A2669" s="113" t="s">
        <v>12816</v>
      </c>
      <c r="B2669" s="289" t="s">
        <v>12817</v>
      </c>
      <c r="C2669" s="290"/>
      <c r="D2669" s="290"/>
      <c r="E2669" s="290"/>
      <c r="F2669" s="290"/>
      <c r="G2669" s="291"/>
      <c r="H2669" s="114" t="s">
        <v>4</v>
      </c>
    </row>
    <row r="2670" spans="1:8" x14ac:dyDescent="0.25">
      <c r="A2670" s="273" t="s">
        <v>13834</v>
      </c>
      <c r="B2670" s="275" t="s">
        <v>92</v>
      </c>
      <c r="C2670" s="276"/>
      <c r="D2670" s="185" t="s">
        <v>12818</v>
      </c>
      <c r="E2670" s="239" t="s">
        <v>93</v>
      </c>
      <c r="F2670" s="186">
        <v>0</v>
      </c>
      <c r="G2670" s="277" t="s">
        <v>94</v>
      </c>
      <c r="H2670" s="278"/>
    </row>
    <row r="2671" spans="1:8" x14ac:dyDescent="0.25">
      <c r="A2671" s="274"/>
      <c r="B2671" s="281" t="s">
        <v>95</v>
      </c>
      <c r="C2671" s="282"/>
      <c r="D2671" s="230">
        <v>43878</v>
      </c>
      <c r="E2671" s="240" t="s">
        <v>96</v>
      </c>
      <c r="F2671" s="230">
        <v>43878</v>
      </c>
      <c r="G2671" s="279"/>
      <c r="H2671" s="280"/>
    </row>
    <row r="2672" spans="1:8" x14ac:dyDescent="0.25">
      <c r="A2672" s="122" t="s">
        <v>11885</v>
      </c>
      <c r="B2672" s="123" t="s">
        <v>97</v>
      </c>
      <c r="C2672" s="123" t="s">
        <v>98</v>
      </c>
      <c r="D2672" s="123" t="s">
        <v>3</v>
      </c>
      <c r="E2672" s="123" t="s">
        <v>4</v>
      </c>
      <c r="F2672" s="123" t="s">
        <v>99</v>
      </c>
      <c r="G2672" s="123" t="s">
        <v>100</v>
      </c>
      <c r="H2672" s="124" t="s">
        <v>101</v>
      </c>
    </row>
    <row r="2673" spans="1:8" ht="25.5" x14ac:dyDescent="0.25">
      <c r="A2673" s="125" t="s">
        <v>398</v>
      </c>
      <c r="B2673" s="115" t="s">
        <v>9</v>
      </c>
      <c r="C2673" s="115">
        <v>88247</v>
      </c>
      <c r="D2673" s="127" t="str">
        <f>IF(A2673="COMPOSIÇÃO",VLOOKUP(C2673,'SINAPI_COMPOSIÇÕES 062020'!A:B,2,FALSE),VLOOKUP(C2673,'SINAPI_INSUMOS 062020'!A:B,2,FALSE))</f>
        <v>AUXILIAR DE ELETRICISTA COM ENCARGOS COMPLEMENTARES</v>
      </c>
      <c r="E2673" s="126" t="str">
        <f>IF(A2673="COMPOSIÇÃO",VLOOKUP(C2673,'SINAPI_COMPOSIÇÕES 062020'!A:C,3,FALSE),VLOOKUP(C2673,'SINAPI_INSUMOS 062020'!A:C,3,FALSE))</f>
        <v>H</v>
      </c>
      <c r="F2673" s="233">
        <v>0.06</v>
      </c>
      <c r="G2673" s="128">
        <f>IF(A2673="COMPOSIÇÃO",VLOOKUP(C2673,'SINAPI_COMPOSIÇÕES 062020'!A:D,4,FALSE),VLOOKUP(C2673,'SINAPI_INSUMOS 062020'!A:D,4,FALSE))</f>
        <v>14.33</v>
      </c>
      <c r="H2673" s="75">
        <f t="shared" ref="H2673:H2674" si="207">TRUNC(G2673*F2673,2)</f>
        <v>0.85</v>
      </c>
    </row>
    <row r="2674" spans="1:8" ht="25.5" x14ac:dyDescent="0.25">
      <c r="A2674" s="125" t="s">
        <v>400</v>
      </c>
      <c r="B2674" s="115" t="s">
        <v>9</v>
      </c>
      <c r="C2674" s="115">
        <v>39606</v>
      </c>
      <c r="D2674" s="127" t="str">
        <f>IF(A2674="COMPOSIÇÃO",VLOOKUP(C2674,'SINAPI_COMPOSIÇÕES 062020'!A:B,2,FALSE),VLOOKUP(C2674,'SINAPI_INSUMOS 062020'!A:B,2,FALSE))</f>
        <v>PATCH CORD, CATEGORIA 6, EXTENSAO DE 1,50 M</v>
      </c>
      <c r="E2674" s="126" t="str">
        <f>IF(A2674="COMPOSIÇÃO",VLOOKUP(C2674,'SINAPI_COMPOSIÇÕES 062020'!A:C,3,FALSE),VLOOKUP(C2674,'SINAPI_INSUMOS 062020'!A:C,3,FALSE))</f>
        <v xml:space="preserve">UN    </v>
      </c>
      <c r="F2674" s="233">
        <v>1</v>
      </c>
      <c r="G2674" s="128">
        <f>IF(A2674="COMPOSIÇÃO",VLOOKUP(C2674,'SINAPI_COMPOSIÇÕES 062020'!A:D,4,FALSE),VLOOKUP(C2674,'SINAPI_INSUMOS 062020'!A:D,4,FALSE))</f>
        <v>14.27</v>
      </c>
      <c r="H2674" s="75">
        <f t="shared" si="207"/>
        <v>14.27</v>
      </c>
    </row>
    <row r="2675" spans="1:8" ht="13.5" thickBot="1" x14ac:dyDescent="0.3">
      <c r="A2675" s="267" t="str">
        <f>CONCATENATE("TOTAL DO ÍTEM - ",A2669)</f>
        <v>TOTAL DO ÍTEM - MPMT-05163</v>
      </c>
      <c r="B2675" s="268"/>
      <c r="C2675" s="268"/>
      <c r="D2675" s="268"/>
      <c r="E2675" s="268"/>
      <c r="F2675" s="268"/>
      <c r="G2675" s="269"/>
      <c r="H2675" s="188">
        <f>SUM(H2673:H2674)</f>
        <v>15.12</v>
      </c>
    </row>
    <row r="2676" spans="1:8" ht="13.5" thickBot="1" x14ac:dyDescent="0.3">
      <c r="A2676" s="299" t="s">
        <v>12819</v>
      </c>
      <c r="B2676" s="300"/>
      <c r="C2676" s="300"/>
      <c r="D2676" s="300"/>
      <c r="E2676" s="300"/>
      <c r="F2676" s="300"/>
      <c r="G2676" s="300"/>
      <c r="H2676" s="301"/>
    </row>
    <row r="2677" spans="1:8" ht="13.5" thickBot="1" x14ac:dyDescent="0.3">
      <c r="A2677" s="189"/>
      <c r="B2677" s="189"/>
      <c r="C2677" s="189"/>
      <c r="D2677" s="190"/>
      <c r="E2677" s="189"/>
      <c r="F2677" s="191"/>
      <c r="G2677" s="191"/>
      <c r="H2677" s="191"/>
    </row>
    <row r="2678" spans="1:8" ht="25.5" x14ac:dyDescent="0.25">
      <c r="A2678" s="120" t="s">
        <v>90</v>
      </c>
      <c r="B2678" s="286" t="s">
        <v>91</v>
      </c>
      <c r="C2678" s="287"/>
      <c r="D2678" s="287"/>
      <c r="E2678" s="287"/>
      <c r="F2678" s="287"/>
      <c r="G2678" s="288"/>
      <c r="H2678" s="121" t="s">
        <v>4</v>
      </c>
    </row>
    <row r="2679" spans="1:8" ht="13.5" thickBot="1" x14ac:dyDescent="0.3">
      <c r="A2679" s="113" t="s">
        <v>12820</v>
      </c>
      <c r="B2679" s="289" t="s">
        <v>12821</v>
      </c>
      <c r="C2679" s="290"/>
      <c r="D2679" s="290"/>
      <c r="E2679" s="290"/>
      <c r="F2679" s="290"/>
      <c r="G2679" s="291"/>
      <c r="H2679" s="114" t="s">
        <v>4</v>
      </c>
    </row>
    <row r="2680" spans="1:8" x14ac:dyDescent="0.25">
      <c r="A2680" s="273" t="s">
        <v>13834</v>
      </c>
      <c r="B2680" s="275" t="s">
        <v>92</v>
      </c>
      <c r="C2680" s="276"/>
      <c r="D2680" s="185" t="s">
        <v>12818</v>
      </c>
      <c r="E2680" s="239" t="s">
        <v>93</v>
      </c>
      <c r="F2680" s="186">
        <v>0</v>
      </c>
      <c r="G2680" s="277" t="s">
        <v>94</v>
      </c>
      <c r="H2680" s="278"/>
    </row>
    <row r="2681" spans="1:8" x14ac:dyDescent="0.25">
      <c r="A2681" s="274"/>
      <c r="B2681" s="281" t="s">
        <v>95</v>
      </c>
      <c r="C2681" s="282"/>
      <c r="D2681" s="230">
        <v>43878</v>
      </c>
      <c r="E2681" s="240" t="s">
        <v>96</v>
      </c>
      <c r="F2681" s="230">
        <v>43878</v>
      </c>
      <c r="G2681" s="279"/>
      <c r="H2681" s="280"/>
    </row>
    <row r="2682" spans="1:8" x14ac:dyDescent="0.25">
      <c r="A2682" s="122" t="s">
        <v>11885</v>
      </c>
      <c r="B2682" s="123" t="s">
        <v>97</v>
      </c>
      <c r="C2682" s="123" t="s">
        <v>98</v>
      </c>
      <c r="D2682" s="123" t="s">
        <v>3</v>
      </c>
      <c r="E2682" s="123" t="s">
        <v>4</v>
      </c>
      <c r="F2682" s="123" t="s">
        <v>99</v>
      </c>
      <c r="G2682" s="123" t="s">
        <v>100</v>
      </c>
      <c r="H2682" s="124" t="s">
        <v>101</v>
      </c>
    </row>
    <row r="2683" spans="1:8" ht="25.5" x14ac:dyDescent="0.25">
      <c r="A2683" s="125" t="s">
        <v>398</v>
      </c>
      <c r="B2683" s="115" t="s">
        <v>9</v>
      </c>
      <c r="C2683" s="115">
        <v>88247</v>
      </c>
      <c r="D2683" s="127" t="str">
        <f>IF(A2683="COMPOSIÇÃO",VLOOKUP(C2683,'SINAPI_COMPOSIÇÕES 062020'!A:B,2,FALSE),VLOOKUP(C2683,'SINAPI_INSUMOS 062020'!A:B,2,FALSE))</f>
        <v>AUXILIAR DE ELETRICISTA COM ENCARGOS COMPLEMENTARES</v>
      </c>
      <c r="E2683" s="126" t="str">
        <f>IF(A2683="COMPOSIÇÃO",VLOOKUP(C2683,'SINAPI_COMPOSIÇÕES 062020'!A:C,3,FALSE),VLOOKUP(C2683,'SINAPI_INSUMOS 062020'!A:C,3,FALSE))</f>
        <v>H</v>
      </c>
      <c r="F2683" s="233">
        <v>0.06</v>
      </c>
      <c r="G2683" s="128">
        <f>IF(A2683="COMPOSIÇÃO",VLOOKUP(C2683,'SINAPI_COMPOSIÇÕES 062020'!A:D,4,FALSE),VLOOKUP(C2683,'SINAPI_INSUMOS 062020'!A:D,4,FALSE))</f>
        <v>14.33</v>
      </c>
      <c r="H2683" s="75">
        <f t="shared" ref="H2683:H2684" si="208">TRUNC(G2683*F2683,2)</f>
        <v>0.85</v>
      </c>
    </row>
    <row r="2684" spans="1:8" ht="25.5" x14ac:dyDescent="0.25">
      <c r="A2684" s="125" t="s">
        <v>400</v>
      </c>
      <c r="B2684" s="115" t="s">
        <v>9</v>
      </c>
      <c r="C2684" s="115">
        <v>39607</v>
      </c>
      <c r="D2684" s="127" t="str">
        <f>IF(A2684="COMPOSIÇÃO",VLOOKUP(C2684,'SINAPI_COMPOSIÇÕES 062020'!A:B,2,FALSE),VLOOKUP(C2684,'SINAPI_INSUMOS 062020'!A:B,2,FALSE))</f>
        <v>PATCH CORD, CATEGORIA 6, EXTENSAO DE 2,50 M</v>
      </c>
      <c r="E2684" s="126" t="str">
        <f>IF(A2684="COMPOSIÇÃO",VLOOKUP(C2684,'SINAPI_COMPOSIÇÕES 062020'!A:C,3,FALSE),VLOOKUP(C2684,'SINAPI_INSUMOS 062020'!A:C,3,FALSE))</f>
        <v xml:space="preserve">UN    </v>
      </c>
      <c r="F2684" s="233">
        <v>1</v>
      </c>
      <c r="G2684" s="128">
        <f>IF(A2684="COMPOSIÇÃO",VLOOKUP(C2684,'SINAPI_COMPOSIÇÕES 062020'!A:D,4,FALSE),VLOOKUP(C2684,'SINAPI_INSUMOS 062020'!A:D,4,FALSE))</f>
        <v>16.37</v>
      </c>
      <c r="H2684" s="75">
        <f t="shared" si="208"/>
        <v>16.37</v>
      </c>
    </row>
    <row r="2685" spans="1:8" ht="13.5" thickBot="1" x14ac:dyDescent="0.3">
      <c r="A2685" s="267" t="str">
        <f>CONCATENATE("TOTAL DO ÍTEM - ",A2679)</f>
        <v>TOTAL DO ÍTEM - MPMT-05138</v>
      </c>
      <c r="B2685" s="268"/>
      <c r="C2685" s="268"/>
      <c r="D2685" s="268"/>
      <c r="E2685" s="268"/>
      <c r="F2685" s="268"/>
      <c r="G2685" s="269"/>
      <c r="H2685" s="188">
        <f>SUM(H2683:H2684)</f>
        <v>17.220000000000002</v>
      </c>
    </row>
    <row r="2686" spans="1:8" ht="13.5" thickBot="1" x14ac:dyDescent="0.3">
      <c r="A2686" s="299" t="s">
        <v>12819</v>
      </c>
      <c r="B2686" s="300"/>
      <c r="C2686" s="300"/>
      <c r="D2686" s="300"/>
      <c r="E2686" s="300"/>
      <c r="F2686" s="300"/>
      <c r="G2686" s="300"/>
      <c r="H2686" s="301"/>
    </row>
    <row r="2687" spans="1:8" ht="13.5" thickBot="1" x14ac:dyDescent="0.3"/>
    <row r="2688" spans="1:8" ht="25.5" x14ac:dyDescent="0.25">
      <c r="A2688" s="120" t="s">
        <v>90</v>
      </c>
      <c r="B2688" s="286" t="s">
        <v>91</v>
      </c>
      <c r="C2688" s="287"/>
      <c r="D2688" s="287"/>
      <c r="E2688" s="287"/>
      <c r="F2688" s="287"/>
      <c r="G2688" s="288"/>
      <c r="H2688" s="121" t="s">
        <v>4</v>
      </c>
    </row>
    <row r="2689" spans="1:8" ht="13.5" thickBot="1" x14ac:dyDescent="0.3">
      <c r="A2689" s="113" t="s">
        <v>12822</v>
      </c>
      <c r="B2689" s="289" t="s">
        <v>12823</v>
      </c>
      <c r="C2689" s="290"/>
      <c r="D2689" s="290"/>
      <c r="E2689" s="290"/>
      <c r="F2689" s="290"/>
      <c r="G2689" s="291"/>
      <c r="H2689" s="114" t="s">
        <v>4</v>
      </c>
    </row>
    <row r="2690" spans="1:8" x14ac:dyDescent="0.25">
      <c r="A2690" s="273" t="s">
        <v>13834</v>
      </c>
      <c r="B2690" s="309" t="s">
        <v>92</v>
      </c>
      <c r="C2690" s="310"/>
      <c r="D2690" s="185" t="s">
        <v>398</v>
      </c>
      <c r="E2690" s="239" t="s">
        <v>93</v>
      </c>
      <c r="F2690" s="186">
        <v>0</v>
      </c>
      <c r="G2690" s="311" t="s">
        <v>94</v>
      </c>
      <c r="H2690" s="312"/>
    </row>
    <row r="2691" spans="1:8" x14ac:dyDescent="0.25">
      <c r="A2691" s="274"/>
      <c r="B2691" s="281" t="s">
        <v>95</v>
      </c>
      <c r="C2691" s="282"/>
      <c r="D2691" s="230">
        <v>43878</v>
      </c>
      <c r="E2691" s="240" t="s">
        <v>96</v>
      </c>
      <c r="F2691" s="230">
        <v>43878</v>
      </c>
      <c r="G2691" s="279"/>
      <c r="H2691" s="280"/>
    </row>
    <row r="2692" spans="1:8" x14ac:dyDescent="0.25">
      <c r="A2692" s="122" t="s">
        <v>11885</v>
      </c>
      <c r="B2692" s="123" t="s">
        <v>97</v>
      </c>
      <c r="C2692" s="123" t="s">
        <v>98</v>
      </c>
      <c r="D2692" s="123" t="s">
        <v>3</v>
      </c>
      <c r="E2692" s="123" t="s">
        <v>4</v>
      </c>
      <c r="F2692" s="123" t="s">
        <v>99</v>
      </c>
      <c r="G2692" s="123" t="s">
        <v>100</v>
      </c>
      <c r="H2692" s="124" t="s">
        <v>101</v>
      </c>
    </row>
    <row r="2693" spans="1:8" ht="25.5" x14ac:dyDescent="0.25">
      <c r="A2693" s="125" t="s">
        <v>398</v>
      </c>
      <c r="B2693" s="115" t="s">
        <v>9</v>
      </c>
      <c r="C2693" s="115">
        <v>88247</v>
      </c>
      <c r="D2693" s="127" t="str">
        <f>IF(A2693="COMPOSIÇÃO",VLOOKUP(C2693,'SINAPI_COMPOSIÇÕES 062020'!A:B,2,FALSE),VLOOKUP(C2693,'SINAPI_INSUMOS 062020'!A:B,2,FALSE))</f>
        <v>AUXILIAR DE ELETRICISTA COM ENCARGOS COMPLEMENTARES</v>
      </c>
      <c r="E2693" s="126" t="str">
        <f>IF(A2693="COMPOSIÇÃO",VLOOKUP(C2693,'SINAPI_COMPOSIÇÕES 062020'!A:C,3,FALSE),VLOOKUP(C2693,'SINAPI_INSUMOS 062020'!A:C,3,FALSE))</f>
        <v>H</v>
      </c>
      <c r="F2693" s="233">
        <v>0.5</v>
      </c>
      <c r="G2693" s="128">
        <f>IF(A2693="COMPOSIÇÃO",VLOOKUP(C2693,'SINAPI_COMPOSIÇÕES 062020'!A:D,4,FALSE),VLOOKUP(C2693,'SINAPI_INSUMOS 062020'!A:D,4,FALSE))</f>
        <v>14.33</v>
      </c>
      <c r="H2693" s="75">
        <f t="shared" ref="H2693:H2694" si="209">TRUNC(G2693*F2693,2)</f>
        <v>7.16</v>
      </c>
    </row>
    <row r="2694" spans="1:8" ht="25.5" x14ac:dyDescent="0.25">
      <c r="A2694" s="125" t="s">
        <v>398</v>
      </c>
      <c r="B2694" s="115" t="s">
        <v>9</v>
      </c>
      <c r="C2694" s="115">
        <v>88264</v>
      </c>
      <c r="D2694" s="127" t="str">
        <f>IF(A2694="COMPOSIÇÃO",VLOOKUP(C2694,'SINAPI_COMPOSIÇÕES 062020'!A:B,2,FALSE),VLOOKUP(C2694,'SINAPI_INSUMOS 062020'!A:B,2,FALSE))</f>
        <v>ELETRICISTA COM ENCARGOS COMPLEMENTARES</v>
      </c>
      <c r="E2694" s="126" t="str">
        <f>IF(A2694="COMPOSIÇÃO",VLOOKUP(C2694,'SINAPI_COMPOSIÇÕES 062020'!A:C,3,FALSE),VLOOKUP(C2694,'SINAPI_INSUMOS 062020'!A:C,3,FALSE))</f>
        <v>H</v>
      </c>
      <c r="F2694" s="233">
        <v>0.5</v>
      </c>
      <c r="G2694" s="128">
        <f>IF(A2694="COMPOSIÇÃO",VLOOKUP(C2694,'SINAPI_COMPOSIÇÕES 062020'!A:D,4,FALSE),VLOOKUP(C2694,'SINAPI_INSUMOS 062020'!A:D,4,FALSE))</f>
        <v>18.38</v>
      </c>
      <c r="H2694" s="75">
        <f t="shared" si="209"/>
        <v>9.19</v>
      </c>
    </row>
    <row r="2695" spans="1:8" ht="13.5" thickBot="1" x14ac:dyDescent="0.3">
      <c r="A2695" s="267" t="str">
        <f>CONCATENATE("TOTAL DO ÍTEM - ",A2689)</f>
        <v>TOTAL DO ÍTEM - MPMT-05177</v>
      </c>
      <c r="B2695" s="268"/>
      <c r="C2695" s="268"/>
      <c r="D2695" s="268"/>
      <c r="E2695" s="268"/>
      <c r="F2695" s="268"/>
      <c r="G2695" s="269"/>
      <c r="H2695" s="188">
        <f>SUM(H2693:H2694)</f>
        <v>16.350000000000001</v>
      </c>
    </row>
    <row r="2696" spans="1:8" ht="13.5" thickBot="1" x14ac:dyDescent="0.3">
      <c r="A2696" s="299" t="s">
        <v>12494</v>
      </c>
      <c r="B2696" s="300"/>
      <c r="C2696" s="300"/>
      <c r="D2696" s="300"/>
      <c r="E2696" s="300"/>
      <c r="F2696" s="300"/>
      <c r="G2696" s="300"/>
      <c r="H2696" s="301"/>
    </row>
    <row r="2697" spans="1:8" ht="13.5" thickBot="1" x14ac:dyDescent="0.3"/>
    <row r="2698" spans="1:8" ht="25.5" x14ac:dyDescent="0.25">
      <c r="A2698" s="120" t="s">
        <v>90</v>
      </c>
      <c r="B2698" s="286" t="s">
        <v>91</v>
      </c>
      <c r="C2698" s="287"/>
      <c r="D2698" s="287"/>
      <c r="E2698" s="287"/>
      <c r="F2698" s="287"/>
      <c r="G2698" s="288"/>
      <c r="H2698" s="121" t="s">
        <v>4</v>
      </c>
    </row>
    <row r="2699" spans="1:8" ht="13.5" thickBot="1" x14ac:dyDescent="0.3">
      <c r="A2699" s="113" t="s">
        <v>12824</v>
      </c>
      <c r="B2699" s="289" t="s">
        <v>12825</v>
      </c>
      <c r="C2699" s="290"/>
      <c r="D2699" s="290"/>
      <c r="E2699" s="290"/>
      <c r="F2699" s="290"/>
      <c r="G2699" s="291"/>
      <c r="H2699" s="114" t="s">
        <v>4</v>
      </c>
    </row>
    <row r="2700" spans="1:8" x14ac:dyDescent="0.25">
      <c r="A2700" s="273" t="s">
        <v>13834</v>
      </c>
      <c r="B2700" s="275" t="s">
        <v>92</v>
      </c>
      <c r="C2700" s="276"/>
      <c r="D2700" s="185" t="s">
        <v>12826</v>
      </c>
      <c r="E2700" s="239" t="s">
        <v>93</v>
      </c>
      <c r="F2700" s="186">
        <v>0</v>
      </c>
      <c r="G2700" s="277" t="s">
        <v>94</v>
      </c>
      <c r="H2700" s="278"/>
    </row>
    <row r="2701" spans="1:8" x14ac:dyDescent="0.25">
      <c r="A2701" s="274"/>
      <c r="B2701" s="281" t="s">
        <v>95</v>
      </c>
      <c r="C2701" s="282"/>
      <c r="D2701" s="230">
        <v>43878</v>
      </c>
      <c r="E2701" s="240" t="s">
        <v>96</v>
      </c>
      <c r="F2701" s="230">
        <v>43878</v>
      </c>
      <c r="G2701" s="279"/>
      <c r="H2701" s="280"/>
    </row>
    <row r="2702" spans="1:8" x14ac:dyDescent="0.25">
      <c r="A2702" s="122" t="s">
        <v>11885</v>
      </c>
      <c r="B2702" s="123" t="s">
        <v>97</v>
      </c>
      <c r="C2702" s="123" t="s">
        <v>98</v>
      </c>
      <c r="D2702" s="123" t="s">
        <v>3</v>
      </c>
      <c r="E2702" s="123" t="s">
        <v>4</v>
      </c>
      <c r="F2702" s="123" t="s">
        <v>99</v>
      </c>
      <c r="G2702" s="123" t="s">
        <v>100</v>
      </c>
      <c r="H2702" s="124" t="s">
        <v>101</v>
      </c>
    </row>
    <row r="2703" spans="1:8" ht="25.5" x14ac:dyDescent="0.25">
      <c r="A2703" s="125" t="s">
        <v>11958</v>
      </c>
      <c r="B2703" s="115" t="s">
        <v>12827</v>
      </c>
      <c r="C2703" s="115" t="s">
        <v>11960</v>
      </c>
      <c r="D2703" s="194" t="s">
        <v>12828</v>
      </c>
      <c r="E2703" s="115" t="s">
        <v>4</v>
      </c>
      <c r="F2703" s="233">
        <v>1</v>
      </c>
      <c r="G2703" s="195">
        <v>65</v>
      </c>
      <c r="H2703" s="222">
        <f t="shared" ref="H2703" si="210">G2703*F2703</f>
        <v>65</v>
      </c>
    </row>
    <row r="2704" spans="1:8" ht="13.5" thickBot="1" x14ac:dyDescent="0.3">
      <c r="A2704" s="267" t="str">
        <f>CONCATENATE("TOTAL DO ÍTEM - ",A2699)</f>
        <v>TOTAL DO ÍTEM - MPMT-05168</v>
      </c>
      <c r="B2704" s="268"/>
      <c r="C2704" s="268"/>
      <c r="D2704" s="268"/>
      <c r="E2704" s="268"/>
      <c r="F2704" s="268"/>
      <c r="G2704" s="269"/>
      <c r="H2704" s="188">
        <f>SUM(H2703:H2703)</f>
        <v>65</v>
      </c>
    </row>
    <row r="2705" spans="1:8" ht="13.5" thickBot="1" x14ac:dyDescent="0.3">
      <c r="A2705" s="299" t="s">
        <v>12829</v>
      </c>
      <c r="B2705" s="300"/>
      <c r="C2705" s="300"/>
      <c r="D2705" s="300"/>
      <c r="E2705" s="300"/>
      <c r="F2705" s="300"/>
      <c r="G2705" s="300"/>
      <c r="H2705" s="301"/>
    </row>
    <row r="2706" spans="1:8" ht="13.5" thickBot="1" x14ac:dyDescent="0.3"/>
    <row r="2707" spans="1:8" ht="25.5" x14ac:dyDescent="0.25">
      <c r="A2707" s="120" t="s">
        <v>90</v>
      </c>
      <c r="B2707" s="286" t="s">
        <v>91</v>
      </c>
      <c r="C2707" s="287"/>
      <c r="D2707" s="287"/>
      <c r="E2707" s="287"/>
      <c r="F2707" s="287"/>
      <c r="G2707" s="288"/>
      <c r="H2707" s="121" t="s">
        <v>4</v>
      </c>
    </row>
    <row r="2708" spans="1:8" ht="13.5" thickBot="1" x14ac:dyDescent="0.3">
      <c r="A2708" s="113" t="s">
        <v>12830</v>
      </c>
      <c r="B2708" s="289" t="s">
        <v>12831</v>
      </c>
      <c r="C2708" s="290"/>
      <c r="D2708" s="290"/>
      <c r="E2708" s="290"/>
      <c r="F2708" s="290"/>
      <c r="G2708" s="291"/>
      <c r="H2708" s="114" t="s">
        <v>16</v>
      </c>
    </row>
    <row r="2709" spans="1:8" x14ac:dyDescent="0.25">
      <c r="A2709" s="273" t="s">
        <v>13834</v>
      </c>
      <c r="B2709" s="275" t="s">
        <v>92</v>
      </c>
      <c r="C2709" s="276"/>
      <c r="D2709" s="185" t="s">
        <v>12832</v>
      </c>
      <c r="E2709" s="239" t="s">
        <v>93</v>
      </c>
      <c r="F2709" s="186">
        <v>0</v>
      </c>
      <c r="G2709" s="277" t="s">
        <v>94</v>
      </c>
      <c r="H2709" s="278"/>
    </row>
    <row r="2710" spans="1:8" x14ac:dyDescent="0.25">
      <c r="A2710" s="274"/>
      <c r="B2710" s="281" t="s">
        <v>95</v>
      </c>
      <c r="C2710" s="282"/>
      <c r="D2710" s="230">
        <v>43878</v>
      </c>
      <c r="E2710" s="240" t="s">
        <v>96</v>
      </c>
      <c r="F2710" s="230">
        <v>43878</v>
      </c>
      <c r="G2710" s="279"/>
      <c r="H2710" s="280"/>
    </row>
    <row r="2711" spans="1:8" x14ac:dyDescent="0.25">
      <c r="A2711" s="122" t="s">
        <v>11885</v>
      </c>
      <c r="B2711" s="123" t="s">
        <v>97</v>
      </c>
      <c r="C2711" s="123" t="s">
        <v>98</v>
      </c>
      <c r="D2711" s="123" t="s">
        <v>3</v>
      </c>
      <c r="E2711" s="123" t="s">
        <v>4</v>
      </c>
      <c r="F2711" s="123" t="s">
        <v>99</v>
      </c>
      <c r="G2711" s="123" t="s">
        <v>100</v>
      </c>
      <c r="H2711" s="124" t="s">
        <v>101</v>
      </c>
    </row>
    <row r="2712" spans="1:8" ht="25.5" x14ac:dyDescent="0.25">
      <c r="A2712" s="125" t="s">
        <v>398</v>
      </c>
      <c r="B2712" s="115" t="s">
        <v>9</v>
      </c>
      <c r="C2712" s="115">
        <v>88264</v>
      </c>
      <c r="D2712" s="127" t="str">
        <f>IF(A2712="COMPOSIÇÃO",VLOOKUP(C2712,'SINAPI_COMPOSIÇÕES 062020'!A:B,2,FALSE),VLOOKUP(C2712,'SINAPI_INSUMOS 062020'!A:B,2,FALSE))</f>
        <v>ELETRICISTA COM ENCARGOS COMPLEMENTARES</v>
      </c>
      <c r="E2712" s="126" t="str">
        <f>IF(A2712="COMPOSIÇÃO",VLOOKUP(C2712,'SINAPI_COMPOSIÇÕES 062020'!A:C,3,FALSE),VLOOKUP(C2712,'SINAPI_INSUMOS 062020'!A:C,3,FALSE))</f>
        <v>H</v>
      </c>
      <c r="F2712" s="233">
        <v>2.8E-3</v>
      </c>
      <c r="G2712" s="128">
        <f>IF(A2712="COMPOSIÇÃO",VLOOKUP(C2712,'SINAPI_COMPOSIÇÕES 062020'!A:D,4,FALSE),VLOOKUP(C2712,'SINAPI_INSUMOS 062020'!A:D,4,FALSE))</f>
        <v>18.38</v>
      </c>
      <c r="H2712" s="75">
        <f t="shared" ref="H2712:H2713" si="211">TRUNC(G2712*F2712,2)</f>
        <v>0.05</v>
      </c>
    </row>
    <row r="2713" spans="1:8" ht="25.5" x14ac:dyDescent="0.25">
      <c r="A2713" s="125" t="s">
        <v>398</v>
      </c>
      <c r="B2713" s="115" t="s">
        <v>9</v>
      </c>
      <c r="C2713" s="115">
        <v>88247</v>
      </c>
      <c r="D2713" s="127" t="str">
        <f>IF(A2713="COMPOSIÇÃO",VLOOKUP(C2713,'SINAPI_COMPOSIÇÕES 062020'!A:B,2,FALSE),VLOOKUP(C2713,'SINAPI_INSUMOS 062020'!A:B,2,FALSE))</f>
        <v>AUXILIAR DE ELETRICISTA COM ENCARGOS COMPLEMENTARES</v>
      </c>
      <c r="E2713" s="126" t="str">
        <f>IF(A2713="COMPOSIÇÃO",VLOOKUP(C2713,'SINAPI_COMPOSIÇÕES 062020'!A:C,3,FALSE),VLOOKUP(C2713,'SINAPI_INSUMOS 062020'!A:C,3,FALSE))</f>
        <v>H</v>
      </c>
      <c r="F2713" s="233">
        <v>2.8E-3</v>
      </c>
      <c r="G2713" s="128">
        <f>IF(A2713="COMPOSIÇÃO",VLOOKUP(C2713,'SINAPI_COMPOSIÇÕES 062020'!A:D,4,FALSE),VLOOKUP(C2713,'SINAPI_INSUMOS 062020'!A:D,4,FALSE))</f>
        <v>14.33</v>
      </c>
      <c r="H2713" s="75">
        <f t="shared" si="211"/>
        <v>0.04</v>
      </c>
    </row>
    <row r="2714" spans="1:8" x14ac:dyDescent="0.25">
      <c r="A2714" s="125" t="s">
        <v>11958</v>
      </c>
      <c r="B2714" s="115" t="s">
        <v>11959</v>
      </c>
      <c r="C2714" s="115" t="s">
        <v>11960</v>
      </c>
      <c r="D2714" s="194" t="str">
        <f>B2718</f>
        <v>CABO ÓPTICO 50 MM, ANTI ROEDOR 4FO</v>
      </c>
      <c r="E2714" s="115" t="str">
        <f>H2718</f>
        <v>M</v>
      </c>
      <c r="F2714" s="233">
        <v>1.05</v>
      </c>
      <c r="G2714" s="195">
        <f>H2723</f>
        <v>18.7</v>
      </c>
      <c r="H2714" s="222">
        <f t="shared" ref="H2714" si="212">G2714*F2714</f>
        <v>19.635000000000002</v>
      </c>
    </row>
    <row r="2715" spans="1:8" ht="13.5" thickBot="1" x14ac:dyDescent="0.3">
      <c r="A2715" s="267" t="str">
        <f>CONCATENATE("TOTAL DO ÍTEM - ",A2708)</f>
        <v>TOTAL DO ÍTEM - MPMT-05131</v>
      </c>
      <c r="B2715" s="268"/>
      <c r="C2715" s="268"/>
      <c r="D2715" s="268"/>
      <c r="E2715" s="268"/>
      <c r="F2715" s="268"/>
      <c r="G2715" s="269"/>
      <c r="H2715" s="188">
        <f>SUM(H2712:H2714)</f>
        <v>19.725000000000001</v>
      </c>
    </row>
    <row r="2716" spans="1:8" ht="13.5" thickBot="1" x14ac:dyDescent="0.3">
      <c r="A2716" s="299" t="s">
        <v>12833</v>
      </c>
      <c r="B2716" s="300"/>
      <c r="C2716" s="300"/>
      <c r="D2716" s="300"/>
      <c r="E2716" s="300"/>
      <c r="F2716" s="300"/>
      <c r="G2716" s="300"/>
      <c r="H2716" s="301"/>
    </row>
    <row r="2717" spans="1:8" ht="13.5" thickBot="1" x14ac:dyDescent="0.3">
      <c r="A2717" s="317" t="s">
        <v>12483</v>
      </c>
      <c r="B2717" s="318"/>
      <c r="C2717" s="318"/>
      <c r="D2717" s="318"/>
      <c r="E2717" s="318"/>
      <c r="F2717" s="318"/>
      <c r="G2717" s="318"/>
      <c r="H2717" s="319"/>
    </row>
    <row r="2718" spans="1:8" ht="13.5" thickBot="1" x14ac:dyDescent="0.3">
      <c r="A2718" s="234" t="s">
        <v>11960</v>
      </c>
      <c r="B2718" s="293" t="s">
        <v>12834</v>
      </c>
      <c r="C2718" s="293"/>
      <c r="D2718" s="293"/>
      <c r="E2718" s="293"/>
      <c r="F2718" s="293"/>
      <c r="G2718" s="293"/>
      <c r="H2718" s="235" t="s">
        <v>16</v>
      </c>
    </row>
    <row r="2719" spans="1:8" ht="25.5" x14ac:dyDescent="0.25">
      <c r="A2719" s="213" t="s">
        <v>11965</v>
      </c>
      <c r="B2719" s="241" t="s">
        <v>11966</v>
      </c>
      <c r="C2719" s="241" t="s">
        <v>11967</v>
      </c>
      <c r="D2719" s="241" t="s">
        <v>11968</v>
      </c>
      <c r="E2719" s="294" t="s">
        <v>11969</v>
      </c>
      <c r="F2719" s="294"/>
      <c r="G2719" s="241" t="s">
        <v>4</v>
      </c>
      <c r="H2719" s="214" t="s">
        <v>11970</v>
      </c>
    </row>
    <row r="2720" spans="1:8" x14ac:dyDescent="0.25">
      <c r="A2720" s="205">
        <v>43874</v>
      </c>
      <c r="B2720" s="206" t="s">
        <v>12765</v>
      </c>
      <c r="C2720" s="206" t="s">
        <v>12745</v>
      </c>
      <c r="D2720" s="360" t="s">
        <v>12766</v>
      </c>
      <c r="E2720" s="295" t="s">
        <v>12747</v>
      </c>
      <c r="F2720" s="295"/>
      <c r="G2720" s="115" t="s">
        <v>16</v>
      </c>
      <c r="H2720" s="218">
        <v>9.24</v>
      </c>
    </row>
    <row r="2721" spans="1:8" x14ac:dyDescent="0.25">
      <c r="A2721" s="205" t="s">
        <v>12767</v>
      </c>
      <c r="B2721" s="206" t="s">
        <v>12484</v>
      </c>
      <c r="C2721" s="206" t="s">
        <v>12485</v>
      </c>
      <c r="D2721" s="236" t="s">
        <v>12486</v>
      </c>
      <c r="E2721" s="295" t="s">
        <v>12474</v>
      </c>
      <c r="F2721" s="295"/>
      <c r="G2721" s="115" t="s">
        <v>16</v>
      </c>
      <c r="H2721" s="218">
        <v>18.7</v>
      </c>
    </row>
    <row r="2722" spans="1:8" x14ac:dyDescent="0.25">
      <c r="A2722" s="205" t="s">
        <v>12814</v>
      </c>
      <c r="B2722" s="206" t="s">
        <v>11971</v>
      </c>
      <c r="C2722" s="206" t="s">
        <v>12793</v>
      </c>
      <c r="D2722" s="360" t="s">
        <v>12815</v>
      </c>
      <c r="E2722" s="295" t="s">
        <v>12795</v>
      </c>
      <c r="F2722" s="295"/>
      <c r="G2722" s="115" t="s">
        <v>16</v>
      </c>
      <c r="H2722" s="218">
        <f>5914.86/290</f>
        <v>20.396068965517241</v>
      </c>
    </row>
    <row r="2723" spans="1:8" ht="13.5" thickBot="1" x14ac:dyDescent="0.3">
      <c r="A2723" s="296" t="s">
        <v>11981</v>
      </c>
      <c r="B2723" s="297"/>
      <c r="C2723" s="297"/>
      <c r="D2723" s="297"/>
      <c r="E2723" s="297"/>
      <c r="F2723" s="297"/>
      <c r="G2723" s="298"/>
      <c r="H2723" s="188">
        <f>TRUNC(MEDIAN(H2720:H2722),2)</f>
        <v>18.7</v>
      </c>
    </row>
    <row r="2724" spans="1:8" ht="13.5" thickBot="1" x14ac:dyDescent="0.3"/>
    <row r="2725" spans="1:8" ht="25.5" x14ac:dyDescent="0.25">
      <c r="A2725" s="120" t="s">
        <v>90</v>
      </c>
      <c r="B2725" s="286" t="s">
        <v>91</v>
      </c>
      <c r="C2725" s="287"/>
      <c r="D2725" s="287"/>
      <c r="E2725" s="287"/>
      <c r="F2725" s="287"/>
      <c r="G2725" s="288"/>
      <c r="H2725" s="121" t="s">
        <v>4</v>
      </c>
    </row>
    <row r="2726" spans="1:8" ht="13.5" thickBot="1" x14ac:dyDescent="0.3">
      <c r="A2726" s="113" t="s">
        <v>12835</v>
      </c>
      <c r="B2726" s="289" t="s">
        <v>12836</v>
      </c>
      <c r="C2726" s="290"/>
      <c r="D2726" s="290"/>
      <c r="E2726" s="290"/>
      <c r="F2726" s="290"/>
      <c r="G2726" s="291"/>
      <c r="H2726" s="114" t="s">
        <v>4</v>
      </c>
    </row>
    <row r="2727" spans="1:8" x14ac:dyDescent="0.25">
      <c r="A2727" s="273" t="s">
        <v>13834</v>
      </c>
      <c r="B2727" s="275" t="s">
        <v>92</v>
      </c>
      <c r="C2727" s="276"/>
      <c r="D2727" s="185" t="s">
        <v>12826</v>
      </c>
      <c r="E2727" s="239" t="s">
        <v>93</v>
      </c>
      <c r="F2727" s="186">
        <v>0</v>
      </c>
      <c r="G2727" s="277" t="s">
        <v>94</v>
      </c>
      <c r="H2727" s="278"/>
    </row>
    <row r="2728" spans="1:8" x14ac:dyDescent="0.25">
      <c r="A2728" s="274"/>
      <c r="B2728" s="281" t="s">
        <v>95</v>
      </c>
      <c r="C2728" s="282"/>
      <c r="D2728" s="230">
        <v>43878</v>
      </c>
      <c r="E2728" s="240" t="s">
        <v>96</v>
      </c>
      <c r="F2728" s="230">
        <v>43878</v>
      </c>
      <c r="G2728" s="279"/>
      <c r="H2728" s="280"/>
    </row>
    <row r="2729" spans="1:8" x14ac:dyDescent="0.25">
      <c r="A2729" s="122" t="s">
        <v>11885</v>
      </c>
      <c r="B2729" s="123" t="s">
        <v>97</v>
      </c>
      <c r="C2729" s="123" t="s">
        <v>98</v>
      </c>
      <c r="D2729" s="123" t="s">
        <v>3</v>
      </c>
      <c r="E2729" s="123" t="s">
        <v>4</v>
      </c>
      <c r="F2729" s="123" t="s">
        <v>99</v>
      </c>
      <c r="G2729" s="123" t="s">
        <v>100</v>
      </c>
      <c r="H2729" s="124" t="s">
        <v>101</v>
      </c>
    </row>
    <row r="2730" spans="1:8" ht="25.5" x14ac:dyDescent="0.25">
      <c r="A2730" s="125" t="s">
        <v>11958</v>
      </c>
      <c r="B2730" s="115" t="s">
        <v>12827</v>
      </c>
      <c r="C2730" s="115" t="s">
        <v>11960</v>
      </c>
      <c r="D2730" s="194" t="s">
        <v>12836</v>
      </c>
      <c r="E2730" s="115" t="s">
        <v>4</v>
      </c>
      <c r="F2730" s="233">
        <v>1</v>
      </c>
      <c r="G2730" s="195">
        <v>7</v>
      </c>
      <c r="H2730" s="222">
        <f t="shared" ref="H2730" si="213">G2730*F2730</f>
        <v>7</v>
      </c>
    </row>
    <row r="2731" spans="1:8" ht="13.5" thickBot="1" x14ac:dyDescent="0.3">
      <c r="A2731" s="267" t="str">
        <f>CONCATENATE("TOTAL DO ÍTEM - ",A2726)</f>
        <v>TOTAL DO ÍTEM - MPMT-05169</v>
      </c>
      <c r="B2731" s="268"/>
      <c r="C2731" s="268"/>
      <c r="D2731" s="268"/>
      <c r="E2731" s="268"/>
      <c r="F2731" s="268"/>
      <c r="G2731" s="269"/>
      <c r="H2731" s="188">
        <f>SUM(H2730:H2730)</f>
        <v>7</v>
      </c>
    </row>
    <row r="2732" spans="1:8" ht="13.5" thickBot="1" x14ac:dyDescent="0.3">
      <c r="A2732" s="299" t="s">
        <v>12837</v>
      </c>
      <c r="B2732" s="300"/>
      <c r="C2732" s="300"/>
      <c r="D2732" s="300"/>
      <c r="E2732" s="300"/>
      <c r="F2732" s="300"/>
      <c r="G2732" s="300"/>
      <c r="H2732" s="301"/>
    </row>
    <row r="2733" spans="1:8" ht="13.5" thickBot="1" x14ac:dyDescent="0.3"/>
    <row r="2734" spans="1:8" ht="25.5" x14ac:dyDescent="0.25">
      <c r="A2734" s="120" t="s">
        <v>90</v>
      </c>
      <c r="B2734" s="286" t="s">
        <v>91</v>
      </c>
      <c r="C2734" s="287"/>
      <c r="D2734" s="287"/>
      <c r="E2734" s="287"/>
      <c r="F2734" s="287"/>
      <c r="G2734" s="288"/>
      <c r="H2734" s="121" t="s">
        <v>4</v>
      </c>
    </row>
    <row r="2735" spans="1:8" ht="13.5" thickBot="1" x14ac:dyDescent="0.3">
      <c r="A2735" s="113" t="s">
        <v>12838</v>
      </c>
      <c r="B2735" s="289" t="s">
        <v>12839</v>
      </c>
      <c r="C2735" s="290"/>
      <c r="D2735" s="290"/>
      <c r="E2735" s="290"/>
      <c r="F2735" s="290"/>
      <c r="G2735" s="291"/>
      <c r="H2735" s="114" t="s">
        <v>4</v>
      </c>
    </row>
    <row r="2736" spans="1:8" x14ac:dyDescent="0.25">
      <c r="A2736" s="273" t="s">
        <v>13834</v>
      </c>
      <c r="B2736" s="275" t="s">
        <v>92</v>
      </c>
      <c r="C2736" s="276"/>
      <c r="D2736" s="185" t="s">
        <v>12840</v>
      </c>
      <c r="E2736" s="239" t="s">
        <v>93</v>
      </c>
      <c r="F2736" s="186">
        <v>0</v>
      </c>
      <c r="G2736" s="277" t="s">
        <v>94</v>
      </c>
      <c r="H2736" s="278"/>
    </row>
    <row r="2737" spans="1:8" x14ac:dyDescent="0.25">
      <c r="A2737" s="274"/>
      <c r="B2737" s="281" t="s">
        <v>95</v>
      </c>
      <c r="C2737" s="282"/>
      <c r="D2737" s="230">
        <v>43775</v>
      </c>
      <c r="E2737" s="240" t="s">
        <v>96</v>
      </c>
      <c r="F2737" s="230">
        <v>43775</v>
      </c>
      <c r="G2737" s="279"/>
      <c r="H2737" s="280"/>
    </row>
    <row r="2738" spans="1:8" x14ac:dyDescent="0.25">
      <c r="A2738" s="122" t="s">
        <v>11885</v>
      </c>
      <c r="B2738" s="123" t="s">
        <v>97</v>
      </c>
      <c r="C2738" s="123" t="s">
        <v>98</v>
      </c>
      <c r="D2738" s="123" t="s">
        <v>3</v>
      </c>
      <c r="E2738" s="123" t="s">
        <v>4</v>
      </c>
      <c r="F2738" s="123" t="s">
        <v>99</v>
      </c>
      <c r="G2738" s="123" t="s">
        <v>100</v>
      </c>
      <c r="H2738" s="124" t="s">
        <v>101</v>
      </c>
    </row>
    <row r="2739" spans="1:8" ht="25.5" x14ac:dyDescent="0.25">
      <c r="A2739" s="125" t="s">
        <v>398</v>
      </c>
      <c r="B2739" s="115" t="s">
        <v>9</v>
      </c>
      <c r="C2739" s="115">
        <v>88264</v>
      </c>
      <c r="D2739" s="127" t="str">
        <f>IF(A2739="COMPOSIÇÃO",VLOOKUP(C2739,'SINAPI_COMPOSIÇÕES 062020'!A:B,2,FALSE),VLOOKUP(C2739,'SINAPI_INSUMOS 062020'!A:B,2,FALSE))</f>
        <v>ELETRICISTA COM ENCARGOS COMPLEMENTARES</v>
      </c>
      <c r="E2739" s="126" t="str">
        <f>IF(A2739="COMPOSIÇÃO",VLOOKUP(C2739,'SINAPI_COMPOSIÇÕES 062020'!A:C,3,FALSE),VLOOKUP(C2739,'SINAPI_INSUMOS 062020'!A:C,3,FALSE))</f>
        <v>H</v>
      </c>
      <c r="F2739" s="237">
        <v>3.3000000000000002E-2</v>
      </c>
      <c r="G2739" s="128">
        <f>IF(A2739="COMPOSIÇÃO",VLOOKUP(C2739,'SINAPI_COMPOSIÇÕES 062020'!A:D,4,FALSE),VLOOKUP(C2739,'SINAPI_INSUMOS 062020'!A:D,4,FALSE))</f>
        <v>18.38</v>
      </c>
      <c r="H2739" s="75">
        <f t="shared" ref="H2739" si="214">TRUNC(G2739*F2739,2)</f>
        <v>0.6</v>
      </c>
    </row>
    <row r="2740" spans="1:8" x14ac:dyDescent="0.25">
      <c r="A2740" s="125" t="s">
        <v>11958</v>
      </c>
      <c r="B2740" s="115" t="s">
        <v>11959</v>
      </c>
      <c r="C2740" s="115" t="s">
        <v>11960</v>
      </c>
      <c r="D2740" s="194" t="str">
        <f>B2744</f>
        <v>ANILHA DE IDENTIFICAÇÃO DE CABOS</v>
      </c>
      <c r="E2740" s="115" t="str">
        <f>H2744</f>
        <v>UND</v>
      </c>
      <c r="F2740" s="237">
        <v>1</v>
      </c>
      <c r="G2740" s="195">
        <f>H2749</f>
        <v>0.12</v>
      </c>
      <c r="H2740" s="222">
        <f t="shared" ref="H2740" si="215">G2740*F2740</f>
        <v>0.12</v>
      </c>
    </row>
    <row r="2741" spans="1:8" ht="13.5" thickBot="1" x14ac:dyDescent="0.3">
      <c r="A2741" s="267" t="str">
        <f>CONCATENATE("TOTAL DO ÍTEM - ",A2735)</f>
        <v>TOTAL DO ÍTEM - MPMT-05066</v>
      </c>
      <c r="B2741" s="268"/>
      <c r="C2741" s="268"/>
      <c r="D2741" s="268"/>
      <c r="E2741" s="268"/>
      <c r="F2741" s="268"/>
      <c r="G2741" s="269"/>
      <c r="H2741" s="188">
        <f>SUM(H2739:H2740)</f>
        <v>0.72</v>
      </c>
    </row>
    <row r="2742" spans="1:8" ht="13.5" thickBot="1" x14ac:dyDescent="0.3">
      <c r="A2742" s="299" t="s">
        <v>12841</v>
      </c>
      <c r="B2742" s="300"/>
      <c r="C2742" s="300"/>
      <c r="D2742" s="300"/>
      <c r="E2742" s="300"/>
      <c r="F2742" s="300"/>
      <c r="G2742" s="300"/>
      <c r="H2742" s="301"/>
    </row>
    <row r="2743" spans="1:8" ht="13.5" thickBot="1" x14ac:dyDescent="0.3">
      <c r="A2743" s="317" t="s">
        <v>12483</v>
      </c>
      <c r="B2743" s="318"/>
      <c r="C2743" s="318"/>
      <c r="D2743" s="318"/>
      <c r="E2743" s="318"/>
      <c r="F2743" s="318"/>
      <c r="G2743" s="318"/>
      <c r="H2743" s="319"/>
    </row>
    <row r="2744" spans="1:8" ht="13.5" thickBot="1" x14ac:dyDescent="0.3">
      <c r="A2744" s="234" t="s">
        <v>11960</v>
      </c>
      <c r="B2744" s="293" t="s">
        <v>12842</v>
      </c>
      <c r="C2744" s="293"/>
      <c r="D2744" s="293"/>
      <c r="E2744" s="293"/>
      <c r="F2744" s="293"/>
      <c r="G2744" s="293"/>
      <c r="H2744" s="235" t="s">
        <v>4</v>
      </c>
    </row>
    <row r="2745" spans="1:8" ht="25.5" x14ac:dyDescent="0.25">
      <c r="A2745" s="213" t="s">
        <v>11965</v>
      </c>
      <c r="B2745" s="241" t="s">
        <v>11966</v>
      </c>
      <c r="C2745" s="241" t="s">
        <v>11967</v>
      </c>
      <c r="D2745" s="241" t="s">
        <v>11968</v>
      </c>
      <c r="E2745" s="294" t="s">
        <v>11969</v>
      </c>
      <c r="F2745" s="294"/>
      <c r="G2745" s="241" t="s">
        <v>4</v>
      </c>
      <c r="H2745" s="214" t="s">
        <v>11970</v>
      </c>
    </row>
    <row r="2746" spans="1:8" x14ac:dyDescent="0.25">
      <c r="A2746" s="205">
        <v>43763</v>
      </c>
      <c r="B2746" s="206" t="s">
        <v>11971</v>
      </c>
      <c r="C2746" s="206" t="s">
        <v>12843</v>
      </c>
      <c r="D2746" s="207" t="s">
        <v>12844</v>
      </c>
      <c r="E2746" s="295" t="s">
        <v>12845</v>
      </c>
      <c r="F2746" s="295"/>
      <c r="G2746" s="115" t="s">
        <v>4</v>
      </c>
      <c r="H2746" s="208">
        <f>22.9/100</f>
        <v>0.22899999999999998</v>
      </c>
    </row>
    <row r="2747" spans="1:8" x14ac:dyDescent="0.25">
      <c r="A2747" s="205">
        <v>43763</v>
      </c>
      <c r="B2747" s="206" t="s">
        <v>11971</v>
      </c>
      <c r="C2747" s="206" t="s">
        <v>12346</v>
      </c>
      <c r="D2747" s="207" t="s">
        <v>12846</v>
      </c>
      <c r="E2747" s="295" t="s">
        <v>12395</v>
      </c>
      <c r="F2747" s="295"/>
      <c r="G2747" s="115" t="s">
        <v>4</v>
      </c>
      <c r="H2747" s="208">
        <f>127.75/1000</f>
        <v>0.12775</v>
      </c>
    </row>
    <row r="2748" spans="1:8" x14ac:dyDescent="0.25">
      <c r="A2748" s="205">
        <v>43763</v>
      </c>
      <c r="B2748" s="206" t="s">
        <v>11971</v>
      </c>
      <c r="C2748" s="209" t="s">
        <v>12847</v>
      </c>
      <c r="D2748" s="210" t="s">
        <v>12848</v>
      </c>
      <c r="E2748" s="307" t="s">
        <v>12849</v>
      </c>
      <c r="F2748" s="307"/>
      <c r="G2748" s="211" t="s">
        <v>4</v>
      </c>
      <c r="H2748" s="212">
        <f>92.13/1000</f>
        <v>9.212999999999999E-2</v>
      </c>
    </row>
    <row r="2749" spans="1:8" ht="13.5" thickBot="1" x14ac:dyDescent="0.3">
      <c r="A2749" s="296" t="s">
        <v>11981</v>
      </c>
      <c r="B2749" s="297"/>
      <c r="C2749" s="297"/>
      <c r="D2749" s="297"/>
      <c r="E2749" s="297"/>
      <c r="F2749" s="297"/>
      <c r="G2749" s="298"/>
      <c r="H2749" s="188">
        <f>TRUNC(MEDIAN(H2746:H2748),2)</f>
        <v>0.12</v>
      </c>
    </row>
    <row r="2750" spans="1:8" ht="13.5" thickBot="1" x14ac:dyDescent="0.3"/>
    <row r="2751" spans="1:8" ht="25.5" x14ac:dyDescent="0.25">
      <c r="A2751" s="120" t="s">
        <v>90</v>
      </c>
      <c r="B2751" s="286" t="s">
        <v>91</v>
      </c>
      <c r="C2751" s="287"/>
      <c r="D2751" s="287"/>
      <c r="E2751" s="287"/>
      <c r="F2751" s="287"/>
      <c r="G2751" s="288"/>
      <c r="H2751" s="121" t="s">
        <v>4</v>
      </c>
    </row>
    <row r="2752" spans="1:8" ht="13.5" thickBot="1" x14ac:dyDescent="0.3">
      <c r="A2752" s="113" t="s">
        <v>12850</v>
      </c>
      <c r="B2752" s="289" t="s">
        <v>12851</v>
      </c>
      <c r="C2752" s="290"/>
      <c r="D2752" s="290"/>
      <c r="E2752" s="290"/>
      <c r="F2752" s="290"/>
      <c r="G2752" s="291"/>
      <c r="H2752" s="114" t="s">
        <v>4</v>
      </c>
    </row>
    <row r="2753" spans="1:8" x14ac:dyDescent="0.25">
      <c r="A2753" s="273" t="s">
        <v>13834</v>
      </c>
      <c r="B2753" s="275" t="s">
        <v>92</v>
      </c>
      <c r="C2753" s="276"/>
      <c r="D2753" s="185" t="s">
        <v>12852</v>
      </c>
      <c r="E2753" s="239" t="s">
        <v>93</v>
      </c>
      <c r="F2753" s="186">
        <v>0</v>
      </c>
      <c r="G2753" s="277" t="s">
        <v>94</v>
      </c>
      <c r="H2753" s="278"/>
    </row>
    <row r="2754" spans="1:8" x14ac:dyDescent="0.25">
      <c r="A2754" s="274"/>
      <c r="B2754" s="281" t="s">
        <v>95</v>
      </c>
      <c r="C2754" s="282"/>
      <c r="D2754" s="230">
        <v>43878</v>
      </c>
      <c r="E2754" s="240" t="s">
        <v>96</v>
      </c>
      <c r="F2754" s="230">
        <v>43878</v>
      </c>
      <c r="G2754" s="279"/>
      <c r="H2754" s="280"/>
    </row>
    <row r="2755" spans="1:8" x14ac:dyDescent="0.25">
      <c r="A2755" s="122" t="s">
        <v>11885</v>
      </c>
      <c r="B2755" s="123" t="s">
        <v>97</v>
      </c>
      <c r="C2755" s="123" t="s">
        <v>98</v>
      </c>
      <c r="D2755" s="123" t="s">
        <v>3</v>
      </c>
      <c r="E2755" s="123" t="s">
        <v>4</v>
      </c>
      <c r="F2755" s="123" t="s">
        <v>99</v>
      </c>
      <c r="G2755" s="123" t="s">
        <v>100</v>
      </c>
      <c r="H2755" s="124" t="s">
        <v>101</v>
      </c>
    </row>
    <row r="2756" spans="1:8" ht="25.5" x14ac:dyDescent="0.25">
      <c r="A2756" s="125" t="s">
        <v>398</v>
      </c>
      <c r="B2756" s="115" t="s">
        <v>9</v>
      </c>
      <c r="C2756" s="115">
        <v>88247</v>
      </c>
      <c r="D2756" s="127" t="str">
        <f>IF(A2756="COMPOSIÇÃO",VLOOKUP(C2756,'SINAPI_COMPOSIÇÕES 062020'!A:B,2,FALSE),VLOOKUP(C2756,'SINAPI_INSUMOS 062020'!A:B,2,FALSE))</f>
        <v>AUXILIAR DE ELETRICISTA COM ENCARGOS COMPLEMENTARES</v>
      </c>
      <c r="E2756" s="126" t="str">
        <f>IF(A2756="COMPOSIÇÃO",VLOOKUP(C2756,'SINAPI_COMPOSIÇÕES 062020'!A:C,3,FALSE),VLOOKUP(C2756,'SINAPI_INSUMOS 062020'!A:C,3,FALSE))</f>
        <v>H</v>
      </c>
      <c r="F2756" s="233">
        <v>0.2</v>
      </c>
      <c r="G2756" s="128">
        <f>IF(A2756="COMPOSIÇÃO",VLOOKUP(C2756,'SINAPI_COMPOSIÇÕES 062020'!A:D,4,FALSE),VLOOKUP(C2756,'SINAPI_INSUMOS 062020'!A:D,4,FALSE))</f>
        <v>14.33</v>
      </c>
      <c r="H2756" s="75">
        <f t="shared" ref="H2756:H2757" si="216">TRUNC(G2756*F2756,2)</f>
        <v>2.86</v>
      </c>
    </row>
    <row r="2757" spans="1:8" ht="25.5" x14ac:dyDescent="0.25">
      <c r="A2757" s="125" t="s">
        <v>398</v>
      </c>
      <c r="B2757" s="115" t="s">
        <v>9</v>
      </c>
      <c r="C2757" s="115">
        <v>88264</v>
      </c>
      <c r="D2757" s="127" t="str">
        <f>IF(A2757="COMPOSIÇÃO",VLOOKUP(C2757,'SINAPI_COMPOSIÇÕES 062020'!A:B,2,FALSE),VLOOKUP(C2757,'SINAPI_INSUMOS 062020'!A:B,2,FALSE))</f>
        <v>ELETRICISTA COM ENCARGOS COMPLEMENTARES</v>
      </c>
      <c r="E2757" s="126" t="str">
        <f>IF(A2757="COMPOSIÇÃO",VLOOKUP(C2757,'SINAPI_COMPOSIÇÕES 062020'!A:C,3,FALSE),VLOOKUP(C2757,'SINAPI_INSUMOS 062020'!A:C,3,FALSE))</f>
        <v>H</v>
      </c>
      <c r="F2757" s="233">
        <v>0.2</v>
      </c>
      <c r="G2757" s="128">
        <f>IF(A2757="COMPOSIÇÃO",VLOOKUP(C2757,'SINAPI_COMPOSIÇÕES 062020'!A:D,4,FALSE),VLOOKUP(C2757,'SINAPI_INSUMOS 062020'!A:D,4,FALSE))</f>
        <v>18.38</v>
      </c>
      <c r="H2757" s="75">
        <f t="shared" si="216"/>
        <v>3.67</v>
      </c>
    </row>
    <row r="2758" spans="1:8" ht="13.5" thickBot="1" x14ac:dyDescent="0.3">
      <c r="A2758" s="267" t="str">
        <f>CONCATENATE("TOTAL DO ÍTEM - ",A2752)</f>
        <v>TOTAL DO ÍTEM - MPMT-05167</v>
      </c>
      <c r="B2758" s="268"/>
      <c r="C2758" s="268"/>
      <c r="D2758" s="268"/>
      <c r="E2758" s="268"/>
      <c r="F2758" s="268"/>
      <c r="G2758" s="269"/>
      <c r="H2758" s="188">
        <f>SUM(H2756:H2757)</f>
        <v>6.5299999999999994</v>
      </c>
    </row>
    <row r="2759" spans="1:8" ht="13.5" thickBot="1" x14ac:dyDescent="0.3">
      <c r="A2759" s="299" t="s">
        <v>12853</v>
      </c>
      <c r="B2759" s="300"/>
      <c r="C2759" s="300"/>
      <c r="D2759" s="300"/>
      <c r="E2759" s="300"/>
      <c r="F2759" s="300"/>
      <c r="G2759" s="300"/>
      <c r="H2759" s="301"/>
    </row>
    <row r="2760" spans="1:8" ht="13.5" thickBot="1" x14ac:dyDescent="0.3"/>
    <row r="2761" spans="1:8" ht="25.5" x14ac:dyDescent="0.25">
      <c r="A2761" s="120" t="s">
        <v>90</v>
      </c>
      <c r="B2761" s="286" t="s">
        <v>91</v>
      </c>
      <c r="C2761" s="287"/>
      <c r="D2761" s="287"/>
      <c r="E2761" s="287"/>
      <c r="F2761" s="287"/>
      <c r="G2761" s="288"/>
      <c r="H2761" s="121" t="s">
        <v>4</v>
      </c>
    </row>
    <row r="2762" spans="1:8" ht="13.5" thickBot="1" x14ac:dyDescent="0.3">
      <c r="A2762" s="113" t="s">
        <v>12854</v>
      </c>
      <c r="B2762" s="289" t="s">
        <v>12855</v>
      </c>
      <c r="C2762" s="290"/>
      <c r="D2762" s="290"/>
      <c r="E2762" s="290"/>
      <c r="F2762" s="290"/>
      <c r="G2762" s="291"/>
      <c r="H2762" s="114" t="s">
        <v>12856</v>
      </c>
    </row>
    <row r="2763" spans="1:8" x14ac:dyDescent="0.25">
      <c r="A2763" s="273" t="s">
        <v>13834</v>
      </c>
      <c r="B2763" s="309" t="s">
        <v>92</v>
      </c>
      <c r="C2763" s="310"/>
      <c r="D2763" s="185" t="s">
        <v>398</v>
      </c>
      <c r="E2763" s="239" t="s">
        <v>93</v>
      </c>
      <c r="F2763" s="186">
        <v>0</v>
      </c>
      <c r="G2763" s="311" t="s">
        <v>94</v>
      </c>
      <c r="H2763" s="312"/>
    </row>
    <row r="2764" spans="1:8" x14ac:dyDescent="0.25">
      <c r="A2764" s="274"/>
      <c r="B2764" s="281" t="s">
        <v>95</v>
      </c>
      <c r="C2764" s="282"/>
      <c r="D2764" s="230">
        <v>43878</v>
      </c>
      <c r="E2764" s="240" t="s">
        <v>96</v>
      </c>
      <c r="F2764" s="230">
        <v>43878</v>
      </c>
      <c r="G2764" s="279"/>
      <c r="H2764" s="280"/>
    </row>
    <row r="2765" spans="1:8" x14ac:dyDescent="0.25">
      <c r="A2765" s="122" t="s">
        <v>11885</v>
      </c>
      <c r="B2765" s="123" t="s">
        <v>97</v>
      </c>
      <c r="C2765" s="123" t="s">
        <v>98</v>
      </c>
      <c r="D2765" s="123" t="s">
        <v>3</v>
      </c>
      <c r="E2765" s="123" t="s">
        <v>4</v>
      </c>
      <c r="F2765" s="123" t="s">
        <v>99</v>
      </c>
      <c r="G2765" s="123" t="s">
        <v>100</v>
      </c>
      <c r="H2765" s="124" t="s">
        <v>101</v>
      </c>
    </row>
    <row r="2766" spans="1:8" ht="25.5" x14ac:dyDescent="0.25">
      <c r="A2766" s="125" t="s">
        <v>11958</v>
      </c>
      <c r="B2766" s="115" t="s">
        <v>11959</v>
      </c>
      <c r="C2766" s="115" t="s">
        <v>11960</v>
      </c>
      <c r="D2766" s="194" t="str">
        <f>B2771</f>
        <v>FITA 12MM, BRANCO COM ESCRITA PRETO, TONNER COM 8M</v>
      </c>
      <c r="E2766" s="115" t="str">
        <f>H2771</f>
        <v>M</v>
      </c>
      <c r="F2766" s="233">
        <v>0.05</v>
      </c>
      <c r="G2766" s="195">
        <f>H2776</f>
        <v>9.65</v>
      </c>
      <c r="H2766" s="222">
        <f t="shared" ref="H2766:H2767" si="217">G2766*F2766</f>
        <v>0.48250000000000004</v>
      </c>
    </row>
    <row r="2767" spans="1:8" ht="25.5" x14ac:dyDescent="0.25">
      <c r="A2767" s="125" t="s">
        <v>398</v>
      </c>
      <c r="B2767" s="115" t="s">
        <v>9</v>
      </c>
      <c r="C2767" s="115">
        <v>88247</v>
      </c>
      <c r="D2767" s="127" t="str">
        <f>IF(A2767="COMPOSIÇÃO",VLOOKUP(C2767,'SINAPI_COMPOSIÇÕES 062020'!A:B,2,FALSE),VLOOKUP(C2767,'SINAPI_INSUMOS 062020'!A:B,2,FALSE))</f>
        <v>AUXILIAR DE ELETRICISTA COM ENCARGOS COMPLEMENTARES</v>
      </c>
      <c r="E2767" s="126" t="str">
        <f>IF(A2767="COMPOSIÇÃO",VLOOKUP(C2767,'SINAPI_COMPOSIÇÕES 062020'!A:C,3,FALSE),VLOOKUP(C2767,'SINAPI_INSUMOS 062020'!A:C,3,FALSE))</f>
        <v>H</v>
      </c>
      <c r="F2767" s="233">
        <v>0.1</v>
      </c>
      <c r="G2767" s="128">
        <f>IF(A2767="COMPOSIÇÃO",VLOOKUP(C2767,'SINAPI_COMPOSIÇÕES 062020'!A:D,4,FALSE),VLOOKUP(C2767,'SINAPI_INSUMOS 062020'!A:D,4,FALSE))</f>
        <v>14.33</v>
      </c>
      <c r="H2767" s="75">
        <f t="shared" ref="H2767" si="218">TRUNC(G2767*F2767,2)</f>
        <v>1.43</v>
      </c>
    </row>
    <row r="2768" spans="1:8" ht="13.5" thickBot="1" x14ac:dyDescent="0.3">
      <c r="A2768" s="267" t="str">
        <f>CONCATENATE("TOTAL DO ÍTEM - ",A2762)</f>
        <v>TOTAL DO ÍTEM - MPMT-05188</v>
      </c>
      <c r="B2768" s="268"/>
      <c r="C2768" s="268"/>
      <c r="D2768" s="268"/>
      <c r="E2768" s="268"/>
      <c r="F2768" s="268"/>
      <c r="G2768" s="269"/>
      <c r="H2768" s="188">
        <f>SUM(H2766:H2767)</f>
        <v>1.9125000000000001</v>
      </c>
    </row>
    <row r="2769" spans="1:8" ht="13.5" thickBot="1" x14ac:dyDescent="0.3">
      <c r="A2769" s="299" t="s">
        <v>12494</v>
      </c>
      <c r="B2769" s="300"/>
      <c r="C2769" s="300"/>
      <c r="D2769" s="300"/>
      <c r="E2769" s="300"/>
      <c r="F2769" s="300"/>
      <c r="G2769" s="300"/>
      <c r="H2769" s="301"/>
    </row>
    <row r="2770" spans="1:8" ht="13.5" thickBot="1" x14ac:dyDescent="0.3">
      <c r="A2770" s="317" t="s">
        <v>12483</v>
      </c>
      <c r="B2770" s="318"/>
      <c r="C2770" s="318"/>
      <c r="D2770" s="318"/>
      <c r="E2770" s="318"/>
      <c r="F2770" s="318"/>
      <c r="G2770" s="318"/>
      <c r="H2770" s="319"/>
    </row>
    <row r="2771" spans="1:8" ht="13.5" thickBot="1" x14ac:dyDescent="0.3">
      <c r="A2771" s="234" t="s">
        <v>11960</v>
      </c>
      <c r="B2771" s="293" t="s">
        <v>12857</v>
      </c>
      <c r="C2771" s="293"/>
      <c r="D2771" s="293"/>
      <c r="E2771" s="293"/>
      <c r="F2771" s="293"/>
      <c r="G2771" s="293"/>
      <c r="H2771" s="235" t="s">
        <v>16</v>
      </c>
    </row>
    <row r="2772" spans="1:8" ht="25.5" x14ac:dyDescent="0.25">
      <c r="A2772" s="213" t="s">
        <v>11965</v>
      </c>
      <c r="B2772" s="241" t="s">
        <v>11966</v>
      </c>
      <c r="C2772" s="241" t="s">
        <v>11967</v>
      </c>
      <c r="D2772" s="241" t="s">
        <v>11968</v>
      </c>
      <c r="E2772" s="294" t="s">
        <v>11969</v>
      </c>
      <c r="F2772" s="294"/>
      <c r="G2772" s="241" t="s">
        <v>4</v>
      </c>
      <c r="H2772" s="214" t="s">
        <v>11970</v>
      </c>
    </row>
    <row r="2773" spans="1:8" x14ac:dyDescent="0.25">
      <c r="A2773" s="205">
        <v>44003</v>
      </c>
      <c r="B2773" s="206" t="s">
        <v>11971</v>
      </c>
      <c r="C2773" s="206" t="s">
        <v>12858</v>
      </c>
      <c r="D2773" s="236" t="s">
        <v>12859</v>
      </c>
      <c r="E2773" s="306" t="s">
        <v>12166</v>
      </c>
      <c r="F2773" s="306"/>
      <c r="G2773" s="115" t="s">
        <v>16</v>
      </c>
      <c r="H2773" s="218">
        <f>(773.68/7)/8</f>
        <v>13.815714285714284</v>
      </c>
    </row>
    <row r="2774" spans="1:8" x14ac:dyDescent="0.25">
      <c r="A2774" s="205">
        <v>44003</v>
      </c>
      <c r="B2774" s="206" t="s">
        <v>11971</v>
      </c>
      <c r="C2774" s="206" t="s">
        <v>12860</v>
      </c>
      <c r="D2774" s="236" t="s">
        <v>12861</v>
      </c>
      <c r="E2774" s="295" t="s">
        <v>12862</v>
      </c>
      <c r="F2774" s="295"/>
      <c r="G2774" s="115" t="s">
        <v>16</v>
      </c>
      <c r="H2774" s="218">
        <f>(540.53/7)/8</f>
        <v>9.6523214285714278</v>
      </c>
    </row>
    <row r="2775" spans="1:8" x14ac:dyDescent="0.25">
      <c r="A2775" s="205">
        <v>44003</v>
      </c>
      <c r="B2775" s="206" t="s">
        <v>11971</v>
      </c>
      <c r="C2775" s="206" t="s">
        <v>12863</v>
      </c>
      <c r="D2775" s="236" t="s">
        <v>12864</v>
      </c>
      <c r="E2775" s="295" t="s">
        <v>12865</v>
      </c>
      <c r="F2775" s="295"/>
      <c r="G2775" s="115" t="s">
        <v>16</v>
      </c>
      <c r="H2775" s="218">
        <f>((459.97+4)/7)/8</f>
        <v>8.2851785714285722</v>
      </c>
    </row>
    <row r="2776" spans="1:8" ht="13.5" thickBot="1" x14ac:dyDescent="0.3">
      <c r="A2776" s="296" t="s">
        <v>11981</v>
      </c>
      <c r="B2776" s="297"/>
      <c r="C2776" s="297"/>
      <c r="D2776" s="297"/>
      <c r="E2776" s="297"/>
      <c r="F2776" s="297"/>
      <c r="G2776" s="298"/>
      <c r="H2776" s="188">
        <f>TRUNC(MEDIAN(H2773:H2775),2)</f>
        <v>9.65</v>
      </c>
    </row>
    <row r="2777" spans="1:8" ht="13.5" thickBot="1" x14ac:dyDescent="0.3"/>
    <row r="2778" spans="1:8" ht="25.5" x14ac:dyDescent="0.25">
      <c r="A2778" s="120" t="s">
        <v>90</v>
      </c>
      <c r="B2778" s="286" t="s">
        <v>91</v>
      </c>
      <c r="C2778" s="287"/>
      <c r="D2778" s="287"/>
      <c r="E2778" s="287"/>
      <c r="F2778" s="287"/>
      <c r="G2778" s="288"/>
      <c r="H2778" s="121" t="s">
        <v>4</v>
      </c>
    </row>
    <row r="2779" spans="1:8" ht="13.5" thickBot="1" x14ac:dyDescent="0.3">
      <c r="A2779" s="113" t="s">
        <v>12866</v>
      </c>
      <c r="B2779" s="289" t="s">
        <v>12867</v>
      </c>
      <c r="C2779" s="290"/>
      <c r="D2779" s="290"/>
      <c r="E2779" s="290"/>
      <c r="F2779" s="290"/>
      <c r="G2779" s="291"/>
      <c r="H2779" s="114" t="s">
        <v>4</v>
      </c>
    </row>
    <row r="2780" spans="1:8" x14ac:dyDescent="0.25">
      <c r="A2780" s="273" t="s">
        <v>13834</v>
      </c>
      <c r="B2780" s="275" t="s">
        <v>92</v>
      </c>
      <c r="C2780" s="276"/>
      <c r="D2780" s="185" t="s">
        <v>12826</v>
      </c>
      <c r="E2780" s="239" t="s">
        <v>93</v>
      </c>
      <c r="F2780" s="186">
        <v>0</v>
      </c>
      <c r="G2780" s="277" t="s">
        <v>94</v>
      </c>
      <c r="H2780" s="278"/>
    </row>
    <row r="2781" spans="1:8" x14ac:dyDescent="0.25">
      <c r="A2781" s="274"/>
      <c r="B2781" s="281" t="s">
        <v>95</v>
      </c>
      <c r="C2781" s="282"/>
      <c r="D2781" s="230">
        <v>43878</v>
      </c>
      <c r="E2781" s="240" t="s">
        <v>96</v>
      </c>
      <c r="F2781" s="230">
        <v>43878</v>
      </c>
      <c r="G2781" s="279"/>
      <c r="H2781" s="280"/>
    </row>
    <row r="2782" spans="1:8" x14ac:dyDescent="0.25">
      <c r="A2782" s="122" t="s">
        <v>11885</v>
      </c>
      <c r="B2782" s="123" t="s">
        <v>97</v>
      </c>
      <c r="C2782" s="123" t="s">
        <v>98</v>
      </c>
      <c r="D2782" s="123" t="s">
        <v>3</v>
      </c>
      <c r="E2782" s="123" t="s">
        <v>4</v>
      </c>
      <c r="F2782" s="123" t="s">
        <v>99</v>
      </c>
      <c r="G2782" s="123" t="s">
        <v>100</v>
      </c>
      <c r="H2782" s="124" t="s">
        <v>101</v>
      </c>
    </row>
    <row r="2783" spans="1:8" ht="25.5" x14ac:dyDescent="0.25">
      <c r="A2783" s="125" t="s">
        <v>11958</v>
      </c>
      <c r="B2783" s="115" t="s">
        <v>12827</v>
      </c>
      <c r="C2783" s="115" t="s">
        <v>11960</v>
      </c>
      <c r="D2783" s="194" t="s">
        <v>12836</v>
      </c>
      <c r="E2783" s="115" t="s">
        <v>4</v>
      </c>
      <c r="F2783" s="233">
        <v>1</v>
      </c>
      <c r="G2783" s="195">
        <v>50</v>
      </c>
      <c r="H2783" s="222">
        <f t="shared" ref="H2783" si="219">G2783*F2783</f>
        <v>50</v>
      </c>
    </row>
    <row r="2784" spans="1:8" ht="13.5" thickBot="1" x14ac:dyDescent="0.3">
      <c r="A2784" s="267" t="str">
        <f>CONCATENATE("TOTAL DO ÍTEM - ",A2779)</f>
        <v>TOTAL DO ÍTEM - MPMT-05187</v>
      </c>
      <c r="B2784" s="268"/>
      <c r="C2784" s="268"/>
      <c r="D2784" s="268"/>
      <c r="E2784" s="268"/>
      <c r="F2784" s="268"/>
      <c r="G2784" s="269"/>
      <c r="H2784" s="188">
        <f>SUM(H2783:H2783)</f>
        <v>50</v>
      </c>
    </row>
    <row r="2785" spans="1:8" ht="13.5" thickBot="1" x14ac:dyDescent="0.3">
      <c r="A2785" s="299" t="s">
        <v>12837</v>
      </c>
      <c r="B2785" s="300"/>
      <c r="C2785" s="300"/>
      <c r="D2785" s="300"/>
      <c r="E2785" s="300"/>
      <c r="F2785" s="300"/>
      <c r="G2785" s="300"/>
      <c r="H2785" s="301"/>
    </row>
    <row r="2786" spans="1:8" ht="13.5" thickBot="1" x14ac:dyDescent="0.3"/>
    <row r="2787" spans="1:8" ht="25.5" x14ac:dyDescent="0.25">
      <c r="A2787" s="120" t="s">
        <v>90</v>
      </c>
      <c r="B2787" s="286" t="s">
        <v>91</v>
      </c>
      <c r="C2787" s="287"/>
      <c r="D2787" s="287"/>
      <c r="E2787" s="287"/>
      <c r="F2787" s="287"/>
      <c r="G2787" s="288"/>
      <c r="H2787" s="121" t="s">
        <v>4</v>
      </c>
    </row>
    <row r="2788" spans="1:8" ht="13.5" thickBot="1" x14ac:dyDescent="0.3">
      <c r="A2788" s="113" t="s">
        <v>12868</v>
      </c>
      <c r="B2788" s="289" t="s">
        <v>12869</v>
      </c>
      <c r="C2788" s="290"/>
      <c r="D2788" s="290"/>
      <c r="E2788" s="290"/>
      <c r="F2788" s="290"/>
      <c r="G2788" s="291"/>
      <c r="H2788" s="114" t="s">
        <v>4</v>
      </c>
    </row>
    <row r="2789" spans="1:8" x14ac:dyDescent="0.25">
      <c r="A2789" s="273" t="s">
        <v>13834</v>
      </c>
      <c r="B2789" s="309" t="s">
        <v>92</v>
      </c>
      <c r="C2789" s="310"/>
      <c r="D2789" s="185" t="s">
        <v>398</v>
      </c>
      <c r="E2789" s="239" t="s">
        <v>93</v>
      </c>
      <c r="F2789" s="186">
        <v>0</v>
      </c>
      <c r="G2789" s="311" t="s">
        <v>94</v>
      </c>
      <c r="H2789" s="312"/>
    </row>
    <row r="2790" spans="1:8" x14ac:dyDescent="0.25">
      <c r="A2790" s="274"/>
      <c r="B2790" s="281" t="s">
        <v>95</v>
      </c>
      <c r="C2790" s="282"/>
      <c r="D2790" s="230">
        <v>43878</v>
      </c>
      <c r="E2790" s="240" t="s">
        <v>96</v>
      </c>
      <c r="F2790" s="230">
        <v>43878</v>
      </c>
      <c r="G2790" s="279"/>
      <c r="H2790" s="280"/>
    </row>
    <row r="2791" spans="1:8" x14ac:dyDescent="0.25">
      <c r="A2791" s="122" t="s">
        <v>11885</v>
      </c>
      <c r="B2791" s="123" t="s">
        <v>97</v>
      </c>
      <c r="C2791" s="123" t="s">
        <v>98</v>
      </c>
      <c r="D2791" s="123" t="s">
        <v>3</v>
      </c>
      <c r="E2791" s="123" t="s">
        <v>4</v>
      </c>
      <c r="F2791" s="123" t="s">
        <v>99</v>
      </c>
      <c r="G2791" s="123" t="s">
        <v>100</v>
      </c>
      <c r="H2791" s="124" t="s">
        <v>101</v>
      </c>
    </row>
    <row r="2792" spans="1:8" ht="25.5" x14ac:dyDescent="0.25">
      <c r="A2792" s="125" t="s">
        <v>398</v>
      </c>
      <c r="B2792" s="115" t="s">
        <v>9</v>
      </c>
      <c r="C2792" s="115">
        <v>88247</v>
      </c>
      <c r="D2792" s="127" t="str">
        <f>IF(A2792="COMPOSIÇÃO",VLOOKUP(C2792,'SINAPI_COMPOSIÇÕES 062020'!A:B,2,FALSE),VLOOKUP(C2792,'SINAPI_INSUMOS 062020'!A:B,2,FALSE))</f>
        <v>AUXILIAR DE ELETRICISTA COM ENCARGOS COMPLEMENTARES</v>
      </c>
      <c r="E2792" s="126" t="str">
        <f>IF(A2792="COMPOSIÇÃO",VLOOKUP(C2792,'SINAPI_COMPOSIÇÕES 062020'!A:C,3,FALSE),VLOOKUP(C2792,'SINAPI_INSUMOS 062020'!A:C,3,FALSE))</f>
        <v>H</v>
      </c>
      <c r="F2792" s="233">
        <v>0.01</v>
      </c>
      <c r="G2792" s="128">
        <f>IF(A2792="COMPOSIÇÃO",VLOOKUP(C2792,'SINAPI_COMPOSIÇÕES 062020'!A:D,4,FALSE),VLOOKUP(C2792,'SINAPI_INSUMOS 062020'!A:D,4,FALSE))</f>
        <v>14.33</v>
      </c>
      <c r="H2792" s="75">
        <f t="shared" ref="H2792:H2794" si="220">TRUNC(G2792*F2792,2)</f>
        <v>0.14000000000000001</v>
      </c>
    </row>
    <row r="2793" spans="1:8" ht="25.5" x14ac:dyDescent="0.25">
      <c r="A2793" s="125" t="s">
        <v>398</v>
      </c>
      <c r="B2793" s="115" t="s">
        <v>9</v>
      </c>
      <c r="C2793" s="115">
        <v>88264</v>
      </c>
      <c r="D2793" s="127" t="str">
        <f>IF(A2793="COMPOSIÇÃO",VLOOKUP(C2793,'SINAPI_COMPOSIÇÕES 062020'!A:B,2,FALSE),VLOOKUP(C2793,'SINAPI_INSUMOS 062020'!A:B,2,FALSE))</f>
        <v>ELETRICISTA COM ENCARGOS COMPLEMENTARES</v>
      </c>
      <c r="E2793" s="126" t="str">
        <f>IF(A2793="COMPOSIÇÃO",VLOOKUP(C2793,'SINAPI_COMPOSIÇÕES 062020'!A:C,3,FALSE),VLOOKUP(C2793,'SINAPI_INSUMOS 062020'!A:C,3,FALSE))</f>
        <v>H</v>
      </c>
      <c r="F2793" s="233">
        <v>0.01</v>
      </c>
      <c r="G2793" s="128">
        <f>IF(A2793="COMPOSIÇÃO",VLOOKUP(C2793,'SINAPI_COMPOSIÇÕES 062020'!A:D,4,FALSE),VLOOKUP(C2793,'SINAPI_INSUMOS 062020'!A:D,4,FALSE))</f>
        <v>18.38</v>
      </c>
      <c r="H2793" s="75">
        <f t="shared" si="220"/>
        <v>0.18</v>
      </c>
    </row>
    <row r="2794" spans="1:8" ht="25.5" x14ac:dyDescent="0.25">
      <c r="A2794" s="125" t="s">
        <v>400</v>
      </c>
      <c r="B2794" s="115" t="s">
        <v>9</v>
      </c>
      <c r="C2794" s="115">
        <v>414</v>
      </c>
      <c r="D2794" s="127" t="str">
        <f>IF(A2794="COMPOSIÇÃO",VLOOKUP(C2794,'SINAPI_COMPOSIÇÕES 062020'!A:B,2,FALSE),VLOOKUP(C2794,'SINAPI_INSUMOS 062020'!A:B,2,FALSE))</f>
        <v>ABRACADEIRA DE NYLON PARA AMARRACAO DE CABOS, COMPRIMENTO DE 100 X 2,5 MM</v>
      </c>
      <c r="E2794" s="126" t="str">
        <f>IF(A2794="COMPOSIÇÃO",VLOOKUP(C2794,'SINAPI_COMPOSIÇÕES 062020'!A:C,3,FALSE),VLOOKUP(C2794,'SINAPI_INSUMOS 062020'!A:C,3,FALSE))</f>
        <v xml:space="preserve">UN    </v>
      </c>
      <c r="F2794" s="233">
        <v>1</v>
      </c>
      <c r="G2794" s="128">
        <f>IF(A2794="COMPOSIÇÃO",VLOOKUP(C2794,'SINAPI_COMPOSIÇÕES 062020'!A:D,4,FALSE),VLOOKUP(C2794,'SINAPI_INSUMOS 062020'!A:D,4,FALSE))</f>
        <v>0.06</v>
      </c>
      <c r="H2794" s="75">
        <f t="shared" si="220"/>
        <v>0.06</v>
      </c>
    </row>
    <row r="2795" spans="1:8" ht="13.5" thickBot="1" x14ac:dyDescent="0.3">
      <c r="A2795" s="267" t="str">
        <f>CONCATENATE("TOTAL DO ÍTEM - ",A2788)</f>
        <v>TOTAL DO ÍTEM - MPMT-05171</v>
      </c>
      <c r="B2795" s="268"/>
      <c r="C2795" s="268"/>
      <c r="D2795" s="268"/>
      <c r="E2795" s="268"/>
      <c r="F2795" s="268"/>
      <c r="G2795" s="269"/>
      <c r="H2795" s="188">
        <f>SUM(H2792:H2794)</f>
        <v>0.38</v>
      </c>
    </row>
    <row r="2796" spans="1:8" ht="13.5" thickBot="1" x14ac:dyDescent="0.3">
      <c r="A2796" s="299" t="s">
        <v>12870</v>
      </c>
      <c r="B2796" s="300"/>
      <c r="C2796" s="300"/>
      <c r="D2796" s="300"/>
      <c r="E2796" s="300"/>
      <c r="F2796" s="300"/>
      <c r="G2796" s="300"/>
      <c r="H2796" s="301"/>
    </row>
    <row r="2797" spans="1:8" ht="13.5" thickBot="1" x14ac:dyDescent="0.3"/>
    <row r="2798" spans="1:8" ht="25.5" x14ac:dyDescent="0.25">
      <c r="A2798" s="120" t="s">
        <v>90</v>
      </c>
      <c r="B2798" s="286" t="s">
        <v>91</v>
      </c>
      <c r="C2798" s="287"/>
      <c r="D2798" s="287"/>
      <c r="E2798" s="287"/>
      <c r="F2798" s="287"/>
      <c r="G2798" s="288"/>
      <c r="H2798" s="121" t="s">
        <v>4</v>
      </c>
    </row>
    <row r="2799" spans="1:8" ht="13.5" thickBot="1" x14ac:dyDescent="0.3">
      <c r="A2799" s="113" t="s">
        <v>12871</v>
      </c>
      <c r="B2799" s="289" t="s">
        <v>12872</v>
      </c>
      <c r="C2799" s="290"/>
      <c r="D2799" s="290"/>
      <c r="E2799" s="290"/>
      <c r="F2799" s="290"/>
      <c r="G2799" s="291"/>
      <c r="H2799" s="114" t="s">
        <v>4</v>
      </c>
    </row>
    <row r="2800" spans="1:8" x14ac:dyDescent="0.25">
      <c r="A2800" s="273" t="s">
        <v>13834</v>
      </c>
      <c r="B2800" s="275" t="s">
        <v>92</v>
      </c>
      <c r="C2800" s="276"/>
      <c r="D2800" s="185" t="s">
        <v>12873</v>
      </c>
      <c r="E2800" s="239" t="s">
        <v>93</v>
      </c>
      <c r="F2800" s="186">
        <v>0</v>
      </c>
      <c r="G2800" s="277" t="s">
        <v>94</v>
      </c>
      <c r="H2800" s="278"/>
    </row>
    <row r="2801" spans="1:8" x14ac:dyDescent="0.25">
      <c r="A2801" s="274"/>
      <c r="B2801" s="281" t="s">
        <v>95</v>
      </c>
      <c r="C2801" s="282"/>
      <c r="D2801" s="230">
        <v>43878</v>
      </c>
      <c r="E2801" s="240" t="s">
        <v>96</v>
      </c>
      <c r="F2801" s="230">
        <v>43878</v>
      </c>
      <c r="G2801" s="279"/>
      <c r="H2801" s="280"/>
    </row>
    <row r="2802" spans="1:8" x14ac:dyDescent="0.25">
      <c r="A2802" s="122" t="s">
        <v>11885</v>
      </c>
      <c r="B2802" s="123" t="s">
        <v>97</v>
      </c>
      <c r="C2802" s="123" t="s">
        <v>98</v>
      </c>
      <c r="D2802" s="123" t="s">
        <v>3</v>
      </c>
      <c r="E2802" s="123" t="s">
        <v>4</v>
      </c>
      <c r="F2802" s="123" t="s">
        <v>99</v>
      </c>
      <c r="G2802" s="123" t="s">
        <v>100</v>
      </c>
      <c r="H2802" s="124" t="s">
        <v>101</v>
      </c>
    </row>
    <row r="2803" spans="1:8" ht="25.5" x14ac:dyDescent="0.25">
      <c r="A2803" s="125" t="s">
        <v>398</v>
      </c>
      <c r="B2803" s="115" t="s">
        <v>9</v>
      </c>
      <c r="C2803" s="115">
        <v>88264</v>
      </c>
      <c r="D2803" s="127" t="str">
        <f>IF(A2803="COMPOSIÇÃO",VLOOKUP(C2803,'SINAPI_COMPOSIÇÕES 062020'!A:B,2,FALSE),VLOOKUP(C2803,'SINAPI_INSUMOS 062020'!A:B,2,FALSE))</f>
        <v>ELETRICISTA COM ENCARGOS COMPLEMENTARES</v>
      </c>
      <c r="E2803" s="126" t="str">
        <f>IF(A2803="COMPOSIÇÃO",VLOOKUP(C2803,'SINAPI_COMPOSIÇÕES 062020'!A:C,3,FALSE),VLOOKUP(C2803,'SINAPI_INSUMOS 062020'!A:C,3,FALSE))</f>
        <v>H</v>
      </c>
      <c r="F2803" s="233">
        <v>0.85099999999999998</v>
      </c>
      <c r="G2803" s="128">
        <f>IF(A2803="COMPOSIÇÃO",VLOOKUP(C2803,'SINAPI_COMPOSIÇÕES 062020'!A:D,4,FALSE),VLOOKUP(C2803,'SINAPI_INSUMOS 062020'!A:D,4,FALSE))</f>
        <v>18.38</v>
      </c>
      <c r="H2803" s="75">
        <f t="shared" ref="H2803:H2804" si="221">TRUNC(G2803*F2803,2)</f>
        <v>15.64</v>
      </c>
    </row>
    <row r="2804" spans="1:8" ht="25.5" x14ac:dyDescent="0.25">
      <c r="A2804" s="125" t="s">
        <v>398</v>
      </c>
      <c r="B2804" s="115" t="s">
        <v>9</v>
      </c>
      <c r="C2804" s="115">
        <v>88247</v>
      </c>
      <c r="D2804" s="127" t="str">
        <f>IF(A2804="COMPOSIÇÃO",VLOOKUP(C2804,'SINAPI_COMPOSIÇÕES 062020'!A:B,2,FALSE),VLOOKUP(C2804,'SINAPI_INSUMOS 062020'!A:B,2,FALSE))</f>
        <v>AUXILIAR DE ELETRICISTA COM ENCARGOS COMPLEMENTARES</v>
      </c>
      <c r="E2804" s="126" t="str">
        <f>IF(A2804="COMPOSIÇÃO",VLOOKUP(C2804,'SINAPI_COMPOSIÇÕES 062020'!A:C,3,FALSE),VLOOKUP(C2804,'SINAPI_INSUMOS 062020'!A:C,3,FALSE))</f>
        <v>H</v>
      </c>
      <c r="F2804" s="233">
        <v>0.85099999999999998</v>
      </c>
      <c r="G2804" s="128">
        <f>IF(A2804="COMPOSIÇÃO",VLOOKUP(C2804,'SINAPI_COMPOSIÇÕES 062020'!A:D,4,FALSE),VLOOKUP(C2804,'SINAPI_INSUMOS 062020'!A:D,4,FALSE))</f>
        <v>14.33</v>
      </c>
      <c r="H2804" s="75">
        <f t="shared" si="221"/>
        <v>12.19</v>
      </c>
    </row>
    <row r="2805" spans="1:8" ht="13.5" thickBot="1" x14ac:dyDescent="0.3">
      <c r="A2805" s="267" t="str">
        <f>CONCATENATE("TOTAL DO ÍTEM - ",A2799)</f>
        <v>TOTAL DO ÍTEM - MPMT-05130</v>
      </c>
      <c r="B2805" s="268"/>
      <c r="C2805" s="268"/>
      <c r="D2805" s="268"/>
      <c r="E2805" s="268"/>
      <c r="F2805" s="268"/>
      <c r="G2805" s="269"/>
      <c r="H2805" s="188">
        <f>SUM(H2803:H2804)</f>
        <v>27.83</v>
      </c>
    </row>
    <row r="2806" spans="1:8" ht="13.5" thickBot="1" x14ac:dyDescent="0.3">
      <c r="A2806" s="299" t="s">
        <v>12874</v>
      </c>
      <c r="B2806" s="300"/>
      <c r="C2806" s="300"/>
      <c r="D2806" s="300"/>
      <c r="E2806" s="300"/>
      <c r="F2806" s="300"/>
      <c r="G2806" s="300"/>
      <c r="H2806" s="301"/>
    </row>
    <row r="2807" spans="1:8" ht="13.5" thickBot="1" x14ac:dyDescent="0.3"/>
    <row r="2808" spans="1:8" ht="25.5" x14ac:dyDescent="0.25">
      <c r="A2808" s="120" t="s">
        <v>90</v>
      </c>
      <c r="B2808" s="286" t="s">
        <v>91</v>
      </c>
      <c r="C2808" s="287"/>
      <c r="D2808" s="287"/>
      <c r="E2808" s="287"/>
      <c r="F2808" s="287"/>
      <c r="G2808" s="288"/>
      <c r="H2808" s="121" t="s">
        <v>4</v>
      </c>
    </row>
    <row r="2809" spans="1:8" ht="13.5" thickBot="1" x14ac:dyDescent="0.3">
      <c r="A2809" s="113" t="s">
        <v>12875</v>
      </c>
      <c r="B2809" s="289" t="s">
        <v>12876</v>
      </c>
      <c r="C2809" s="290"/>
      <c r="D2809" s="290"/>
      <c r="E2809" s="290"/>
      <c r="F2809" s="290"/>
      <c r="G2809" s="291"/>
      <c r="H2809" s="114" t="s">
        <v>4</v>
      </c>
    </row>
    <row r="2810" spans="1:8" x14ac:dyDescent="0.25">
      <c r="A2810" s="273" t="s">
        <v>13834</v>
      </c>
      <c r="B2810" s="309" t="s">
        <v>92</v>
      </c>
      <c r="C2810" s="310"/>
      <c r="D2810" s="185" t="s">
        <v>11958</v>
      </c>
      <c r="E2810" s="239" t="s">
        <v>93</v>
      </c>
      <c r="F2810" s="186">
        <v>0</v>
      </c>
      <c r="G2810" s="311" t="s">
        <v>94</v>
      </c>
      <c r="H2810" s="312"/>
    </row>
    <row r="2811" spans="1:8" x14ac:dyDescent="0.25">
      <c r="A2811" s="274"/>
      <c r="B2811" s="281" t="s">
        <v>95</v>
      </c>
      <c r="C2811" s="282"/>
      <c r="D2811" s="230">
        <v>43878</v>
      </c>
      <c r="E2811" s="240" t="s">
        <v>96</v>
      </c>
      <c r="F2811" s="230">
        <v>43878</v>
      </c>
      <c r="G2811" s="279"/>
      <c r="H2811" s="280"/>
    </row>
    <row r="2812" spans="1:8" x14ac:dyDescent="0.25">
      <c r="A2812" s="122" t="s">
        <v>11885</v>
      </c>
      <c r="B2812" s="123" t="s">
        <v>97</v>
      </c>
      <c r="C2812" s="123" t="s">
        <v>98</v>
      </c>
      <c r="D2812" s="123" t="s">
        <v>3</v>
      </c>
      <c r="E2812" s="123" t="s">
        <v>4</v>
      </c>
      <c r="F2812" s="123" t="s">
        <v>99</v>
      </c>
      <c r="G2812" s="123" t="s">
        <v>100</v>
      </c>
      <c r="H2812" s="124" t="s">
        <v>101</v>
      </c>
    </row>
    <row r="2813" spans="1:8" x14ac:dyDescent="0.25">
      <c r="A2813" s="125" t="s">
        <v>11958</v>
      </c>
      <c r="B2813" s="115" t="s">
        <v>11959</v>
      </c>
      <c r="C2813" s="115" t="s">
        <v>11960</v>
      </c>
      <c r="D2813" s="194" t="str">
        <f>B2817</f>
        <v>BANDEJA FIXA PARA RACK 19"</v>
      </c>
      <c r="E2813" s="115" t="s">
        <v>4</v>
      </c>
      <c r="F2813" s="233">
        <v>1</v>
      </c>
      <c r="G2813" s="195">
        <f>H2822</f>
        <v>95.3</v>
      </c>
      <c r="H2813" s="222">
        <f t="shared" ref="H2813" si="222">G2813*F2813</f>
        <v>95.3</v>
      </c>
    </row>
    <row r="2814" spans="1:8" ht="13.5" thickBot="1" x14ac:dyDescent="0.3">
      <c r="A2814" s="267" t="str">
        <f>CONCATENATE("TOTAL DO ÍTEM - ",A2809)</f>
        <v>TOTAL DO ÍTEM - MPMT-05143</v>
      </c>
      <c r="B2814" s="268"/>
      <c r="C2814" s="268"/>
      <c r="D2814" s="268"/>
      <c r="E2814" s="268"/>
      <c r="F2814" s="268"/>
      <c r="G2814" s="269"/>
      <c r="H2814" s="188">
        <f>SUM(H2813:H2813)</f>
        <v>95.3</v>
      </c>
    </row>
    <row r="2815" spans="1:8" ht="13.5" thickBot="1" x14ac:dyDescent="0.3">
      <c r="A2815" s="299" t="s">
        <v>12494</v>
      </c>
      <c r="B2815" s="300"/>
      <c r="C2815" s="300"/>
      <c r="D2815" s="300"/>
      <c r="E2815" s="300"/>
      <c r="F2815" s="300"/>
      <c r="G2815" s="300"/>
      <c r="H2815" s="301"/>
    </row>
    <row r="2816" spans="1:8" ht="13.5" thickBot="1" x14ac:dyDescent="0.3">
      <c r="A2816" s="317" t="s">
        <v>12483</v>
      </c>
      <c r="B2816" s="318"/>
      <c r="C2816" s="318"/>
      <c r="D2816" s="318"/>
      <c r="E2816" s="318"/>
      <c r="F2816" s="318"/>
      <c r="G2816" s="318"/>
      <c r="H2816" s="319"/>
    </row>
    <row r="2817" spans="1:8" ht="13.5" thickBot="1" x14ac:dyDescent="0.3">
      <c r="A2817" s="234" t="s">
        <v>11960</v>
      </c>
      <c r="B2817" s="293" t="s">
        <v>12877</v>
      </c>
      <c r="C2817" s="293"/>
      <c r="D2817" s="293"/>
      <c r="E2817" s="293"/>
      <c r="F2817" s="293"/>
      <c r="G2817" s="293"/>
      <c r="H2817" s="235" t="s">
        <v>4</v>
      </c>
    </row>
    <row r="2818" spans="1:8" ht="25.5" x14ac:dyDescent="0.25">
      <c r="A2818" s="213" t="s">
        <v>11965</v>
      </c>
      <c r="B2818" s="241" t="s">
        <v>11966</v>
      </c>
      <c r="C2818" s="241" t="s">
        <v>11967</v>
      </c>
      <c r="D2818" s="241" t="s">
        <v>11968</v>
      </c>
      <c r="E2818" s="294" t="s">
        <v>11969</v>
      </c>
      <c r="F2818" s="294"/>
      <c r="G2818" s="241" t="s">
        <v>4</v>
      </c>
      <c r="H2818" s="214" t="s">
        <v>11970</v>
      </c>
    </row>
    <row r="2819" spans="1:8" x14ac:dyDescent="0.25">
      <c r="A2819" s="205">
        <v>43874</v>
      </c>
      <c r="B2819" s="206" t="s">
        <v>12765</v>
      </c>
      <c r="C2819" s="206" t="s">
        <v>12745</v>
      </c>
      <c r="D2819" s="360" t="s">
        <v>12766</v>
      </c>
      <c r="E2819" s="295" t="s">
        <v>12747</v>
      </c>
      <c r="F2819" s="295"/>
      <c r="G2819" s="115" t="s">
        <v>4</v>
      </c>
      <c r="H2819" s="218">
        <v>95.3</v>
      </c>
    </row>
    <row r="2820" spans="1:8" x14ac:dyDescent="0.25">
      <c r="A2820" s="205" t="s">
        <v>12767</v>
      </c>
      <c r="B2820" s="206" t="s">
        <v>12484</v>
      </c>
      <c r="C2820" s="206" t="s">
        <v>12485</v>
      </c>
      <c r="D2820" s="236" t="s">
        <v>12486</v>
      </c>
      <c r="E2820" s="295" t="s">
        <v>12474</v>
      </c>
      <c r="F2820" s="295"/>
      <c r="G2820" s="115" t="s">
        <v>4</v>
      </c>
      <c r="H2820" s="218">
        <v>140.30000000000001</v>
      </c>
    </row>
    <row r="2821" spans="1:8" x14ac:dyDescent="0.25">
      <c r="A2821" s="205" t="s">
        <v>12814</v>
      </c>
      <c r="B2821" s="206" t="s">
        <v>11971</v>
      </c>
      <c r="C2821" s="206" t="s">
        <v>12878</v>
      </c>
      <c r="D2821" s="360" t="s">
        <v>12879</v>
      </c>
      <c r="E2821" s="295" t="s">
        <v>12880</v>
      </c>
      <c r="F2821" s="295"/>
      <c r="G2821" s="115" t="s">
        <v>4</v>
      </c>
      <c r="H2821" s="218">
        <f>1036.06/12</f>
        <v>86.338333333333324</v>
      </c>
    </row>
    <row r="2822" spans="1:8" ht="13.5" thickBot="1" x14ac:dyDescent="0.3">
      <c r="A2822" s="296" t="s">
        <v>11981</v>
      </c>
      <c r="B2822" s="297"/>
      <c r="C2822" s="297"/>
      <c r="D2822" s="297"/>
      <c r="E2822" s="297"/>
      <c r="F2822" s="297"/>
      <c r="G2822" s="298"/>
      <c r="H2822" s="188">
        <f>TRUNC(MEDIAN(H2819:H2821),2)</f>
        <v>95.3</v>
      </c>
    </row>
    <row r="2823" spans="1:8" ht="13.5" thickBot="1" x14ac:dyDescent="0.3"/>
    <row r="2824" spans="1:8" ht="25.5" x14ac:dyDescent="0.25">
      <c r="A2824" s="120" t="s">
        <v>90</v>
      </c>
      <c r="B2824" s="286" t="s">
        <v>91</v>
      </c>
      <c r="C2824" s="287"/>
      <c r="D2824" s="287"/>
      <c r="E2824" s="287"/>
      <c r="F2824" s="287"/>
      <c r="G2824" s="288"/>
      <c r="H2824" s="121" t="s">
        <v>4</v>
      </c>
    </row>
    <row r="2825" spans="1:8" ht="13.5" thickBot="1" x14ac:dyDescent="0.3">
      <c r="A2825" s="113" t="s">
        <v>12881</v>
      </c>
      <c r="B2825" s="289" t="s">
        <v>12882</v>
      </c>
      <c r="C2825" s="290"/>
      <c r="D2825" s="290"/>
      <c r="E2825" s="290"/>
      <c r="F2825" s="290"/>
      <c r="G2825" s="291"/>
      <c r="H2825" s="114" t="s">
        <v>4</v>
      </c>
    </row>
    <row r="2826" spans="1:8" x14ac:dyDescent="0.25">
      <c r="A2826" s="273" t="s">
        <v>13834</v>
      </c>
      <c r="B2826" s="275" t="s">
        <v>92</v>
      </c>
      <c r="C2826" s="276"/>
      <c r="D2826" s="185" t="s">
        <v>12883</v>
      </c>
      <c r="E2826" s="239" t="s">
        <v>93</v>
      </c>
      <c r="F2826" s="186">
        <v>0</v>
      </c>
      <c r="G2826" s="277" t="s">
        <v>94</v>
      </c>
      <c r="H2826" s="278"/>
    </row>
    <row r="2827" spans="1:8" x14ac:dyDescent="0.25">
      <c r="A2827" s="274"/>
      <c r="B2827" s="281" t="s">
        <v>95</v>
      </c>
      <c r="C2827" s="282"/>
      <c r="D2827" s="230">
        <v>43878</v>
      </c>
      <c r="E2827" s="240" t="s">
        <v>96</v>
      </c>
      <c r="F2827" s="230">
        <v>43878</v>
      </c>
      <c r="G2827" s="279"/>
      <c r="H2827" s="280"/>
    </row>
    <row r="2828" spans="1:8" x14ac:dyDescent="0.25">
      <c r="A2828" s="122" t="s">
        <v>11885</v>
      </c>
      <c r="B2828" s="123" t="s">
        <v>97</v>
      </c>
      <c r="C2828" s="123" t="s">
        <v>98</v>
      </c>
      <c r="D2828" s="123" t="s">
        <v>3</v>
      </c>
      <c r="E2828" s="123" t="s">
        <v>4</v>
      </c>
      <c r="F2828" s="123" t="s">
        <v>99</v>
      </c>
      <c r="G2828" s="123" t="s">
        <v>100</v>
      </c>
      <c r="H2828" s="124" t="s">
        <v>101</v>
      </c>
    </row>
    <row r="2829" spans="1:8" ht="25.5" x14ac:dyDescent="0.25">
      <c r="A2829" s="125" t="s">
        <v>398</v>
      </c>
      <c r="B2829" s="115" t="s">
        <v>9</v>
      </c>
      <c r="C2829" s="115">
        <v>88247</v>
      </c>
      <c r="D2829" s="127" t="str">
        <f>IF(A2829="COMPOSIÇÃO",VLOOKUP(C2829,'SINAPI_COMPOSIÇÕES 062020'!A:B,2,FALSE),VLOOKUP(C2829,'SINAPI_INSUMOS 062020'!A:B,2,FALSE))</f>
        <v>AUXILIAR DE ELETRICISTA COM ENCARGOS COMPLEMENTARES</v>
      </c>
      <c r="E2829" s="126" t="str">
        <f>IF(A2829="COMPOSIÇÃO",VLOOKUP(C2829,'SINAPI_COMPOSIÇÕES 062020'!A:C,3,FALSE),VLOOKUP(C2829,'SINAPI_INSUMOS 062020'!A:C,3,FALSE))</f>
        <v>H</v>
      </c>
      <c r="F2829" s="233">
        <v>0.2</v>
      </c>
      <c r="G2829" s="128">
        <f>IF(A2829="COMPOSIÇÃO",VLOOKUP(C2829,'SINAPI_COMPOSIÇÕES 062020'!A:D,4,FALSE),VLOOKUP(C2829,'SINAPI_INSUMOS 062020'!A:D,4,FALSE))</f>
        <v>14.33</v>
      </c>
      <c r="H2829" s="75">
        <f t="shared" ref="H2829" si="223">TRUNC(G2829*F2829,2)</f>
        <v>2.86</v>
      </c>
    </row>
    <row r="2830" spans="1:8" ht="13.5" thickBot="1" x14ac:dyDescent="0.3">
      <c r="A2830" s="267" t="str">
        <f>CONCATENATE("TOTAL DO ÍTEM - ",A2825)</f>
        <v>TOTAL DO ÍTEM - MPMT-05156</v>
      </c>
      <c r="B2830" s="268"/>
      <c r="C2830" s="268"/>
      <c r="D2830" s="268"/>
      <c r="E2830" s="268"/>
      <c r="F2830" s="268"/>
      <c r="G2830" s="269"/>
      <c r="H2830" s="188">
        <f>SUM(H2829:H2829)</f>
        <v>2.86</v>
      </c>
    </row>
    <row r="2831" spans="1:8" ht="13.5" thickBot="1" x14ac:dyDescent="0.3">
      <c r="A2831" s="299" t="s">
        <v>12884</v>
      </c>
      <c r="B2831" s="300"/>
      <c r="C2831" s="300"/>
      <c r="D2831" s="300"/>
      <c r="E2831" s="300"/>
      <c r="F2831" s="300"/>
      <c r="G2831" s="300"/>
      <c r="H2831" s="301"/>
    </row>
    <row r="2832" spans="1:8" ht="13.5" thickBot="1" x14ac:dyDescent="0.3">
      <c r="A2832" s="189"/>
      <c r="B2832" s="189"/>
      <c r="C2832" s="189"/>
      <c r="D2832" s="190"/>
      <c r="E2832" s="189"/>
      <c r="F2832" s="191"/>
      <c r="G2832" s="191"/>
      <c r="H2832" s="191"/>
    </row>
    <row r="2833" spans="1:8" ht="25.5" x14ac:dyDescent="0.25">
      <c r="A2833" s="120" t="s">
        <v>90</v>
      </c>
      <c r="B2833" s="286" t="s">
        <v>91</v>
      </c>
      <c r="C2833" s="287"/>
      <c r="D2833" s="287"/>
      <c r="E2833" s="287"/>
      <c r="F2833" s="287"/>
      <c r="G2833" s="288"/>
      <c r="H2833" s="121" t="s">
        <v>4</v>
      </c>
    </row>
    <row r="2834" spans="1:8" ht="13.5" thickBot="1" x14ac:dyDescent="0.3">
      <c r="A2834" s="113" t="s">
        <v>12885</v>
      </c>
      <c r="B2834" s="289" t="s">
        <v>12886</v>
      </c>
      <c r="C2834" s="290"/>
      <c r="D2834" s="290"/>
      <c r="E2834" s="290"/>
      <c r="F2834" s="290"/>
      <c r="G2834" s="291"/>
      <c r="H2834" s="114" t="s">
        <v>4</v>
      </c>
    </row>
    <row r="2835" spans="1:8" x14ac:dyDescent="0.25">
      <c r="A2835" s="273" t="s">
        <v>13834</v>
      </c>
      <c r="B2835" s="275" t="s">
        <v>92</v>
      </c>
      <c r="C2835" s="276"/>
      <c r="D2835" s="185" t="s">
        <v>12883</v>
      </c>
      <c r="E2835" s="239" t="s">
        <v>93</v>
      </c>
      <c r="F2835" s="186">
        <v>0</v>
      </c>
      <c r="G2835" s="277" t="s">
        <v>94</v>
      </c>
      <c r="H2835" s="278"/>
    </row>
    <row r="2836" spans="1:8" x14ac:dyDescent="0.25">
      <c r="A2836" s="274"/>
      <c r="B2836" s="281" t="s">
        <v>95</v>
      </c>
      <c r="C2836" s="282"/>
      <c r="D2836" s="230">
        <v>43878</v>
      </c>
      <c r="E2836" s="240" t="s">
        <v>96</v>
      </c>
      <c r="F2836" s="230">
        <v>43878</v>
      </c>
      <c r="G2836" s="279"/>
      <c r="H2836" s="280"/>
    </row>
    <row r="2837" spans="1:8" x14ac:dyDescent="0.25">
      <c r="A2837" s="122" t="s">
        <v>11885</v>
      </c>
      <c r="B2837" s="123" t="s">
        <v>97</v>
      </c>
      <c r="C2837" s="123" t="s">
        <v>98</v>
      </c>
      <c r="D2837" s="123" t="s">
        <v>3</v>
      </c>
      <c r="E2837" s="123" t="s">
        <v>4</v>
      </c>
      <c r="F2837" s="123" t="s">
        <v>99</v>
      </c>
      <c r="G2837" s="123" t="s">
        <v>100</v>
      </c>
      <c r="H2837" s="124" t="s">
        <v>101</v>
      </c>
    </row>
    <row r="2838" spans="1:8" ht="25.5" x14ac:dyDescent="0.25">
      <c r="A2838" s="125" t="s">
        <v>398</v>
      </c>
      <c r="B2838" s="115" t="s">
        <v>9</v>
      </c>
      <c r="C2838" s="115">
        <v>88247</v>
      </c>
      <c r="D2838" s="127" t="str">
        <f>IF(A2838="COMPOSIÇÃO",VLOOKUP(C2838,'SINAPI_COMPOSIÇÕES 062020'!A:B,2,FALSE),VLOOKUP(C2838,'SINAPI_INSUMOS 062020'!A:B,2,FALSE))</f>
        <v>AUXILIAR DE ELETRICISTA COM ENCARGOS COMPLEMENTARES</v>
      </c>
      <c r="E2838" s="126" t="str">
        <f>IF(A2838="COMPOSIÇÃO",VLOOKUP(C2838,'SINAPI_COMPOSIÇÕES 062020'!A:C,3,FALSE),VLOOKUP(C2838,'SINAPI_INSUMOS 062020'!A:C,3,FALSE))</f>
        <v>H</v>
      </c>
      <c r="F2838" s="233">
        <v>0.2</v>
      </c>
      <c r="G2838" s="128">
        <f>IF(A2838="COMPOSIÇÃO",VLOOKUP(C2838,'SINAPI_COMPOSIÇÕES 062020'!A:D,4,FALSE),VLOOKUP(C2838,'SINAPI_INSUMOS 062020'!A:D,4,FALSE))</f>
        <v>14.33</v>
      </c>
      <c r="H2838" s="75">
        <f t="shared" ref="H2838" si="224">TRUNC(G2838*F2838,2)</f>
        <v>2.86</v>
      </c>
    </row>
    <row r="2839" spans="1:8" ht="13.5" thickBot="1" x14ac:dyDescent="0.3">
      <c r="A2839" s="267" t="str">
        <f>CONCATENATE("TOTAL DO ÍTEM - ",A2834)</f>
        <v>TOTAL DO ÍTEM - MPMT-05157</v>
      </c>
      <c r="B2839" s="268"/>
      <c r="C2839" s="268"/>
      <c r="D2839" s="268"/>
      <c r="E2839" s="268"/>
      <c r="F2839" s="268"/>
      <c r="G2839" s="269"/>
      <c r="H2839" s="188">
        <f>SUM(H2838:H2838)</f>
        <v>2.86</v>
      </c>
    </row>
    <row r="2840" spans="1:8" ht="13.5" thickBot="1" x14ac:dyDescent="0.3">
      <c r="A2840" s="299" t="s">
        <v>12884</v>
      </c>
      <c r="B2840" s="300"/>
      <c r="C2840" s="300"/>
      <c r="D2840" s="300"/>
      <c r="E2840" s="300"/>
      <c r="F2840" s="300"/>
      <c r="G2840" s="300"/>
      <c r="H2840" s="301"/>
    </row>
    <row r="2841" spans="1:8" ht="13.5" thickBot="1" x14ac:dyDescent="0.3"/>
    <row r="2842" spans="1:8" ht="25.5" x14ac:dyDescent="0.25">
      <c r="A2842" s="120" t="s">
        <v>90</v>
      </c>
      <c r="B2842" s="286" t="s">
        <v>91</v>
      </c>
      <c r="C2842" s="287"/>
      <c r="D2842" s="287"/>
      <c r="E2842" s="287"/>
      <c r="F2842" s="287"/>
      <c r="G2842" s="288"/>
      <c r="H2842" s="121" t="s">
        <v>4</v>
      </c>
    </row>
    <row r="2843" spans="1:8" ht="13.5" thickBot="1" x14ac:dyDescent="0.3">
      <c r="A2843" s="113" t="s">
        <v>12887</v>
      </c>
      <c r="B2843" s="289" t="s">
        <v>12888</v>
      </c>
      <c r="C2843" s="290"/>
      <c r="D2843" s="290"/>
      <c r="E2843" s="290"/>
      <c r="F2843" s="290"/>
      <c r="G2843" s="291"/>
      <c r="H2843" s="114" t="s">
        <v>4</v>
      </c>
    </row>
    <row r="2844" spans="1:8" x14ac:dyDescent="0.25">
      <c r="A2844" s="273" t="s">
        <v>13834</v>
      </c>
      <c r="B2844" s="275" t="s">
        <v>92</v>
      </c>
      <c r="C2844" s="276"/>
      <c r="D2844" s="185" t="s">
        <v>11958</v>
      </c>
      <c r="E2844" s="239" t="s">
        <v>93</v>
      </c>
      <c r="F2844" s="186">
        <v>0</v>
      </c>
      <c r="G2844" s="277" t="s">
        <v>94</v>
      </c>
      <c r="H2844" s="278"/>
    </row>
    <row r="2845" spans="1:8" x14ac:dyDescent="0.25">
      <c r="A2845" s="274"/>
      <c r="B2845" s="281" t="s">
        <v>95</v>
      </c>
      <c r="C2845" s="282"/>
      <c r="D2845" s="230">
        <v>43878</v>
      </c>
      <c r="E2845" s="240" t="s">
        <v>96</v>
      </c>
      <c r="F2845" s="230">
        <v>43878</v>
      </c>
      <c r="G2845" s="279"/>
      <c r="H2845" s="280"/>
    </row>
    <row r="2846" spans="1:8" x14ac:dyDescent="0.25">
      <c r="A2846" s="122" t="s">
        <v>11885</v>
      </c>
      <c r="B2846" s="123" t="s">
        <v>97</v>
      </c>
      <c r="C2846" s="123" t="s">
        <v>98</v>
      </c>
      <c r="D2846" s="123" t="s">
        <v>3</v>
      </c>
      <c r="E2846" s="123" t="s">
        <v>4</v>
      </c>
      <c r="F2846" s="123" t="s">
        <v>99</v>
      </c>
      <c r="G2846" s="123" t="s">
        <v>100</v>
      </c>
      <c r="H2846" s="124" t="s">
        <v>101</v>
      </c>
    </row>
    <row r="2847" spans="1:8" x14ac:dyDescent="0.25">
      <c r="A2847" s="125" t="s">
        <v>11958</v>
      </c>
      <c r="B2847" s="115" t="s">
        <v>11959</v>
      </c>
      <c r="C2847" s="115" t="s">
        <v>11960</v>
      </c>
      <c r="D2847" s="194" t="str">
        <f>B2851</f>
        <v>PAINEL/TAMPA CEGA PARA RACK 19", 1U</v>
      </c>
      <c r="E2847" s="115" t="str">
        <f>H2851</f>
        <v>UND</v>
      </c>
      <c r="F2847" s="233">
        <v>1</v>
      </c>
      <c r="G2847" s="195">
        <f>H2856</f>
        <v>8.3699999999999992</v>
      </c>
      <c r="H2847" s="222">
        <f t="shared" ref="H2847" si="225">G2847*F2847</f>
        <v>8.3699999999999992</v>
      </c>
    </row>
    <row r="2848" spans="1:8" ht="13.5" thickBot="1" x14ac:dyDescent="0.3">
      <c r="A2848" s="267" t="str">
        <f>CONCATENATE("TOTAL DO ÍTEM - ",A2843)</f>
        <v>TOTAL DO ÍTEM - MPMT-05158</v>
      </c>
      <c r="B2848" s="268"/>
      <c r="C2848" s="268"/>
      <c r="D2848" s="268"/>
      <c r="E2848" s="268"/>
      <c r="F2848" s="268"/>
      <c r="G2848" s="269"/>
      <c r="H2848" s="188">
        <f>SUM(H2847:H2847)</f>
        <v>8.3699999999999992</v>
      </c>
    </row>
    <row r="2849" spans="1:8" ht="13.5" thickBot="1" x14ac:dyDescent="0.3">
      <c r="A2849" s="299" t="s">
        <v>12494</v>
      </c>
      <c r="B2849" s="300"/>
      <c r="C2849" s="300"/>
      <c r="D2849" s="300"/>
      <c r="E2849" s="300"/>
      <c r="F2849" s="300"/>
      <c r="G2849" s="300"/>
      <c r="H2849" s="301"/>
    </row>
    <row r="2850" spans="1:8" ht="13.5" thickBot="1" x14ac:dyDescent="0.3">
      <c r="A2850" s="317" t="s">
        <v>12483</v>
      </c>
      <c r="B2850" s="318"/>
      <c r="C2850" s="318"/>
      <c r="D2850" s="318"/>
      <c r="E2850" s="318"/>
      <c r="F2850" s="318"/>
      <c r="G2850" s="318"/>
      <c r="H2850" s="319"/>
    </row>
    <row r="2851" spans="1:8" ht="13.5" thickBot="1" x14ac:dyDescent="0.3">
      <c r="A2851" s="234" t="s">
        <v>11960</v>
      </c>
      <c r="B2851" s="293" t="s">
        <v>12889</v>
      </c>
      <c r="C2851" s="293"/>
      <c r="D2851" s="293"/>
      <c r="E2851" s="293"/>
      <c r="F2851" s="293"/>
      <c r="G2851" s="293"/>
      <c r="H2851" s="235" t="s">
        <v>4</v>
      </c>
    </row>
    <row r="2852" spans="1:8" ht="25.5" x14ac:dyDescent="0.25">
      <c r="A2852" s="213" t="s">
        <v>11965</v>
      </c>
      <c r="B2852" s="241" t="s">
        <v>11966</v>
      </c>
      <c r="C2852" s="241" t="s">
        <v>11967</v>
      </c>
      <c r="D2852" s="241" t="s">
        <v>11968</v>
      </c>
      <c r="E2852" s="294" t="s">
        <v>11969</v>
      </c>
      <c r="F2852" s="294"/>
      <c r="G2852" s="241" t="s">
        <v>4</v>
      </c>
      <c r="H2852" s="214" t="s">
        <v>11970</v>
      </c>
    </row>
    <row r="2853" spans="1:8" x14ac:dyDescent="0.25">
      <c r="A2853" s="205">
        <v>43874</v>
      </c>
      <c r="B2853" s="206" t="s">
        <v>12765</v>
      </c>
      <c r="C2853" s="206" t="s">
        <v>12745</v>
      </c>
      <c r="D2853" s="360" t="s">
        <v>12766</v>
      </c>
      <c r="E2853" s="295" t="s">
        <v>12747</v>
      </c>
      <c r="F2853" s="295"/>
      <c r="G2853" s="115" t="s">
        <v>4</v>
      </c>
      <c r="H2853" s="218">
        <v>8.3699999999999992</v>
      </c>
    </row>
    <row r="2854" spans="1:8" x14ac:dyDescent="0.25">
      <c r="A2854" s="205" t="s">
        <v>12767</v>
      </c>
      <c r="B2854" s="206" t="s">
        <v>12484</v>
      </c>
      <c r="C2854" s="206" t="s">
        <v>12485</v>
      </c>
      <c r="D2854" s="236" t="s">
        <v>12486</v>
      </c>
      <c r="E2854" s="295" t="s">
        <v>12474</v>
      </c>
      <c r="F2854" s="295"/>
      <c r="G2854" s="115" t="s">
        <v>4</v>
      </c>
      <c r="H2854" s="218">
        <v>7.29</v>
      </c>
    </row>
    <row r="2855" spans="1:8" x14ac:dyDescent="0.25">
      <c r="A2855" s="205">
        <v>43880</v>
      </c>
      <c r="B2855" s="206" t="s">
        <v>12768</v>
      </c>
      <c r="C2855" s="206" t="s">
        <v>12769</v>
      </c>
      <c r="D2855" s="360" t="s">
        <v>12770</v>
      </c>
      <c r="E2855" s="295" t="s">
        <v>12771</v>
      </c>
      <c r="F2855" s="295"/>
      <c r="G2855" s="115" t="s">
        <v>4</v>
      </c>
      <c r="H2855" s="218">
        <v>9.5</v>
      </c>
    </row>
    <row r="2856" spans="1:8" ht="13.5" thickBot="1" x14ac:dyDescent="0.3">
      <c r="A2856" s="296" t="s">
        <v>11981</v>
      </c>
      <c r="B2856" s="297"/>
      <c r="C2856" s="297"/>
      <c r="D2856" s="297"/>
      <c r="E2856" s="297"/>
      <c r="F2856" s="297"/>
      <c r="G2856" s="298"/>
      <c r="H2856" s="188">
        <f>TRUNC(MEDIAN(H2853:H2855),2)</f>
        <v>8.3699999999999992</v>
      </c>
    </row>
    <row r="2857" spans="1:8" ht="13.5" thickBot="1" x14ac:dyDescent="0.3">
      <c r="A2857" s="189"/>
      <c r="B2857" s="189"/>
      <c r="C2857" s="189"/>
      <c r="D2857" s="190"/>
      <c r="E2857" s="189"/>
      <c r="F2857" s="191"/>
      <c r="G2857" s="191"/>
      <c r="H2857" s="191"/>
    </row>
    <row r="2858" spans="1:8" ht="25.5" x14ac:dyDescent="0.25">
      <c r="A2858" s="120" t="s">
        <v>90</v>
      </c>
      <c r="B2858" s="286" t="s">
        <v>91</v>
      </c>
      <c r="C2858" s="287"/>
      <c r="D2858" s="287"/>
      <c r="E2858" s="287"/>
      <c r="F2858" s="287"/>
      <c r="G2858" s="288"/>
      <c r="H2858" s="121" t="s">
        <v>4</v>
      </c>
    </row>
    <row r="2859" spans="1:8" ht="13.5" thickBot="1" x14ac:dyDescent="0.3">
      <c r="A2859" s="113" t="s">
        <v>12890</v>
      </c>
      <c r="B2859" s="289" t="s">
        <v>12891</v>
      </c>
      <c r="C2859" s="290"/>
      <c r="D2859" s="290"/>
      <c r="E2859" s="290"/>
      <c r="F2859" s="290"/>
      <c r="G2859" s="291"/>
      <c r="H2859" s="114" t="s">
        <v>4</v>
      </c>
    </row>
    <row r="2860" spans="1:8" x14ac:dyDescent="0.25">
      <c r="A2860" s="273" t="s">
        <v>13834</v>
      </c>
      <c r="B2860" s="275" t="s">
        <v>92</v>
      </c>
      <c r="C2860" s="276"/>
      <c r="D2860" s="185" t="s">
        <v>11958</v>
      </c>
      <c r="E2860" s="239" t="s">
        <v>93</v>
      </c>
      <c r="F2860" s="186">
        <v>0</v>
      </c>
      <c r="G2860" s="277" t="s">
        <v>94</v>
      </c>
      <c r="H2860" s="278"/>
    </row>
    <row r="2861" spans="1:8" x14ac:dyDescent="0.25">
      <c r="A2861" s="274"/>
      <c r="B2861" s="281" t="s">
        <v>95</v>
      </c>
      <c r="C2861" s="282"/>
      <c r="D2861" s="230">
        <v>43878</v>
      </c>
      <c r="E2861" s="240" t="s">
        <v>96</v>
      </c>
      <c r="F2861" s="230">
        <v>43878</v>
      </c>
      <c r="G2861" s="279"/>
      <c r="H2861" s="280"/>
    </row>
    <row r="2862" spans="1:8" x14ac:dyDescent="0.25">
      <c r="A2862" s="122" t="s">
        <v>11885</v>
      </c>
      <c r="B2862" s="123" t="s">
        <v>97</v>
      </c>
      <c r="C2862" s="123" t="s">
        <v>98</v>
      </c>
      <c r="D2862" s="123" t="s">
        <v>3</v>
      </c>
      <c r="E2862" s="123" t="s">
        <v>4</v>
      </c>
      <c r="F2862" s="123" t="s">
        <v>99</v>
      </c>
      <c r="G2862" s="123" t="s">
        <v>100</v>
      </c>
      <c r="H2862" s="124" t="s">
        <v>101</v>
      </c>
    </row>
    <row r="2863" spans="1:8" x14ac:dyDescent="0.25">
      <c r="A2863" s="125" t="s">
        <v>11958</v>
      </c>
      <c r="B2863" s="115" t="s">
        <v>11959</v>
      </c>
      <c r="C2863" s="115" t="s">
        <v>11960</v>
      </c>
      <c r="D2863" s="194" t="str">
        <f>B2867</f>
        <v>PAINEL/TAMPA CEGA PARA RACK 19", 2U</v>
      </c>
      <c r="E2863" s="115" t="str">
        <f>H2867</f>
        <v>UND</v>
      </c>
      <c r="F2863" s="233">
        <v>1</v>
      </c>
      <c r="G2863" s="195">
        <f>H2872</f>
        <v>12.84</v>
      </c>
      <c r="H2863" s="222">
        <f t="shared" ref="H2863" si="226">G2863*F2863</f>
        <v>12.84</v>
      </c>
    </row>
    <row r="2864" spans="1:8" ht="13.5" thickBot="1" x14ac:dyDescent="0.3">
      <c r="A2864" s="267" t="str">
        <f>CONCATENATE("TOTAL DO ÍTEM - ",A2859)</f>
        <v>TOTAL DO ÍTEM - MPMT-05159</v>
      </c>
      <c r="B2864" s="268"/>
      <c r="C2864" s="268"/>
      <c r="D2864" s="268"/>
      <c r="E2864" s="268"/>
      <c r="F2864" s="268"/>
      <c r="G2864" s="269"/>
      <c r="H2864" s="188">
        <f>SUM(H2863:H2863)</f>
        <v>12.84</v>
      </c>
    </row>
    <row r="2865" spans="1:8" ht="13.5" thickBot="1" x14ac:dyDescent="0.3">
      <c r="A2865" s="299" t="s">
        <v>12494</v>
      </c>
      <c r="B2865" s="300"/>
      <c r="C2865" s="300"/>
      <c r="D2865" s="300"/>
      <c r="E2865" s="300"/>
      <c r="F2865" s="300"/>
      <c r="G2865" s="300"/>
      <c r="H2865" s="301"/>
    </row>
    <row r="2866" spans="1:8" ht="13.5" thickBot="1" x14ac:dyDescent="0.3">
      <c r="A2866" s="317" t="s">
        <v>12483</v>
      </c>
      <c r="B2866" s="318"/>
      <c r="C2866" s="318"/>
      <c r="D2866" s="318"/>
      <c r="E2866" s="318"/>
      <c r="F2866" s="318"/>
      <c r="G2866" s="318"/>
      <c r="H2866" s="319"/>
    </row>
    <row r="2867" spans="1:8" ht="13.5" thickBot="1" x14ac:dyDescent="0.3">
      <c r="A2867" s="234" t="s">
        <v>11960</v>
      </c>
      <c r="B2867" s="293" t="s">
        <v>12892</v>
      </c>
      <c r="C2867" s="293"/>
      <c r="D2867" s="293"/>
      <c r="E2867" s="293"/>
      <c r="F2867" s="293"/>
      <c r="G2867" s="293"/>
      <c r="H2867" s="235" t="s">
        <v>4</v>
      </c>
    </row>
    <row r="2868" spans="1:8" ht="25.5" x14ac:dyDescent="0.25">
      <c r="A2868" s="213" t="s">
        <v>11965</v>
      </c>
      <c r="B2868" s="241" t="s">
        <v>11966</v>
      </c>
      <c r="C2868" s="241" t="s">
        <v>11967</v>
      </c>
      <c r="D2868" s="241" t="s">
        <v>11968</v>
      </c>
      <c r="E2868" s="294" t="s">
        <v>11969</v>
      </c>
      <c r="F2868" s="294"/>
      <c r="G2868" s="241" t="s">
        <v>4</v>
      </c>
      <c r="H2868" s="214" t="s">
        <v>11970</v>
      </c>
    </row>
    <row r="2869" spans="1:8" x14ac:dyDescent="0.25">
      <c r="A2869" s="205">
        <v>43874</v>
      </c>
      <c r="B2869" s="206" t="s">
        <v>12765</v>
      </c>
      <c r="C2869" s="206" t="s">
        <v>12745</v>
      </c>
      <c r="D2869" s="360" t="s">
        <v>12766</v>
      </c>
      <c r="E2869" s="295" t="s">
        <v>12747</v>
      </c>
      <c r="F2869" s="295"/>
      <c r="G2869" s="115" t="s">
        <v>4</v>
      </c>
      <c r="H2869" s="218">
        <v>12.84</v>
      </c>
    </row>
    <row r="2870" spans="1:8" x14ac:dyDescent="0.25">
      <c r="A2870" s="205" t="s">
        <v>12767</v>
      </c>
      <c r="B2870" s="206" t="s">
        <v>12484</v>
      </c>
      <c r="C2870" s="206" t="s">
        <v>12485</v>
      </c>
      <c r="D2870" s="236" t="s">
        <v>12486</v>
      </c>
      <c r="E2870" s="295" t="s">
        <v>12474</v>
      </c>
      <c r="F2870" s="295"/>
      <c r="G2870" s="115" t="s">
        <v>4</v>
      </c>
      <c r="H2870" s="218">
        <v>10.46</v>
      </c>
    </row>
    <row r="2871" spans="1:8" x14ac:dyDescent="0.25">
      <c r="A2871" s="205">
        <v>43880</v>
      </c>
      <c r="B2871" s="206" t="s">
        <v>12768</v>
      </c>
      <c r="C2871" s="206" t="s">
        <v>12769</v>
      </c>
      <c r="D2871" s="360" t="s">
        <v>12770</v>
      </c>
      <c r="E2871" s="295" t="s">
        <v>12771</v>
      </c>
      <c r="F2871" s="295"/>
      <c r="G2871" s="115" t="s">
        <v>4</v>
      </c>
      <c r="H2871" s="218">
        <v>14</v>
      </c>
    </row>
    <row r="2872" spans="1:8" ht="13.5" thickBot="1" x14ac:dyDescent="0.3">
      <c r="A2872" s="296" t="s">
        <v>11981</v>
      </c>
      <c r="B2872" s="297"/>
      <c r="C2872" s="297"/>
      <c r="D2872" s="297"/>
      <c r="E2872" s="297"/>
      <c r="F2872" s="297"/>
      <c r="G2872" s="298"/>
      <c r="H2872" s="188">
        <f>TRUNC(MEDIAN(H2869:H2871),2)</f>
        <v>12.84</v>
      </c>
    </row>
    <row r="2873" spans="1:8" ht="13.5" thickBot="1" x14ac:dyDescent="0.3"/>
    <row r="2874" spans="1:8" ht="25.5" x14ac:dyDescent="0.25">
      <c r="A2874" s="120" t="s">
        <v>90</v>
      </c>
      <c r="B2874" s="286" t="s">
        <v>91</v>
      </c>
      <c r="C2874" s="287"/>
      <c r="D2874" s="287"/>
      <c r="E2874" s="287"/>
      <c r="F2874" s="287"/>
      <c r="G2874" s="288"/>
      <c r="H2874" s="121" t="s">
        <v>4</v>
      </c>
    </row>
    <row r="2875" spans="1:8" ht="13.5" thickBot="1" x14ac:dyDescent="0.3">
      <c r="A2875" s="113" t="s">
        <v>12893</v>
      </c>
      <c r="B2875" s="289" t="s">
        <v>12894</v>
      </c>
      <c r="C2875" s="290"/>
      <c r="D2875" s="290"/>
      <c r="E2875" s="290"/>
      <c r="F2875" s="290"/>
      <c r="G2875" s="291"/>
      <c r="H2875" s="114" t="s">
        <v>4</v>
      </c>
    </row>
    <row r="2876" spans="1:8" x14ac:dyDescent="0.25">
      <c r="A2876" s="273" t="s">
        <v>13834</v>
      </c>
      <c r="B2876" s="275" t="s">
        <v>92</v>
      </c>
      <c r="C2876" s="276"/>
      <c r="D2876" s="185" t="s">
        <v>12883</v>
      </c>
      <c r="E2876" s="239" t="s">
        <v>93</v>
      </c>
      <c r="F2876" s="186">
        <v>0</v>
      </c>
      <c r="G2876" s="277" t="s">
        <v>94</v>
      </c>
      <c r="H2876" s="278"/>
    </row>
    <row r="2877" spans="1:8" x14ac:dyDescent="0.25">
      <c r="A2877" s="274"/>
      <c r="B2877" s="281" t="s">
        <v>95</v>
      </c>
      <c r="C2877" s="282"/>
      <c r="D2877" s="230">
        <v>43878</v>
      </c>
      <c r="E2877" s="240" t="s">
        <v>96</v>
      </c>
      <c r="F2877" s="230">
        <v>43878</v>
      </c>
      <c r="G2877" s="279"/>
      <c r="H2877" s="280"/>
    </row>
    <row r="2878" spans="1:8" x14ac:dyDescent="0.25">
      <c r="A2878" s="122" t="s">
        <v>11885</v>
      </c>
      <c r="B2878" s="123" t="s">
        <v>97</v>
      </c>
      <c r="C2878" s="123" t="s">
        <v>98</v>
      </c>
      <c r="D2878" s="123" t="s">
        <v>3</v>
      </c>
      <c r="E2878" s="123" t="s">
        <v>4</v>
      </c>
      <c r="F2878" s="123" t="s">
        <v>99</v>
      </c>
      <c r="G2878" s="123" t="s">
        <v>100</v>
      </c>
      <c r="H2878" s="124" t="s">
        <v>101</v>
      </c>
    </row>
    <row r="2879" spans="1:8" ht="25.5" x14ac:dyDescent="0.25">
      <c r="A2879" s="125" t="s">
        <v>398</v>
      </c>
      <c r="B2879" s="115" t="s">
        <v>9</v>
      </c>
      <c r="C2879" s="115">
        <v>88247</v>
      </c>
      <c r="D2879" s="127" t="str">
        <f>IF(A2879="COMPOSIÇÃO",VLOOKUP(C2879,'SINAPI_COMPOSIÇÕES 062020'!A:B,2,FALSE),VLOOKUP(C2879,'SINAPI_INSUMOS 062020'!A:B,2,FALSE))</f>
        <v>AUXILIAR DE ELETRICISTA COM ENCARGOS COMPLEMENTARES</v>
      </c>
      <c r="E2879" s="126" t="str">
        <f>IF(A2879="COMPOSIÇÃO",VLOOKUP(C2879,'SINAPI_COMPOSIÇÕES 062020'!A:C,3,FALSE),VLOOKUP(C2879,'SINAPI_INSUMOS 062020'!A:C,3,FALSE))</f>
        <v>H</v>
      </c>
      <c r="F2879" s="233">
        <v>0.2</v>
      </c>
      <c r="G2879" s="128">
        <f>IF(A2879="COMPOSIÇÃO",VLOOKUP(C2879,'SINAPI_COMPOSIÇÕES 062020'!A:D,4,FALSE),VLOOKUP(C2879,'SINAPI_INSUMOS 062020'!A:D,4,FALSE))</f>
        <v>14.33</v>
      </c>
      <c r="H2879" s="75">
        <f t="shared" ref="H2879" si="227">TRUNC(G2879*F2879,2)</f>
        <v>2.86</v>
      </c>
    </row>
    <row r="2880" spans="1:8" ht="13.5" thickBot="1" x14ac:dyDescent="0.3">
      <c r="A2880" s="267" t="str">
        <f>CONCATENATE("TOTAL DO ÍTEM - ",A2875)</f>
        <v>TOTAL DO ÍTEM - MPMT-05135</v>
      </c>
      <c r="B2880" s="268"/>
      <c r="C2880" s="268"/>
      <c r="D2880" s="268"/>
      <c r="E2880" s="268"/>
      <c r="F2880" s="268"/>
      <c r="G2880" s="269"/>
      <c r="H2880" s="188">
        <f>SUM(H2879:H2879)</f>
        <v>2.86</v>
      </c>
    </row>
    <row r="2881" spans="1:8" ht="13.5" thickBot="1" x14ac:dyDescent="0.3">
      <c r="A2881" s="299" t="s">
        <v>12884</v>
      </c>
      <c r="B2881" s="300"/>
      <c r="C2881" s="300"/>
      <c r="D2881" s="300"/>
      <c r="E2881" s="300"/>
      <c r="F2881" s="300"/>
      <c r="G2881" s="300"/>
      <c r="H2881" s="301"/>
    </row>
    <row r="2882" spans="1:8" ht="13.5" thickBot="1" x14ac:dyDescent="0.3">
      <c r="A2882" s="189"/>
      <c r="B2882" s="189"/>
      <c r="C2882" s="189"/>
      <c r="D2882" s="190"/>
      <c r="E2882" s="189"/>
      <c r="F2882" s="191"/>
      <c r="G2882" s="191"/>
      <c r="H2882" s="191"/>
    </row>
    <row r="2883" spans="1:8" ht="25.5" x14ac:dyDescent="0.25">
      <c r="A2883" s="120" t="s">
        <v>90</v>
      </c>
      <c r="B2883" s="286" t="s">
        <v>91</v>
      </c>
      <c r="C2883" s="287"/>
      <c r="D2883" s="287"/>
      <c r="E2883" s="287"/>
      <c r="F2883" s="287"/>
      <c r="G2883" s="288"/>
      <c r="H2883" s="121" t="s">
        <v>4</v>
      </c>
    </row>
    <row r="2884" spans="1:8" ht="13.5" thickBot="1" x14ac:dyDescent="0.3">
      <c r="A2884" s="113" t="s">
        <v>12895</v>
      </c>
      <c r="B2884" s="289" t="s">
        <v>12896</v>
      </c>
      <c r="C2884" s="290"/>
      <c r="D2884" s="290"/>
      <c r="E2884" s="290"/>
      <c r="F2884" s="290"/>
      <c r="G2884" s="291"/>
      <c r="H2884" s="114" t="s">
        <v>4</v>
      </c>
    </row>
    <row r="2885" spans="1:8" x14ac:dyDescent="0.25">
      <c r="A2885" s="273" t="s">
        <v>13834</v>
      </c>
      <c r="B2885" s="275" t="s">
        <v>92</v>
      </c>
      <c r="C2885" s="276"/>
      <c r="D2885" s="185" t="s">
        <v>12883</v>
      </c>
      <c r="E2885" s="239" t="s">
        <v>93</v>
      </c>
      <c r="F2885" s="186">
        <v>0</v>
      </c>
      <c r="G2885" s="277" t="s">
        <v>94</v>
      </c>
      <c r="H2885" s="278"/>
    </row>
    <row r="2886" spans="1:8" x14ac:dyDescent="0.25">
      <c r="A2886" s="274"/>
      <c r="B2886" s="281" t="s">
        <v>95</v>
      </c>
      <c r="C2886" s="282"/>
      <c r="D2886" s="230">
        <v>43878</v>
      </c>
      <c r="E2886" s="240" t="s">
        <v>96</v>
      </c>
      <c r="F2886" s="230">
        <v>43878</v>
      </c>
      <c r="G2886" s="279"/>
      <c r="H2886" s="280"/>
    </row>
    <row r="2887" spans="1:8" x14ac:dyDescent="0.25">
      <c r="A2887" s="122" t="s">
        <v>11885</v>
      </c>
      <c r="B2887" s="123" t="s">
        <v>97</v>
      </c>
      <c r="C2887" s="123" t="s">
        <v>98</v>
      </c>
      <c r="D2887" s="123" t="s">
        <v>3</v>
      </c>
      <c r="E2887" s="123" t="s">
        <v>4</v>
      </c>
      <c r="F2887" s="123" t="s">
        <v>99</v>
      </c>
      <c r="G2887" s="123" t="s">
        <v>100</v>
      </c>
      <c r="H2887" s="124" t="s">
        <v>101</v>
      </c>
    </row>
    <row r="2888" spans="1:8" ht="25.5" x14ac:dyDescent="0.25">
      <c r="A2888" s="125" t="s">
        <v>398</v>
      </c>
      <c r="B2888" s="115" t="s">
        <v>9</v>
      </c>
      <c r="C2888" s="115">
        <v>88247</v>
      </c>
      <c r="D2888" s="127" t="str">
        <f>IF(A2888="COMPOSIÇÃO",VLOOKUP(C2888,'SINAPI_COMPOSIÇÕES 062020'!A:B,2,FALSE),VLOOKUP(C2888,'SINAPI_INSUMOS 062020'!A:B,2,FALSE))</f>
        <v>AUXILIAR DE ELETRICISTA COM ENCARGOS COMPLEMENTARES</v>
      </c>
      <c r="E2888" s="126" t="str">
        <f>IF(A2888="COMPOSIÇÃO",VLOOKUP(C2888,'SINAPI_COMPOSIÇÕES 062020'!A:C,3,FALSE),VLOOKUP(C2888,'SINAPI_INSUMOS 062020'!A:C,3,FALSE))</f>
        <v>H</v>
      </c>
      <c r="F2888" s="233">
        <v>0.2</v>
      </c>
      <c r="G2888" s="128">
        <f>IF(A2888="COMPOSIÇÃO",VLOOKUP(C2888,'SINAPI_COMPOSIÇÕES 062020'!A:D,4,FALSE),VLOOKUP(C2888,'SINAPI_INSUMOS 062020'!A:D,4,FALSE))</f>
        <v>14.33</v>
      </c>
      <c r="H2888" s="75">
        <f t="shared" ref="H2888" si="228">TRUNC(G2888*F2888,2)</f>
        <v>2.86</v>
      </c>
    </row>
    <row r="2889" spans="1:8" ht="13.5" thickBot="1" x14ac:dyDescent="0.3">
      <c r="A2889" s="267" t="str">
        <f>CONCATENATE("TOTAL DO ÍTEM - ",A2884)</f>
        <v>TOTAL DO ÍTEM - MPMT-05136</v>
      </c>
      <c r="B2889" s="268"/>
      <c r="C2889" s="268"/>
      <c r="D2889" s="268"/>
      <c r="E2889" s="268"/>
      <c r="F2889" s="268"/>
      <c r="G2889" s="269"/>
      <c r="H2889" s="188">
        <f>SUM(H2888:H2888)</f>
        <v>2.86</v>
      </c>
    </row>
    <row r="2890" spans="1:8" ht="13.5" thickBot="1" x14ac:dyDescent="0.3">
      <c r="A2890" s="299" t="s">
        <v>12884</v>
      </c>
      <c r="B2890" s="300"/>
      <c r="C2890" s="300"/>
      <c r="D2890" s="300"/>
      <c r="E2890" s="300"/>
      <c r="F2890" s="300"/>
      <c r="G2890" s="300"/>
      <c r="H2890" s="301"/>
    </row>
    <row r="2891" spans="1:8" ht="13.5" thickBot="1" x14ac:dyDescent="0.3"/>
    <row r="2892" spans="1:8" ht="25.5" x14ac:dyDescent="0.25">
      <c r="A2892" s="120" t="s">
        <v>90</v>
      </c>
      <c r="B2892" s="286" t="s">
        <v>91</v>
      </c>
      <c r="C2892" s="287"/>
      <c r="D2892" s="287"/>
      <c r="E2892" s="287"/>
      <c r="F2892" s="287"/>
      <c r="G2892" s="288"/>
      <c r="H2892" s="121" t="s">
        <v>4</v>
      </c>
    </row>
    <row r="2893" spans="1:8" ht="13.5" thickBot="1" x14ac:dyDescent="0.3">
      <c r="A2893" s="113" t="s">
        <v>12897</v>
      </c>
      <c r="B2893" s="289" t="s">
        <v>12898</v>
      </c>
      <c r="C2893" s="290"/>
      <c r="D2893" s="290"/>
      <c r="E2893" s="290"/>
      <c r="F2893" s="290"/>
      <c r="G2893" s="291"/>
      <c r="H2893" s="114" t="s">
        <v>4</v>
      </c>
    </row>
    <row r="2894" spans="1:8" x14ac:dyDescent="0.25">
      <c r="A2894" s="273" t="s">
        <v>13834</v>
      </c>
      <c r="B2894" s="275" t="s">
        <v>92</v>
      </c>
      <c r="C2894" s="276"/>
      <c r="D2894" s="185" t="s">
        <v>11958</v>
      </c>
      <c r="E2894" s="239" t="s">
        <v>93</v>
      </c>
      <c r="F2894" s="186">
        <v>0</v>
      </c>
      <c r="G2894" s="277" t="s">
        <v>94</v>
      </c>
      <c r="H2894" s="278"/>
    </row>
    <row r="2895" spans="1:8" x14ac:dyDescent="0.25">
      <c r="A2895" s="274"/>
      <c r="B2895" s="281" t="s">
        <v>95</v>
      </c>
      <c r="C2895" s="282"/>
      <c r="D2895" s="230">
        <v>43878</v>
      </c>
      <c r="E2895" s="240" t="s">
        <v>96</v>
      </c>
      <c r="F2895" s="230">
        <v>43878</v>
      </c>
      <c r="G2895" s="279"/>
      <c r="H2895" s="280"/>
    </row>
    <row r="2896" spans="1:8" x14ac:dyDescent="0.25">
      <c r="A2896" s="122" t="s">
        <v>11885</v>
      </c>
      <c r="B2896" s="123" t="s">
        <v>97</v>
      </c>
      <c r="C2896" s="123" t="s">
        <v>98</v>
      </c>
      <c r="D2896" s="123" t="s">
        <v>3</v>
      </c>
      <c r="E2896" s="123" t="s">
        <v>4</v>
      </c>
      <c r="F2896" s="123" t="s">
        <v>99</v>
      </c>
      <c r="G2896" s="123" t="s">
        <v>100</v>
      </c>
      <c r="H2896" s="124" t="s">
        <v>101</v>
      </c>
    </row>
    <row r="2897" spans="1:8" x14ac:dyDescent="0.25">
      <c r="A2897" s="125" t="s">
        <v>11958</v>
      </c>
      <c r="B2897" s="115" t="s">
        <v>11959</v>
      </c>
      <c r="C2897" s="115" t="s">
        <v>11960</v>
      </c>
      <c r="D2897" s="194" t="str">
        <f>B2901</f>
        <v>GUIA DE CABOS PARA RACK 19", 1U</v>
      </c>
      <c r="E2897" s="115" t="str">
        <f>H2901</f>
        <v>UND</v>
      </c>
      <c r="F2897" s="233">
        <v>1</v>
      </c>
      <c r="G2897" s="195">
        <f>H2906</f>
        <v>17.96</v>
      </c>
      <c r="H2897" s="222">
        <f t="shared" ref="H2897" si="229">G2897*F2897</f>
        <v>17.96</v>
      </c>
    </row>
    <row r="2898" spans="1:8" ht="13.5" thickBot="1" x14ac:dyDescent="0.3">
      <c r="A2898" s="267" t="str">
        <f>CONCATENATE("TOTAL DO ÍTEM - ",A2893)</f>
        <v>TOTAL DO ÍTEM - MPMT-05147</v>
      </c>
      <c r="B2898" s="268"/>
      <c r="C2898" s="268"/>
      <c r="D2898" s="268"/>
      <c r="E2898" s="268"/>
      <c r="F2898" s="268"/>
      <c r="G2898" s="269"/>
      <c r="H2898" s="188">
        <f>SUM(H2897:H2897)</f>
        <v>17.96</v>
      </c>
    </row>
    <row r="2899" spans="1:8" ht="13.5" thickBot="1" x14ac:dyDescent="0.3">
      <c r="A2899" s="299" t="s">
        <v>12494</v>
      </c>
      <c r="B2899" s="300"/>
      <c r="C2899" s="300"/>
      <c r="D2899" s="300"/>
      <c r="E2899" s="300"/>
      <c r="F2899" s="300"/>
      <c r="G2899" s="300"/>
      <c r="H2899" s="301"/>
    </row>
    <row r="2900" spans="1:8" ht="13.5" thickBot="1" x14ac:dyDescent="0.3">
      <c r="A2900" s="317" t="s">
        <v>12483</v>
      </c>
      <c r="B2900" s="318"/>
      <c r="C2900" s="318"/>
      <c r="D2900" s="318"/>
      <c r="E2900" s="318"/>
      <c r="F2900" s="318"/>
      <c r="G2900" s="318"/>
      <c r="H2900" s="319"/>
    </row>
    <row r="2901" spans="1:8" ht="13.5" thickBot="1" x14ac:dyDescent="0.3">
      <c r="A2901" s="234" t="s">
        <v>11960</v>
      </c>
      <c r="B2901" s="293" t="s">
        <v>12899</v>
      </c>
      <c r="C2901" s="293"/>
      <c r="D2901" s="293"/>
      <c r="E2901" s="293"/>
      <c r="F2901" s="293"/>
      <c r="G2901" s="293"/>
      <c r="H2901" s="235" t="s">
        <v>4</v>
      </c>
    </row>
    <row r="2902" spans="1:8" ht="25.5" x14ac:dyDescent="0.25">
      <c r="A2902" s="213" t="s">
        <v>11965</v>
      </c>
      <c r="B2902" s="241" t="s">
        <v>11966</v>
      </c>
      <c r="C2902" s="241" t="s">
        <v>11967</v>
      </c>
      <c r="D2902" s="241" t="s">
        <v>11968</v>
      </c>
      <c r="E2902" s="294" t="s">
        <v>11969</v>
      </c>
      <c r="F2902" s="294"/>
      <c r="G2902" s="241" t="s">
        <v>4</v>
      </c>
      <c r="H2902" s="214" t="s">
        <v>11970</v>
      </c>
    </row>
    <row r="2903" spans="1:8" x14ac:dyDescent="0.25">
      <c r="A2903" s="205">
        <v>43874</v>
      </c>
      <c r="B2903" s="206" t="s">
        <v>12765</v>
      </c>
      <c r="C2903" s="206" t="s">
        <v>12745</v>
      </c>
      <c r="D2903" s="360" t="s">
        <v>12766</v>
      </c>
      <c r="E2903" s="295" t="s">
        <v>12747</v>
      </c>
      <c r="F2903" s="295"/>
      <c r="G2903" s="115" t="s">
        <v>4</v>
      </c>
      <c r="H2903" s="218">
        <v>17.96</v>
      </c>
    </row>
    <row r="2904" spans="1:8" x14ac:dyDescent="0.25">
      <c r="A2904" s="205" t="s">
        <v>12767</v>
      </c>
      <c r="B2904" s="206" t="s">
        <v>12484</v>
      </c>
      <c r="C2904" s="206" t="s">
        <v>12485</v>
      </c>
      <c r="D2904" s="236" t="s">
        <v>12486</v>
      </c>
      <c r="E2904" s="295" t="s">
        <v>12474</v>
      </c>
      <c r="F2904" s="295"/>
      <c r="G2904" s="115" t="s">
        <v>4</v>
      </c>
      <c r="H2904" s="218">
        <v>19.34</v>
      </c>
    </row>
    <row r="2905" spans="1:8" x14ac:dyDescent="0.25">
      <c r="A2905" s="205">
        <v>43880</v>
      </c>
      <c r="B2905" s="206" t="s">
        <v>12768</v>
      </c>
      <c r="C2905" s="206" t="s">
        <v>12769</v>
      </c>
      <c r="D2905" s="360" t="s">
        <v>12770</v>
      </c>
      <c r="E2905" s="295" t="s">
        <v>12771</v>
      </c>
      <c r="F2905" s="295"/>
      <c r="G2905" s="115" t="s">
        <v>4</v>
      </c>
      <c r="H2905" s="218">
        <v>15</v>
      </c>
    </row>
    <row r="2906" spans="1:8" ht="13.5" thickBot="1" x14ac:dyDescent="0.3">
      <c r="A2906" s="296" t="s">
        <v>11981</v>
      </c>
      <c r="B2906" s="297"/>
      <c r="C2906" s="297"/>
      <c r="D2906" s="297"/>
      <c r="E2906" s="297"/>
      <c r="F2906" s="297"/>
      <c r="G2906" s="298"/>
      <c r="H2906" s="188">
        <f>TRUNC(MEDIAN(H2903:H2905),2)</f>
        <v>17.96</v>
      </c>
    </row>
    <row r="2907" spans="1:8" ht="13.5" thickBot="1" x14ac:dyDescent="0.3">
      <c r="A2907" s="189"/>
      <c r="B2907" s="189"/>
      <c r="C2907" s="189"/>
      <c r="D2907" s="190"/>
      <c r="E2907" s="189"/>
      <c r="F2907" s="191"/>
      <c r="G2907" s="191"/>
      <c r="H2907" s="191"/>
    </row>
    <row r="2908" spans="1:8" ht="25.5" x14ac:dyDescent="0.25">
      <c r="A2908" s="120" t="s">
        <v>90</v>
      </c>
      <c r="B2908" s="286" t="s">
        <v>91</v>
      </c>
      <c r="C2908" s="287"/>
      <c r="D2908" s="287"/>
      <c r="E2908" s="287"/>
      <c r="F2908" s="287"/>
      <c r="G2908" s="288"/>
      <c r="H2908" s="121" t="s">
        <v>4</v>
      </c>
    </row>
    <row r="2909" spans="1:8" ht="13.5" thickBot="1" x14ac:dyDescent="0.3">
      <c r="A2909" s="113" t="s">
        <v>12900</v>
      </c>
      <c r="B2909" s="289" t="s">
        <v>12901</v>
      </c>
      <c r="C2909" s="290"/>
      <c r="D2909" s="290"/>
      <c r="E2909" s="290"/>
      <c r="F2909" s="290"/>
      <c r="G2909" s="291"/>
      <c r="H2909" s="114" t="s">
        <v>4</v>
      </c>
    </row>
    <row r="2910" spans="1:8" x14ac:dyDescent="0.25">
      <c r="A2910" s="273" t="s">
        <v>13834</v>
      </c>
      <c r="B2910" s="275" t="s">
        <v>92</v>
      </c>
      <c r="C2910" s="276"/>
      <c r="D2910" s="185" t="s">
        <v>11958</v>
      </c>
      <c r="E2910" s="239" t="s">
        <v>93</v>
      </c>
      <c r="F2910" s="186">
        <v>0</v>
      </c>
      <c r="G2910" s="277" t="s">
        <v>94</v>
      </c>
      <c r="H2910" s="278"/>
    </row>
    <row r="2911" spans="1:8" x14ac:dyDescent="0.25">
      <c r="A2911" s="274"/>
      <c r="B2911" s="281" t="s">
        <v>95</v>
      </c>
      <c r="C2911" s="282"/>
      <c r="D2911" s="230">
        <v>43878</v>
      </c>
      <c r="E2911" s="240" t="s">
        <v>96</v>
      </c>
      <c r="F2911" s="230">
        <v>43878</v>
      </c>
      <c r="G2911" s="279"/>
      <c r="H2911" s="280"/>
    </row>
    <row r="2912" spans="1:8" x14ac:dyDescent="0.25">
      <c r="A2912" s="122" t="s">
        <v>11885</v>
      </c>
      <c r="B2912" s="123" t="s">
        <v>97</v>
      </c>
      <c r="C2912" s="123" t="s">
        <v>98</v>
      </c>
      <c r="D2912" s="123" t="s">
        <v>3</v>
      </c>
      <c r="E2912" s="123" t="s">
        <v>4</v>
      </c>
      <c r="F2912" s="123" t="s">
        <v>99</v>
      </c>
      <c r="G2912" s="123" t="s">
        <v>100</v>
      </c>
      <c r="H2912" s="124" t="s">
        <v>101</v>
      </c>
    </row>
    <row r="2913" spans="1:8" x14ac:dyDescent="0.25">
      <c r="A2913" s="125" t="s">
        <v>11958</v>
      </c>
      <c r="B2913" s="115" t="s">
        <v>11959</v>
      </c>
      <c r="C2913" s="115" t="s">
        <v>11960</v>
      </c>
      <c r="D2913" s="194" t="str">
        <f>B2917</f>
        <v>GUIA DE CABOS PARA RACK 19", 2U</v>
      </c>
      <c r="E2913" s="115" t="str">
        <f>H2917</f>
        <v>UND</v>
      </c>
      <c r="F2913" s="233">
        <v>1</v>
      </c>
      <c r="G2913" s="195">
        <f>H2922</f>
        <v>32</v>
      </c>
      <c r="H2913" s="222">
        <f t="shared" ref="H2913" si="230">G2913*F2913</f>
        <v>32</v>
      </c>
    </row>
    <row r="2914" spans="1:8" ht="13.5" thickBot="1" x14ac:dyDescent="0.3">
      <c r="A2914" s="267" t="str">
        <f>CONCATENATE("TOTAL DO ÍTEM - ",A2909)</f>
        <v>TOTAL DO ÍTEM - MPMT-05148</v>
      </c>
      <c r="B2914" s="268"/>
      <c r="C2914" s="268"/>
      <c r="D2914" s="268"/>
      <c r="E2914" s="268"/>
      <c r="F2914" s="268"/>
      <c r="G2914" s="269"/>
      <c r="H2914" s="188">
        <f>SUM(H2913:H2913)</f>
        <v>32</v>
      </c>
    </row>
    <row r="2915" spans="1:8" ht="13.5" thickBot="1" x14ac:dyDescent="0.3">
      <c r="A2915" s="299" t="s">
        <v>12494</v>
      </c>
      <c r="B2915" s="300"/>
      <c r="C2915" s="300"/>
      <c r="D2915" s="300"/>
      <c r="E2915" s="300"/>
      <c r="F2915" s="300"/>
      <c r="G2915" s="300"/>
      <c r="H2915" s="301"/>
    </row>
    <row r="2916" spans="1:8" ht="13.5" thickBot="1" x14ac:dyDescent="0.3">
      <c r="A2916" s="317" t="s">
        <v>12483</v>
      </c>
      <c r="B2916" s="318"/>
      <c r="C2916" s="318"/>
      <c r="D2916" s="318"/>
      <c r="E2916" s="318"/>
      <c r="F2916" s="318"/>
      <c r="G2916" s="318"/>
      <c r="H2916" s="319"/>
    </row>
    <row r="2917" spans="1:8" ht="13.5" thickBot="1" x14ac:dyDescent="0.3">
      <c r="A2917" s="234" t="s">
        <v>11960</v>
      </c>
      <c r="B2917" s="293" t="s">
        <v>12902</v>
      </c>
      <c r="C2917" s="293"/>
      <c r="D2917" s="293"/>
      <c r="E2917" s="293"/>
      <c r="F2917" s="293"/>
      <c r="G2917" s="293"/>
      <c r="H2917" s="235" t="s">
        <v>4</v>
      </c>
    </row>
    <row r="2918" spans="1:8" ht="25.5" x14ac:dyDescent="0.25">
      <c r="A2918" s="213" t="s">
        <v>11965</v>
      </c>
      <c r="B2918" s="241" t="s">
        <v>11966</v>
      </c>
      <c r="C2918" s="241" t="s">
        <v>11967</v>
      </c>
      <c r="D2918" s="241" t="s">
        <v>11968</v>
      </c>
      <c r="E2918" s="294" t="s">
        <v>11969</v>
      </c>
      <c r="F2918" s="294"/>
      <c r="G2918" s="241" t="s">
        <v>4</v>
      </c>
      <c r="H2918" s="214" t="s">
        <v>11970</v>
      </c>
    </row>
    <row r="2919" spans="1:8" x14ac:dyDescent="0.25">
      <c r="A2919" s="205">
        <v>43874</v>
      </c>
      <c r="B2919" s="206" t="s">
        <v>12765</v>
      </c>
      <c r="C2919" s="206" t="s">
        <v>12745</v>
      </c>
      <c r="D2919" s="360" t="s">
        <v>12766</v>
      </c>
      <c r="E2919" s="295" t="s">
        <v>12747</v>
      </c>
      <c r="F2919" s="295"/>
      <c r="G2919" s="115" t="s">
        <v>4</v>
      </c>
      <c r="H2919" s="218">
        <v>32.630000000000003</v>
      </c>
    </row>
    <row r="2920" spans="1:8" x14ac:dyDescent="0.25">
      <c r="A2920" s="205" t="s">
        <v>12767</v>
      </c>
      <c r="B2920" s="206" t="s">
        <v>12484</v>
      </c>
      <c r="C2920" s="206" t="s">
        <v>12485</v>
      </c>
      <c r="D2920" s="236" t="s">
        <v>12486</v>
      </c>
      <c r="E2920" s="295" t="s">
        <v>12474</v>
      </c>
      <c r="F2920" s="295"/>
      <c r="G2920" s="115" t="s">
        <v>4</v>
      </c>
      <c r="H2920" s="218">
        <v>31.63</v>
      </c>
    </row>
    <row r="2921" spans="1:8" x14ac:dyDescent="0.25">
      <c r="A2921" s="205">
        <v>43880</v>
      </c>
      <c r="B2921" s="206" t="s">
        <v>12768</v>
      </c>
      <c r="C2921" s="206" t="s">
        <v>12769</v>
      </c>
      <c r="D2921" s="360" t="s">
        <v>12770</v>
      </c>
      <c r="E2921" s="295" t="s">
        <v>12771</v>
      </c>
      <c r="F2921" s="295"/>
      <c r="G2921" s="115" t="s">
        <v>4</v>
      </c>
      <c r="H2921" s="218">
        <v>32</v>
      </c>
    </row>
    <row r="2922" spans="1:8" ht="13.5" thickBot="1" x14ac:dyDescent="0.3">
      <c r="A2922" s="296" t="s">
        <v>11981</v>
      </c>
      <c r="B2922" s="297"/>
      <c r="C2922" s="297"/>
      <c r="D2922" s="297"/>
      <c r="E2922" s="297"/>
      <c r="F2922" s="297"/>
      <c r="G2922" s="298"/>
      <c r="H2922" s="188">
        <f>TRUNC(MEDIAN(H2919:H2921),2)</f>
        <v>32</v>
      </c>
    </row>
    <row r="2923" spans="1:8" ht="13.5" thickBot="1" x14ac:dyDescent="0.3"/>
    <row r="2924" spans="1:8" ht="25.5" x14ac:dyDescent="0.25">
      <c r="A2924" s="120" t="s">
        <v>90</v>
      </c>
      <c r="B2924" s="286" t="s">
        <v>91</v>
      </c>
      <c r="C2924" s="287"/>
      <c r="D2924" s="287"/>
      <c r="E2924" s="287"/>
      <c r="F2924" s="287"/>
      <c r="G2924" s="288"/>
      <c r="H2924" s="121" t="s">
        <v>4</v>
      </c>
    </row>
    <row r="2925" spans="1:8" ht="13.5" thickBot="1" x14ac:dyDescent="0.3">
      <c r="A2925" s="113" t="s">
        <v>12903</v>
      </c>
      <c r="B2925" s="289" t="s">
        <v>12904</v>
      </c>
      <c r="C2925" s="290"/>
      <c r="D2925" s="290"/>
      <c r="E2925" s="290"/>
      <c r="F2925" s="290"/>
      <c r="G2925" s="291"/>
      <c r="H2925" s="114" t="s">
        <v>4</v>
      </c>
    </row>
    <row r="2926" spans="1:8" x14ac:dyDescent="0.25">
      <c r="A2926" s="273" t="s">
        <v>13834</v>
      </c>
      <c r="B2926" s="275" t="s">
        <v>92</v>
      </c>
      <c r="C2926" s="276"/>
      <c r="D2926" s="185" t="s">
        <v>12883</v>
      </c>
      <c r="E2926" s="239" t="s">
        <v>93</v>
      </c>
      <c r="F2926" s="186">
        <v>0</v>
      </c>
      <c r="G2926" s="277" t="s">
        <v>94</v>
      </c>
      <c r="H2926" s="278"/>
    </row>
    <row r="2927" spans="1:8" x14ac:dyDescent="0.25">
      <c r="A2927" s="274"/>
      <c r="B2927" s="281" t="s">
        <v>95</v>
      </c>
      <c r="C2927" s="282"/>
      <c r="D2927" s="230">
        <v>43878</v>
      </c>
      <c r="E2927" s="240" t="s">
        <v>96</v>
      </c>
      <c r="F2927" s="230">
        <v>43878</v>
      </c>
      <c r="G2927" s="279"/>
      <c r="H2927" s="280"/>
    </row>
    <row r="2928" spans="1:8" x14ac:dyDescent="0.25">
      <c r="A2928" s="122" t="s">
        <v>11885</v>
      </c>
      <c r="B2928" s="123" t="s">
        <v>97</v>
      </c>
      <c r="C2928" s="123" t="s">
        <v>98</v>
      </c>
      <c r="D2928" s="123" t="s">
        <v>3</v>
      </c>
      <c r="E2928" s="123" t="s">
        <v>4</v>
      </c>
      <c r="F2928" s="123" t="s">
        <v>99</v>
      </c>
      <c r="G2928" s="123" t="s">
        <v>100</v>
      </c>
      <c r="H2928" s="124" t="s">
        <v>101</v>
      </c>
    </row>
    <row r="2929" spans="1:8" ht="25.5" x14ac:dyDescent="0.25">
      <c r="A2929" s="125" t="s">
        <v>398</v>
      </c>
      <c r="B2929" s="115" t="s">
        <v>9</v>
      </c>
      <c r="C2929" s="115">
        <v>88247</v>
      </c>
      <c r="D2929" s="127" t="str">
        <f>IF(A2929="COMPOSIÇÃO",VLOOKUP(C2929,'SINAPI_COMPOSIÇÕES 062020'!A:B,2,FALSE),VLOOKUP(C2929,'SINAPI_INSUMOS 062020'!A:B,2,FALSE))</f>
        <v>AUXILIAR DE ELETRICISTA COM ENCARGOS COMPLEMENTARES</v>
      </c>
      <c r="E2929" s="126" t="str">
        <f>IF(A2929="COMPOSIÇÃO",VLOOKUP(C2929,'SINAPI_COMPOSIÇÕES 062020'!A:C,3,FALSE),VLOOKUP(C2929,'SINAPI_INSUMOS 062020'!A:C,3,FALSE))</f>
        <v>H</v>
      </c>
      <c r="F2929" s="233">
        <v>0.2</v>
      </c>
      <c r="G2929" s="128">
        <f>IF(A2929="COMPOSIÇÃO",VLOOKUP(C2929,'SINAPI_COMPOSIÇÕES 062020'!A:D,4,FALSE),VLOOKUP(C2929,'SINAPI_INSUMOS 062020'!A:D,4,FALSE))</f>
        <v>14.33</v>
      </c>
      <c r="H2929" s="75">
        <f t="shared" ref="H2929" si="231">TRUNC(G2929*F2929,2)</f>
        <v>2.86</v>
      </c>
    </row>
    <row r="2930" spans="1:8" ht="13.5" thickBot="1" x14ac:dyDescent="0.3">
      <c r="A2930" s="267" t="str">
        <f>CONCATENATE("TOTAL DO ÍTEM - ",A2925)</f>
        <v>TOTAL DO ÍTEM - MPMT-05137</v>
      </c>
      <c r="B2930" s="268"/>
      <c r="C2930" s="268"/>
      <c r="D2930" s="268"/>
      <c r="E2930" s="268"/>
      <c r="F2930" s="268"/>
      <c r="G2930" s="269"/>
      <c r="H2930" s="188">
        <f>SUM(H2929:H2929)</f>
        <v>2.86</v>
      </c>
    </row>
    <row r="2931" spans="1:8" ht="13.5" thickBot="1" x14ac:dyDescent="0.3">
      <c r="A2931" s="299" t="s">
        <v>12884</v>
      </c>
      <c r="B2931" s="300"/>
      <c r="C2931" s="300"/>
      <c r="D2931" s="300"/>
      <c r="E2931" s="300"/>
      <c r="F2931" s="300"/>
      <c r="G2931" s="300"/>
      <c r="H2931" s="301"/>
    </row>
    <row r="2932" spans="1:8" ht="13.5" thickBot="1" x14ac:dyDescent="0.3"/>
    <row r="2933" spans="1:8" ht="25.5" x14ac:dyDescent="0.25">
      <c r="A2933" s="120" t="s">
        <v>90</v>
      </c>
      <c r="B2933" s="286" t="s">
        <v>91</v>
      </c>
      <c r="C2933" s="287"/>
      <c r="D2933" s="287"/>
      <c r="E2933" s="287"/>
      <c r="F2933" s="287"/>
      <c r="G2933" s="288"/>
      <c r="H2933" s="121" t="s">
        <v>4</v>
      </c>
    </row>
    <row r="2934" spans="1:8" ht="13.5" thickBot="1" x14ac:dyDescent="0.3">
      <c r="A2934" s="113" t="s">
        <v>12905</v>
      </c>
      <c r="B2934" s="289" t="s">
        <v>12906</v>
      </c>
      <c r="C2934" s="290"/>
      <c r="D2934" s="290"/>
      <c r="E2934" s="290"/>
      <c r="F2934" s="290"/>
      <c r="G2934" s="291"/>
      <c r="H2934" s="114" t="s">
        <v>4</v>
      </c>
    </row>
    <row r="2935" spans="1:8" x14ac:dyDescent="0.25">
      <c r="A2935" s="273" t="s">
        <v>13834</v>
      </c>
      <c r="B2935" s="275" t="s">
        <v>92</v>
      </c>
      <c r="C2935" s="276"/>
      <c r="D2935" s="185" t="s">
        <v>11958</v>
      </c>
      <c r="E2935" s="239" t="s">
        <v>93</v>
      </c>
      <c r="F2935" s="186">
        <v>0</v>
      </c>
      <c r="G2935" s="277" t="s">
        <v>94</v>
      </c>
      <c r="H2935" s="278"/>
    </row>
    <row r="2936" spans="1:8" x14ac:dyDescent="0.25">
      <c r="A2936" s="274"/>
      <c r="B2936" s="281" t="s">
        <v>95</v>
      </c>
      <c r="C2936" s="282"/>
      <c r="D2936" s="230">
        <v>43878</v>
      </c>
      <c r="E2936" s="240" t="s">
        <v>96</v>
      </c>
      <c r="F2936" s="230">
        <v>43878</v>
      </c>
      <c r="G2936" s="279"/>
      <c r="H2936" s="280"/>
    </row>
    <row r="2937" spans="1:8" x14ac:dyDescent="0.25">
      <c r="A2937" s="122" t="s">
        <v>11885</v>
      </c>
      <c r="B2937" s="123" t="s">
        <v>97</v>
      </c>
      <c r="C2937" s="123" t="s">
        <v>98</v>
      </c>
      <c r="D2937" s="123" t="s">
        <v>3</v>
      </c>
      <c r="E2937" s="123" t="s">
        <v>4</v>
      </c>
      <c r="F2937" s="123" t="s">
        <v>99</v>
      </c>
      <c r="G2937" s="123" t="s">
        <v>100</v>
      </c>
      <c r="H2937" s="124" t="s">
        <v>101</v>
      </c>
    </row>
    <row r="2938" spans="1:8" ht="25.5" x14ac:dyDescent="0.25">
      <c r="A2938" s="125" t="s">
        <v>11958</v>
      </c>
      <c r="B2938" s="115" t="s">
        <v>11959</v>
      </c>
      <c r="C2938" s="115" t="s">
        <v>11960</v>
      </c>
      <c r="D2938" s="194" t="str">
        <f>B2942</f>
        <v>KIT VENTILAÇÃO PARA RACK, COM 4 VENTILADORES</v>
      </c>
      <c r="E2938" s="115" t="str">
        <f>H2942</f>
        <v>UND</v>
      </c>
      <c r="F2938" s="233">
        <v>1</v>
      </c>
      <c r="G2938" s="195">
        <f>H2947</f>
        <v>349</v>
      </c>
      <c r="H2938" s="222">
        <f t="shared" ref="H2938" si="232">G2938*F2938</f>
        <v>349</v>
      </c>
    </row>
    <row r="2939" spans="1:8" ht="13.5" thickBot="1" x14ac:dyDescent="0.3">
      <c r="A2939" s="267" t="str">
        <f>CONCATENATE("TOTAL DO ÍTEM - ",A2934)</f>
        <v>TOTAL DO ÍTEM - MPMT-05149</v>
      </c>
      <c r="B2939" s="268"/>
      <c r="C2939" s="268"/>
      <c r="D2939" s="268"/>
      <c r="E2939" s="268"/>
      <c r="F2939" s="268"/>
      <c r="G2939" s="269"/>
      <c r="H2939" s="188">
        <f>SUM(H2938:H2938)</f>
        <v>349</v>
      </c>
    </row>
    <row r="2940" spans="1:8" ht="13.5" thickBot="1" x14ac:dyDescent="0.3">
      <c r="A2940" s="299" t="s">
        <v>12494</v>
      </c>
      <c r="B2940" s="300"/>
      <c r="C2940" s="300"/>
      <c r="D2940" s="300"/>
      <c r="E2940" s="300"/>
      <c r="F2940" s="300"/>
      <c r="G2940" s="300"/>
      <c r="H2940" s="301"/>
    </row>
    <row r="2941" spans="1:8" ht="13.5" thickBot="1" x14ac:dyDescent="0.3">
      <c r="A2941" s="317" t="s">
        <v>12483</v>
      </c>
      <c r="B2941" s="318"/>
      <c r="C2941" s="318"/>
      <c r="D2941" s="318"/>
      <c r="E2941" s="318"/>
      <c r="F2941" s="318"/>
      <c r="G2941" s="318"/>
      <c r="H2941" s="319"/>
    </row>
    <row r="2942" spans="1:8" ht="13.5" thickBot="1" x14ac:dyDescent="0.3">
      <c r="A2942" s="234" t="s">
        <v>11960</v>
      </c>
      <c r="B2942" s="293" t="s">
        <v>12907</v>
      </c>
      <c r="C2942" s="293"/>
      <c r="D2942" s="293"/>
      <c r="E2942" s="293"/>
      <c r="F2942" s="293"/>
      <c r="G2942" s="293"/>
      <c r="H2942" s="235" t="s">
        <v>4</v>
      </c>
    </row>
    <row r="2943" spans="1:8" ht="25.5" x14ac:dyDescent="0.25">
      <c r="A2943" s="213" t="s">
        <v>11965</v>
      </c>
      <c r="B2943" s="241" t="s">
        <v>11966</v>
      </c>
      <c r="C2943" s="241" t="s">
        <v>11967</v>
      </c>
      <c r="D2943" s="241" t="s">
        <v>11968</v>
      </c>
      <c r="E2943" s="294" t="s">
        <v>11969</v>
      </c>
      <c r="F2943" s="294"/>
      <c r="G2943" s="241" t="s">
        <v>4</v>
      </c>
      <c r="H2943" s="214" t="s">
        <v>11970</v>
      </c>
    </row>
    <row r="2944" spans="1:8" x14ac:dyDescent="0.25">
      <c r="A2944" s="205">
        <v>43874</v>
      </c>
      <c r="B2944" s="206" t="s">
        <v>12765</v>
      </c>
      <c r="C2944" s="206" t="s">
        <v>12745</v>
      </c>
      <c r="D2944" s="360" t="s">
        <v>12766</v>
      </c>
      <c r="E2944" s="295" t="s">
        <v>12747</v>
      </c>
      <c r="F2944" s="295"/>
      <c r="G2944" s="115" t="s">
        <v>4</v>
      </c>
      <c r="H2944" s="218">
        <v>381.6</v>
      </c>
    </row>
    <row r="2945" spans="1:8" x14ac:dyDescent="0.25">
      <c r="A2945" s="205" t="s">
        <v>12767</v>
      </c>
      <c r="B2945" s="206" t="s">
        <v>12484</v>
      </c>
      <c r="C2945" s="206" t="s">
        <v>12485</v>
      </c>
      <c r="D2945" s="236" t="s">
        <v>12486</v>
      </c>
      <c r="E2945" s="295" t="s">
        <v>12474</v>
      </c>
      <c r="F2945" s="295"/>
      <c r="G2945" s="115" t="s">
        <v>4</v>
      </c>
      <c r="H2945" s="218">
        <v>320.26</v>
      </c>
    </row>
    <row r="2946" spans="1:8" x14ac:dyDescent="0.25">
      <c r="A2946" s="205">
        <v>43880</v>
      </c>
      <c r="B2946" s="206" t="s">
        <v>12768</v>
      </c>
      <c r="C2946" s="206" t="s">
        <v>12769</v>
      </c>
      <c r="D2946" s="360" t="s">
        <v>12770</v>
      </c>
      <c r="E2946" s="295" t="s">
        <v>12771</v>
      </c>
      <c r="F2946" s="295"/>
      <c r="G2946" s="115" t="s">
        <v>4</v>
      </c>
      <c r="H2946" s="218">
        <v>349</v>
      </c>
    </row>
    <row r="2947" spans="1:8" ht="13.5" thickBot="1" x14ac:dyDescent="0.3">
      <c r="A2947" s="296" t="s">
        <v>11981</v>
      </c>
      <c r="B2947" s="297"/>
      <c r="C2947" s="297"/>
      <c r="D2947" s="297"/>
      <c r="E2947" s="297"/>
      <c r="F2947" s="297"/>
      <c r="G2947" s="298"/>
      <c r="H2947" s="188">
        <f>TRUNC(MEDIAN(H2944:H2946),2)</f>
        <v>349</v>
      </c>
    </row>
    <row r="2948" spans="1:8" ht="13.5" thickBot="1" x14ac:dyDescent="0.3"/>
    <row r="2949" spans="1:8" ht="25.5" x14ac:dyDescent="0.25">
      <c r="A2949" s="120" t="s">
        <v>90</v>
      </c>
      <c r="B2949" s="286" t="s">
        <v>91</v>
      </c>
      <c r="C2949" s="287"/>
      <c r="D2949" s="287"/>
      <c r="E2949" s="287"/>
      <c r="F2949" s="287"/>
      <c r="G2949" s="288"/>
      <c r="H2949" s="121" t="s">
        <v>4</v>
      </c>
    </row>
    <row r="2950" spans="1:8" ht="13.5" thickBot="1" x14ac:dyDescent="0.3">
      <c r="A2950" s="113" t="s">
        <v>12908</v>
      </c>
      <c r="B2950" s="289" t="s">
        <v>12909</v>
      </c>
      <c r="C2950" s="290"/>
      <c r="D2950" s="290"/>
      <c r="E2950" s="290"/>
      <c r="F2950" s="290"/>
      <c r="G2950" s="291"/>
      <c r="H2950" s="114" t="s">
        <v>4</v>
      </c>
    </row>
    <row r="2951" spans="1:8" x14ac:dyDescent="0.25">
      <c r="A2951" s="273" t="s">
        <v>13834</v>
      </c>
      <c r="B2951" s="275" t="s">
        <v>92</v>
      </c>
      <c r="C2951" s="276"/>
      <c r="D2951" s="185" t="s">
        <v>12910</v>
      </c>
      <c r="E2951" s="239" t="s">
        <v>93</v>
      </c>
      <c r="F2951" s="186">
        <v>0</v>
      </c>
      <c r="G2951" s="277" t="s">
        <v>94</v>
      </c>
      <c r="H2951" s="278"/>
    </row>
    <row r="2952" spans="1:8" x14ac:dyDescent="0.25">
      <c r="A2952" s="274"/>
      <c r="B2952" s="281" t="s">
        <v>95</v>
      </c>
      <c r="C2952" s="282"/>
      <c r="D2952" s="230">
        <v>43878</v>
      </c>
      <c r="E2952" s="240" t="s">
        <v>96</v>
      </c>
      <c r="F2952" s="230">
        <v>43878</v>
      </c>
      <c r="G2952" s="279"/>
      <c r="H2952" s="280"/>
    </row>
    <row r="2953" spans="1:8" x14ac:dyDescent="0.25">
      <c r="A2953" s="122" t="s">
        <v>11885</v>
      </c>
      <c r="B2953" s="123" t="s">
        <v>97</v>
      </c>
      <c r="C2953" s="123" t="s">
        <v>98</v>
      </c>
      <c r="D2953" s="123" t="s">
        <v>3</v>
      </c>
      <c r="E2953" s="123" t="s">
        <v>4</v>
      </c>
      <c r="F2953" s="123" t="s">
        <v>99</v>
      </c>
      <c r="G2953" s="123" t="s">
        <v>100</v>
      </c>
      <c r="H2953" s="124" t="s">
        <v>101</v>
      </c>
    </row>
    <row r="2954" spans="1:8" ht="25.5" x14ac:dyDescent="0.25">
      <c r="A2954" s="125" t="s">
        <v>398</v>
      </c>
      <c r="B2954" s="115" t="s">
        <v>9</v>
      </c>
      <c r="C2954" s="115">
        <v>88247</v>
      </c>
      <c r="D2954" s="127" t="str">
        <f>IF(A2954="COMPOSIÇÃO",VLOOKUP(C2954,'SINAPI_COMPOSIÇÕES 062020'!A:B,2,FALSE),VLOOKUP(C2954,'SINAPI_INSUMOS 062020'!A:B,2,FALSE))</f>
        <v>AUXILIAR DE ELETRICISTA COM ENCARGOS COMPLEMENTARES</v>
      </c>
      <c r="E2954" s="126" t="str">
        <f>IF(A2954="COMPOSIÇÃO",VLOOKUP(C2954,'SINAPI_COMPOSIÇÕES 062020'!A:C,3,FALSE),VLOOKUP(C2954,'SINAPI_INSUMOS 062020'!A:C,3,FALSE))</f>
        <v>H</v>
      </c>
      <c r="F2954" s="233">
        <v>0.5</v>
      </c>
      <c r="G2954" s="128">
        <f>IF(A2954="COMPOSIÇÃO",VLOOKUP(C2954,'SINAPI_COMPOSIÇÕES 062020'!A:D,4,FALSE),VLOOKUP(C2954,'SINAPI_INSUMOS 062020'!A:D,4,FALSE))</f>
        <v>14.33</v>
      </c>
      <c r="H2954" s="75">
        <f t="shared" ref="H2954:H2955" si="233">TRUNC(G2954*F2954,2)</f>
        <v>7.16</v>
      </c>
    </row>
    <row r="2955" spans="1:8" ht="25.5" x14ac:dyDescent="0.25">
      <c r="A2955" s="125" t="s">
        <v>398</v>
      </c>
      <c r="B2955" s="115" t="s">
        <v>9</v>
      </c>
      <c r="C2955" s="115">
        <v>88264</v>
      </c>
      <c r="D2955" s="127" t="str">
        <f>IF(A2955="COMPOSIÇÃO",VLOOKUP(C2955,'SINAPI_COMPOSIÇÕES 062020'!A:B,2,FALSE),VLOOKUP(C2955,'SINAPI_INSUMOS 062020'!A:B,2,FALSE))</f>
        <v>ELETRICISTA COM ENCARGOS COMPLEMENTARES</v>
      </c>
      <c r="E2955" s="126" t="str">
        <f>IF(A2955="COMPOSIÇÃO",VLOOKUP(C2955,'SINAPI_COMPOSIÇÕES 062020'!A:C,3,FALSE),VLOOKUP(C2955,'SINAPI_INSUMOS 062020'!A:C,3,FALSE))</f>
        <v>H</v>
      </c>
      <c r="F2955" s="233">
        <v>0.5</v>
      </c>
      <c r="G2955" s="128">
        <f>IF(A2955="COMPOSIÇÃO",VLOOKUP(C2955,'SINAPI_COMPOSIÇÕES 062020'!A:D,4,FALSE),VLOOKUP(C2955,'SINAPI_INSUMOS 062020'!A:D,4,FALSE))</f>
        <v>18.38</v>
      </c>
      <c r="H2955" s="75">
        <f t="shared" si="233"/>
        <v>9.19</v>
      </c>
    </row>
    <row r="2956" spans="1:8" ht="13.5" thickBot="1" x14ac:dyDescent="0.3">
      <c r="A2956" s="267" t="str">
        <f>CONCATENATE("TOTAL DO ÍTEM - ",A2950)</f>
        <v>TOTAL DO ÍTEM - MPMT-05166</v>
      </c>
      <c r="B2956" s="268"/>
      <c r="C2956" s="268"/>
      <c r="D2956" s="268"/>
      <c r="E2956" s="268"/>
      <c r="F2956" s="268"/>
      <c r="G2956" s="269"/>
      <c r="H2956" s="188">
        <f>SUM(H2954:H2955)</f>
        <v>16.350000000000001</v>
      </c>
    </row>
    <row r="2957" spans="1:8" ht="13.5" thickBot="1" x14ac:dyDescent="0.3">
      <c r="A2957" s="299" t="s">
        <v>12911</v>
      </c>
      <c r="B2957" s="300"/>
      <c r="C2957" s="300"/>
      <c r="D2957" s="300"/>
      <c r="E2957" s="300"/>
      <c r="F2957" s="300"/>
      <c r="G2957" s="300"/>
      <c r="H2957" s="301"/>
    </row>
    <row r="2958" spans="1:8" ht="13.5" thickBot="1" x14ac:dyDescent="0.3"/>
    <row r="2959" spans="1:8" ht="25.5" x14ac:dyDescent="0.25">
      <c r="A2959" s="120" t="s">
        <v>90</v>
      </c>
      <c r="B2959" s="286" t="s">
        <v>91</v>
      </c>
      <c r="C2959" s="287"/>
      <c r="D2959" s="287"/>
      <c r="E2959" s="287"/>
      <c r="F2959" s="287"/>
      <c r="G2959" s="288"/>
      <c r="H2959" s="121" t="s">
        <v>4</v>
      </c>
    </row>
    <row r="2960" spans="1:8" ht="13.5" thickBot="1" x14ac:dyDescent="0.3">
      <c r="A2960" s="113" t="s">
        <v>12912</v>
      </c>
      <c r="B2960" s="289" t="s">
        <v>12913</v>
      </c>
      <c r="C2960" s="290"/>
      <c r="D2960" s="290"/>
      <c r="E2960" s="290"/>
      <c r="F2960" s="290"/>
      <c r="G2960" s="291"/>
      <c r="H2960" s="114" t="s">
        <v>4</v>
      </c>
    </row>
    <row r="2961" spans="1:8" x14ac:dyDescent="0.25">
      <c r="A2961" s="273" t="s">
        <v>13834</v>
      </c>
      <c r="B2961" s="275" t="s">
        <v>92</v>
      </c>
      <c r="C2961" s="276"/>
      <c r="D2961" s="185" t="s">
        <v>11958</v>
      </c>
      <c r="E2961" s="239" t="s">
        <v>93</v>
      </c>
      <c r="F2961" s="186">
        <v>0</v>
      </c>
      <c r="G2961" s="277" t="s">
        <v>94</v>
      </c>
      <c r="H2961" s="278"/>
    </row>
    <row r="2962" spans="1:8" x14ac:dyDescent="0.25">
      <c r="A2962" s="274"/>
      <c r="B2962" s="281" t="s">
        <v>95</v>
      </c>
      <c r="C2962" s="282"/>
      <c r="D2962" s="230">
        <v>43878</v>
      </c>
      <c r="E2962" s="240" t="s">
        <v>96</v>
      </c>
      <c r="F2962" s="230">
        <v>43878</v>
      </c>
      <c r="G2962" s="279"/>
      <c r="H2962" s="280"/>
    </row>
    <row r="2963" spans="1:8" x14ac:dyDescent="0.25">
      <c r="A2963" s="122" t="s">
        <v>11885</v>
      </c>
      <c r="B2963" s="123" t="s">
        <v>97</v>
      </c>
      <c r="C2963" s="123" t="s">
        <v>98</v>
      </c>
      <c r="D2963" s="123" t="s">
        <v>3</v>
      </c>
      <c r="E2963" s="123" t="s">
        <v>4</v>
      </c>
      <c r="F2963" s="123" t="s">
        <v>99</v>
      </c>
      <c r="G2963" s="123" t="s">
        <v>100</v>
      </c>
      <c r="H2963" s="124" t="s">
        <v>101</v>
      </c>
    </row>
    <row r="2964" spans="1:8" ht="25.5" x14ac:dyDescent="0.25">
      <c r="A2964" s="125" t="s">
        <v>11958</v>
      </c>
      <c r="B2964" s="115" t="s">
        <v>11959</v>
      </c>
      <c r="C2964" s="115" t="s">
        <v>11960</v>
      </c>
      <c r="D2964" s="194" t="str">
        <f>B2968</f>
        <v>REGUA PARA RACK 8 TOMADAS - FORNECIMENTO</v>
      </c>
      <c r="E2964" s="115" t="str">
        <f>H2968</f>
        <v>UND</v>
      </c>
      <c r="F2964" s="233">
        <v>1</v>
      </c>
      <c r="G2964" s="195">
        <f>H2973</f>
        <v>59.77</v>
      </c>
      <c r="H2964" s="222">
        <f t="shared" ref="H2964" si="234">G2964*F2964</f>
        <v>59.77</v>
      </c>
    </row>
    <row r="2965" spans="1:8" ht="13.5" thickBot="1" x14ac:dyDescent="0.3">
      <c r="A2965" s="267" t="str">
        <f>CONCATENATE("TOTAL DO ÍTEM - ",A2960)</f>
        <v>TOTAL DO ÍTEM - MPMT-05175</v>
      </c>
      <c r="B2965" s="268"/>
      <c r="C2965" s="268"/>
      <c r="D2965" s="268"/>
      <c r="E2965" s="268"/>
      <c r="F2965" s="268"/>
      <c r="G2965" s="269"/>
      <c r="H2965" s="188">
        <f>SUM(H2964:H2964)</f>
        <v>59.77</v>
      </c>
    </row>
    <row r="2966" spans="1:8" ht="13.5" thickBot="1" x14ac:dyDescent="0.3">
      <c r="A2966" s="299" t="s">
        <v>12494</v>
      </c>
      <c r="B2966" s="300"/>
      <c r="C2966" s="300"/>
      <c r="D2966" s="300"/>
      <c r="E2966" s="300"/>
      <c r="F2966" s="300"/>
      <c r="G2966" s="300"/>
      <c r="H2966" s="301"/>
    </row>
    <row r="2967" spans="1:8" ht="13.5" thickBot="1" x14ac:dyDescent="0.3">
      <c r="A2967" s="317" t="s">
        <v>12483</v>
      </c>
      <c r="B2967" s="318"/>
      <c r="C2967" s="318"/>
      <c r="D2967" s="318"/>
      <c r="E2967" s="318"/>
      <c r="F2967" s="318"/>
      <c r="G2967" s="318"/>
      <c r="H2967" s="319"/>
    </row>
    <row r="2968" spans="1:8" ht="13.5" thickBot="1" x14ac:dyDescent="0.3">
      <c r="A2968" s="234" t="s">
        <v>11960</v>
      </c>
      <c r="B2968" s="362" t="s">
        <v>12913</v>
      </c>
      <c r="C2968" s="363"/>
      <c r="D2968" s="363"/>
      <c r="E2968" s="363"/>
      <c r="F2968" s="363"/>
      <c r="G2968" s="364"/>
      <c r="H2968" s="235" t="s">
        <v>4</v>
      </c>
    </row>
    <row r="2969" spans="1:8" ht="25.5" x14ac:dyDescent="0.25">
      <c r="A2969" s="213" t="s">
        <v>11965</v>
      </c>
      <c r="B2969" s="241" t="s">
        <v>11966</v>
      </c>
      <c r="C2969" s="241" t="s">
        <v>11967</v>
      </c>
      <c r="D2969" s="241" t="s">
        <v>11968</v>
      </c>
      <c r="E2969" s="294" t="s">
        <v>11969</v>
      </c>
      <c r="F2969" s="294"/>
      <c r="G2969" s="241" t="s">
        <v>4</v>
      </c>
      <c r="H2969" s="214" t="s">
        <v>11970</v>
      </c>
    </row>
    <row r="2970" spans="1:8" x14ac:dyDescent="0.25">
      <c r="A2970" s="205">
        <v>43997</v>
      </c>
      <c r="B2970" s="206" t="s">
        <v>11971</v>
      </c>
      <c r="C2970" s="206" t="s">
        <v>12914</v>
      </c>
      <c r="D2970" s="360" t="s">
        <v>12915</v>
      </c>
      <c r="E2970" s="306" t="s">
        <v>12916</v>
      </c>
      <c r="F2970" s="306"/>
      <c r="G2970" s="115" t="s">
        <v>4</v>
      </c>
      <c r="H2970" s="218">
        <f>504/7</f>
        <v>72</v>
      </c>
    </row>
    <row r="2971" spans="1:8" x14ac:dyDescent="0.25">
      <c r="A2971" s="205">
        <v>43997</v>
      </c>
      <c r="B2971" s="206" t="s">
        <v>11971</v>
      </c>
      <c r="C2971" s="206" t="s">
        <v>12917</v>
      </c>
      <c r="D2971" s="360" t="s">
        <v>12918</v>
      </c>
      <c r="E2971" s="295" t="s">
        <v>12919</v>
      </c>
      <c r="F2971" s="295"/>
      <c r="G2971" s="115" t="s">
        <v>4</v>
      </c>
      <c r="H2971" s="218">
        <f>239.09/4</f>
        <v>59.772500000000001</v>
      </c>
    </row>
    <row r="2972" spans="1:8" x14ac:dyDescent="0.25">
      <c r="A2972" s="205">
        <v>43997</v>
      </c>
      <c r="B2972" s="206" t="s">
        <v>11971</v>
      </c>
      <c r="C2972" s="206" t="s">
        <v>12920</v>
      </c>
      <c r="D2972" s="360" t="s">
        <v>12921</v>
      </c>
      <c r="E2972" s="307" t="s">
        <v>12922</v>
      </c>
      <c r="F2972" s="307"/>
      <c r="G2972" s="115" t="s">
        <v>4</v>
      </c>
      <c r="H2972" s="218">
        <f>403.13/7</f>
        <v>57.589999999999996</v>
      </c>
    </row>
    <row r="2973" spans="1:8" ht="13.5" thickBot="1" x14ac:dyDescent="0.3">
      <c r="A2973" s="296" t="s">
        <v>11981</v>
      </c>
      <c r="B2973" s="297"/>
      <c r="C2973" s="297"/>
      <c r="D2973" s="297"/>
      <c r="E2973" s="297"/>
      <c r="F2973" s="297"/>
      <c r="G2973" s="298"/>
      <c r="H2973" s="188">
        <f>TRUNC(MEDIAN(H2970:H2972),2)</f>
        <v>59.77</v>
      </c>
    </row>
    <row r="2974" spans="1:8" ht="13.5" thickBot="1" x14ac:dyDescent="0.3"/>
    <row r="2975" spans="1:8" ht="25.5" x14ac:dyDescent="0.25">
      <c r="A2975" s="120" t="s">
        <v>90</v>
      </c>
      <c r="B2975" s="286" t="s">
        <v>91</v>
      </c>
      <c r="C2975" s="287"/>
      <c r="D2975" s="287"/>
      <c r="E2975" s="287"/>
      <c r="F2975" s="287"/>
      <c r="G2975" s="288"/>
      <c r="H2975" s="121" t="s">
        <v>4</v>
      </c>
    </row>
    <row r="2976" spans="1:8" ht="13.5" thickBot="1" x14ac:dyDescent="0.3">
      <c r="A2976" s="113" t="s">
        <v>12923</v>
      </c>
      <c r="B2976" s="289" t="s">
        <v>12924</v>
      </c>
      <c r="C2976" s="290"/>
      <c r="D2976" s="290"/>
      <c r="E2976" s="290"/>
      <c r="F2976" s="290"/>
      <c r="G2976" s="291"/>
      <c r="H2976" s="114" t="s">
        <v>4</v>
      </c>
    </row>
    <row r="2977" spans="1:8" x14ac:dyDescent="0.25">
      <c r="A2977" s="273" t="s">
        <v>13834</v>
      </c>
      <c r="B2977" s="275" t="s">
        <v>92</v>
      </c>
      <c r="C2977" s="276"/>
      <c r="D2977" s="185" t="s">
        <v>12925</v>
      </c>
      <c r="E2977" s="239" t="s">
        <v>93</v>
      </c>
      <c r="F2977" s="186">
        <v>0</v>
      </c>
      <c r="G2977" s="277" t="s">
        <v>94</v>
      </c>
      <c r="H2977" s="278"/>
    </row>
    <row r="2978" spans="1:8" x14ac:dyDescent="0.25">
      <c r="A2978" s="274"/>
      <c r="B2978" s="281" t="s">
        <v>95</v>
      </c>
      <c r="C2978" s="282"/>
      <c r="D2978" s="230">
        <v>43878</v>
      </c>
      <c r="E2978" s="240" t="s">
        <v>96</v>
      </c>
      <c r="F2978" s="230">
        <v>43878</v>
      </c>
      <c r="G2978" s="279"/>
      <c r="H2978" s="280"/>
    </row>
    <row r="2979" spans="1:8" x14ac:dyDescent="0.25">
      <c r="A2979" s="122" t="s">
        <v>11885</v>
      </c>
      <c r="B2979" s="123" t="s">
        <v>97</v>
      </c>
      <c r="C2979" s="123" t="s">
        <v>98</v>
      </c>
      <c r="D2979" s="123" t="s">
        <v>3</v>
      </c>
      <c r="E2979" s="123" t="s">
        <v>4</v>
      </c>
      <c r="F2979" s="123" t="s">
        <v>99</v>
      </c>
      <c r="G2979" s="123" t="s">
        <v>100</v>
      </c>
      <c r="H2979" s="124" t="s">
        <v>101</v>
      </c>
    </row>
    <row r="2980" spans="1:8" ht="25.5" x14ac:dyDescent="0.25">
      <c r="A2980" s="125" t="s">
        <v>398</v>
      </c>
      <c r="B2980" s="115" t="s">
        <v>9</v>
      </c>
      <c r="C2980" s="115">
        <v>88264</v>
      </c>
      <c r="D2980" s="127" t="str">
        <f>IF(A2980="COMPOSIÇÃO",VLOOKUP(C2980,'SINAPI_COMPOSIÇÕES 062020'!A:B,2,FALSE),VLOOKUP(C2980,'SINAPI_INSUMOS 062020'!A:B,2,FALSE))</f>
        <v>ELETRICISTA COM ENCARGOS COMPLEMENTARES</v>
      </c>
      <c r="E2980" s="126" t="str">
        <f>IF(A2980="COMPOSIÇÃO",VLOOKUP(C2980,'SINAPI_COMPOSIÇÕES 062020'!A:C,3,FALSE),VLOOKUP(C2980,'SINAPI_INSUMOS 062020'!A:C,3,FALSE))</f>
        <v>H</v>
      </c>
      <c r="F2980" s="233">
        <v>1.5</v>
      </c>
      <c r="G2980" s="128">
        <f>IF(A2980="COMPOSIÇÃO",VLOOKUP(C2980,'SINAPI_COMPOSIÇÕES 062020'!A:D,4,FALSE),VLOOKUP(C2980,'SINAPI_INSUMOS 062020'!A:D,4,FALSE))</f>
        <v>18.38</v>
      </c>
      <c r="H2980" s="75">
        <f t="shared" ref="H2980:H2981" si="235">TRUNC(G2980*F2980,2)</f>
        <v>27.57</v>
      </c>
    </row>
    <row r="2981" spans="1:8" ht="25.5" x14ac:dyDescent="0.25">
      <c r="A2981" s="125" t="s">
        <v>398</v>
      </c>
      <c r="B2981" s="115" t="s">
        <v>9</v>
      </c>
      <c r="C2981" s="115">
        <v>88247</v>
      </c>
      <c r="D2981" s="127" t="str">
        <f>IF(A2981="COMPOSIÇÃO",VLOOKUP(C2981,'SINAPI_COMPOSIÇÕES 062020'!A:B,2,FALSE),VLOOKUP(C2981,'SINAPI_INSUMOS 062020'!A:B,2,FALSE))</f>
        <v>AUXILIAR DE ELETRICISTA COM ENCARGOS COMPLEMENTARES</v>
      </c>
      <c r="E2981" s="126" t="str">
        <f>IF(A2981="COMPOSIÇÃO",VLOOKUP(C2981,'SINAPI_COMPOSIÇÕES 062020'!A:C,3,FALSE),VLOOKUP(C2981,'SINAPI_INSUMOS 062020'!A:C,3,FALSE))</f>
        <v>H</v>
      </c>
      <c r="F2981" s="233">
        <v>1.5</v>
      </c>
      <c r="G2981" s="128">
        <f>IF(A2981="COMPOSIÇÃO",VLOOKUP(C2981,'SINAPI_COMPOSIÇÕES 062020'!A:D,4,FALSE),VLOOKUP(C2981,'SINAPI_INSUMOS 062020'!A:D,4,FALSE))</f>
        <v>14.33</v>
      </c>
      <c r="H2981" s="75">
        <f t="shared" si="235"/>
        <v>21.49</v>
      </c>
    </row>
    <row r="2982" spans="1:8" ht="13.5" thickBot="1" x14ac:dyDescent="0.3">
      <c r="A2982" s="267" t="str">
        <f>CONCATENATE("TOTAL DO ÍTEM - ",A2976)</f>
        <v>TOTAL DO ÍTEM - MPMT-05192</v>
      </c>
      <c r="B2982" s="268"/>
      <c r="C2982" s="268"/>
      <c r="D2982" s="268"/>
      <c r="E2982" s="268"/>
      <c r="F2982" s="268"/>
      <c r="G2982" s="269"/>
      <c r="H2982" s="188">
        <f>SUM(H2980:H2981)</f>
        <v>49.06</v>
      </c>
    </row>
    <row r="2983" spans="1:8" ht="13.5" thickBot="1" x14ac:dyDescent="0.3">
      <c r="A2983" s="299" t="s">
        <v>12926</v>
      </c>
      <c r="B2983" s="300"/>
      <c r="C2983" s="300"/>
      <c r="D2983" s="300"/>
      <c r="E2983" s="300"/>
      <c r="F2983" s="300"/>
      <c r="G2983" s="300"/>
      <c r="H2983" s="301"/>
    </row>
    <row r="2984" spans="1:8" ht="13.5" thickBot="1" x14ac:dyDescent="0.3">
      <c r="A2984" s="189"/>
      <c r="B2984" s="189"/>
      <c r="C2984" s="189"/>
      <c r="D2984" s="190"/>
      <c r="E2984" s="189"/>
      <c r="F2984" s="191"/>
      <c r="G2984" s="191"/>
      <c r="H2984" s="191"/>
    </row>
    <row r="2985" spans="1:8" ht="25.5" x14ac:dyDescent="0.25">
      <c r="A2985" s="120" t="s">
        <v>90</v>
      </c>
      <c r="B2985" s="286" t="s">
        <v>91</v>
      </c>
      <c r="C2985" s="287"/>
      <c r="D2985" s="287"/>
      <c r="E2985" s="287"/>
      <c r="F2985" s="287"/>
      <c r="G2985" s="288"/>
      <c r="H2985" s="121" t="s">
        <v>4</v>
      </c>
    </row>
    <row r="2986" spans="1:8" ht="13.5" thickBot="1" x14ac:dyDescent="0.3">
      <c r="A2986" s="113" t="s">
        <v>12927</v>
      </c>
      <c r="B2986" s="289" t="s">
        <v>12928</v>
      </c>
      <c r="C2986" s="290"/>
      <c r="D2986" s="290"/>
      <c r="E2986" s="290"/>
      <c r="F2986" s="290"/>
      <c r="G2986" s="291"/>
      <c r="H2986" s="114" t="s">
        <v>4</v>
      </c>
    </row>
    <row r="2987" spans="1:8" x14ac:dyDescent="0.25">
      <c r="A2987" s="273" t="s">
        <v>13834</v>
      </c>
      <c r="B2987" s="275" t="s">
        <v>92</v>
      </c>
      <c r="C2987" s="276"/>
      <c r="D2987" s="185" t="s">
        <v>11958</v>
      </c>
      <c r="E2987" s="239" t="s">
        <v>93</v>
      </c>
      <c r="F2987" s="186">
        <v>0</v>
      </c>
      <c r="G2987" s="277" t="s">
        <v>94</v>
      </c>
      <c r="H2987" s="278"/>
    </row>
    <row r="2988" spans="1:8" x14ac:dyDescent="0.25">
      <c r="A2988" s="274"/>
      <c r="B2988" s="281" t="s">
        <v>95</v>
      </c>
      <c r="C2988" s="282"/>
      <c r="D2988" s="230">
        <v>43878</v>
      </c>
      <c r="E2988" s="240" t="s">
        <v>96</v>
      </c>
      <c r="F2988" s="230">
        <v>43878</v>
      </c>
      <c r="G2988" s="279"/>
      <c r="H2988" s="280"/>
    </row>
    <row r="2989" spans="1:8" x14ac:dyDescent="0.25">
      <c r="A2989" s="122" t="s">
        <v>11885</v>
      </c>
      <c r="B2989" s="123" t="s">
        <v>97</v>
      </c>
      <c r="C2989" s="123" t="s">
        <v>98</v>
      </c>
      <c r="D2989" s="123" t="s">
        <v>3</v>
      </c>
      <c r="E2989" s="123" t="s">
        <v>4</v>
      </c>
      <c r="F2989" s="123" t="s">
        <v>99</v>
      </c>
      <c r="G2989" s="123" t="s">
        <v>100</v>
      </c>
      <c r="H2989" s="124" t="s">
        <v>101</v>
      </c>
    </row>
    <row r="2990" spans="1:8" ht="25.5" x14ac:dyDescent="0.25">
      <c r="A2990" s="125" t="s">
        <v>11958</v>
      </c>
      <c r="B2990" s="115" t="s">
        <v>11959</v>
      </c>
      <c r="C2990" s="115" t="s">
        <v>11960</v>
      </c>
      <c r="D2990" s="194" t="str">
        <f>B2997</f>
        <v>CENTRAL PABX HÍBRIDA, REF. INTELBRAS IMPACTA 140 OU EQUIVALENTE</v>
      </c>
      <c r="E2990" s="115" t="str">
        <f>H2997</f>
        <v>UND</v>
      </c>
      <c r="F2990" s="233">
        <v>1</v>
      </c>
      <c r="G2990" s="195">
        <f>H3000</f>
        <v>3316.71</v>
      </c>
      <c r="H2990" s="222">
        <f t="shared" ref="H2990:H2993" si="236">G2990*F2990</f>
        <v>3316.71</v>
      </c>
    </row>
    <row r="2991" spans="1:8" ht="25.5" x14ac:dyDescent="0.25">
      <c r="A2991" s="125" t="s">
        <v>11958</v>
      </c>
      <c r="B2991" s="115" t="s">
        <v>11959</v>
      </c>
      <c r="C2991" s="115" t="s">
        <v>11960</v>
      </c>
      <c r="D2991" s="194" t="str">
        <f>B3001</f>
        <v>PLACA INTERFACE 1E1 R2/RDSI IMPACTA 140/220 OU EQUIVALENTE</v>
      </c>
      <c r="E2991" s="115" t="str">
        <f>H3001</f>
        <v>UND</v>
      </c>
      <c r="F2991" s="233">
        <v>1</v>
      </c>
      <c r="G2991" s="195">
        <f>H3004</f>
        <v>2228.67</v>
      </c>
      <c r="H2991" s="222">
        <f t="shared" si="236"/>
        <v>2228.67</v>
      </c>
    </row>
    <row r="2992" spans="1:8" ht="25.5" x14ac:dyDescent="0.25">
      <c r="A2992" s="125" t="s">
        <v>11958</v>
      </c>
      <c r="B2992" s="115" t="s">
        <v>11959</v>
      </c>
      <c r="C2992" s="115" t="s">
        <v>11960</v>
      </c>
      <c r="D2992" s="194" t="str">
        <f>B3005</f>
        <v>PLACA RAMAL MISTO, 4D E 12A, IMPACTA 140 OU EQUIVALENTE</v>
      </c>
      <c r="E2992" s="115" t="str">
        <f>H3005</f>
        <v>UND</v>
      </c>
      <c r="F2992" s="233">
        <v>1</v>
      </c>
      <c r="G2992" s="195">
        <f>H3008</f>
        <v>1845.07</v>
      </c>
      <c r="H2992" s="222">
        <f t="shared" si="236"/>
        <v>1845.07</v>
      </c>
    </row>
    <row r="2993" spans="1:8" ht="25.5" x14ac:dyDescent="0.25">
      <c r="A2993" s="125" t="s">
        <v>11958</v>
      </c>
      <c r="B2993" s="115" t="s">
        <v>11959</v>
      </c>
      <c r="C2993" s="115" t="s">
        <v>11960</v>
      </c>
      <c r="D2993" s="194" t="str">
        <f>B3009</f>
        <v>PLACA 24 RAMAIS ANALÓGICOS IMPACTA 140 OU EQUIVALENTE</v>
      </c>
      <c r="E2993" s="115" t="str">
        <f>H3009</f>
        <v>UND</v>
      </c>
      <c r="F2993" s="233">
        <v>2</v>
      </c>
      <c r="G2993" s="195">
        <f>H3012</f>
        <v>2824.57</v>
      </c>
      <c r="H2993" s="222">
        <f t="shared" si="236"/>
        <v>5649.14</v>
      </c>
    </row>
    <row r="2994" spans="1:8" ht="13.5" thickBot="1" x14ac:dyDescent="0.3">
      <c r="A2994" s="267" t="str">
        <f>CONCATENATE("TOTAL DO ÍTEM - ",A2986)</f>
        <v>TOTAL DO ÍTEM - MPMT-05193</v>
      </c>
      <c r="B2994" s="268"/>
      <c r="C2994" s="268"/>
      <c r="D2994" s="268"/>
      <c r="E2994" s="268"/>
      <c r="F2994" s="268"/>
      <c r="G2994" s="269"/>
      <c r="H2994" s="188">
        <f>SUM(H2990:H2993)</f>
        <v>13039.59</v>
      </c>
    </row>
    <row r="2995" spans="1:8" ht="13.5" thickBot="1" x14ac:dyDescent="0.3">
      <c r="A2995" s="299" t="s">
        <v>12494</v>
      </c>
      <c r="B2995" s="300"/>
      <c r="C2995" s="300"/>
      <c r="D2995" s="300"/>
      <c r="E2995" s="300"/>
      <c r="F2995" s="300"/>
      <c r="G2995" s="300"/>
      <c r="H2995" s="301"/>
    </row>
    <row r="2996" spans="1:8" ht="13.5" thickBot="1" x14ac:dyDescent="0.3">
      <c r="A2996" s="317" t="s">
        <v>12483</v>
      </c>
      <c r="B2996" s="318"/>
      <c r="C2996" s="318"/>
      <c r="D2996" s="318"/>
      <c r="E2996" s="318"/>
      <c r="F2996" s="318"/>
      <c r="G2996" s="318"/>
      <c r="H2996" s="319"/>
    </row>
    <row r="2997" spans="1:8" ht="13.5" thickBot="1" x14ac:dyDescent="0.3">
      <c r="A2997" s="234" t="s">
        <v>11960</v>
      </c>
      <c r="B2997" s="362" t="s">
        <v>12929</v>
      </c>
      <c r="C2997" s="363"/>
      <c r="D2997" s="363"/>
      <c r="E2997" s="363"/>
      <c r="F2997" s="363"/>
      <c r="G2997" s="364"/>
      <c r="H2997" s="235" t="s">
        <v>4</v>
      </c>
    </row>
    <row r="2998" spans="1:8" ht="25.5" x14ac:dyDescent="0.25">
      <c r="A2998" s="213" t="s">
        <v>11965</v>
      </c>
      <c r="B2998" s="241" t="s">
        <v>11966</v>
      </c>
      <c r="C2998" s="241" t="s">
        <v>11967</v>
      </c>
      <c r="D2998" s="241" t="s">
        <v>11968</v>
      </c>
      <c r="E2998" s="294" t="s">
        <v>11969</v>
      </c>
      <c r="F2998" s="294"/>
      <c r="G2998" s="241" t="s">
        <v>4</v>
      </c>
      <c r="H2998" s="214" t="s">
        <v>11970</v>
      </c>
    </row>
    <row r="2999" spans="1:8" x14ac:dyDescent="0.25">
      <c r="A2999" s="205">
        <v>44034</v>
      </c>
      <c r="B2999" s="206" t="s">
        <v>11971</v>
      </c>
      <c r="C2999" s="206"/>
      <c r="D2999" s="236" t="s">
        <v>12408</v>
      </c>
      <c r="E2999" s="295" t="s">
        <v>12409</v>
      </c>
      <c r="F2999" s="295"/>
      <c r="G2999" s="115" t="s">
        <v>4</v>
      </c>
      <c r="H2999" s="218">
        <v>3316.71</v>
      </c>
    </row>
    <row r="3000" spans="1:8" ht="13.5" thickBot="1" x14ac:dyDescent="0.3">
      <c r="A3000" s="296" t="s">
        <v>11981</v>
      </c>
      <c r="B3000" s="297"/>
      <c r="C3000" s="297"/>
      <c r="D3000" s="297"/>
      <c r="E3000" s="297"/>
      <c r="F3000" s="297"/>
      <c r="G3000" s="298"/>
      <c r="H3000" s="188">
        <f>TRUNC(MEDIAN(H2999:H2999),2)</f>
        <v>3316.71</v>
      </c>
    </row>
    <row r="3001" spans="1:8" ht="13.5" thickBot="1" x14ac:dyDescent="0.3">
      <c r="A3001" s="234" t="s">
        <v>11960</v>
      </c>
      <c r="B3001" s="362" t="s">
        <v>12930</v>
      </c>
      <c r="C3001" s="363"/>
      <c r="D3001" s="363"/>
      <c r="E3001" s="363"/>
      <c r="F3001" s="363"/>
      <c r="G3001" s="364"/>
      <c r="H3001" s="235" t="s">
        <v>4</v>
      </c>
    </row>
    <row r="3002" spans="1:8" ht="25.5" x14ac:dyDescent="0.25">
      <c r="A3002" s="213" t="s">
        <v>11965</v>
      </c>
      <c r="B3002" s="241" t="s">
        <v>11966</v>
      </c>
      <c r="C3002" s="241" t="s">
        <v>11967</v>
      </c>
      <c r="D3002" s="241" t="s">
        <v>11968</v>
      </c>
      <c r="E3002" s="294" t="s">
        <v>11969</v>
      </c>
      <c r="F3002" s="294"/>
      <c r="G3002" s="241" t="s">
        <v>4</v>
      </c>
      <c r="H3002" s="214" t="s">
        <v>11970</v>
      </c>
    </row>
    <row r="3003" spans="1:8" x14ac:dyDescent="0.25">
      <c r="A3003" s="205">
        <v>44034</v>
      </c>
      <c r="B3003" s="206" t="s">
        <v>11971</v>
      </c>
      <c r="C3003" s="206"/>
      <c r="D3003" s="236" t="s">
        <v>12408</v>
      </c>
      <c r="E3003" s="295" t="s">
        <v>12409</v>
      </c>
      <c r="F3003" s="295"/>
      <c r="G3003" s="115" t="s">
        <v>4</v>
      </c>
      <c r="H3003" s="218">
        <v>2228.67</v>
      </c>
    </row>
    <row r="3004" spans="1:8" ht="13.5" thickBot="1" x14ac:dyDescent="0.3">
      <c r="A3004" s="296" t="s">
        <v>11981</v>
      </c>
      <c r="B3004" s="297"/>
      <c r="C3004" s="297"/>
      <c r="D3004" s="297"/>
      <c r="E3004" s="297"/>
      <c r="F3004" s="297"/>
      <c r="G3004" s="298"/>
      <c r="H3004" s="188">
        <f>TRUNC(MEDIAN(H3003:H3003),2)</f>
        <v>2228.67</v>
      </c>
    </row>
    <row r="3005" spans="1:8" ht="13.5" thickBot="1" x14ac:dyDescent="0.3">
      <c r="A3005" s="234" t="s">
        <v>11960</v>
      </c>
      <c r="B3005" s="362" t="s">
        <v>12931</v>
      </c>
      <c r="C3005" s="363"/>
      <c r="D3005" s="363"/>
      <c r="E3005" s="363"/>
      <c r="F3005" s="363"/>
      <c r="G3005" s="364"/>
      <c r="H3005" s="235" t="s">
        <v>4</v>
      </c>
    </row>
    <row r="3006" spans="1:8" ht="25.5" x14ac:dyDescent="0.25">
      <c r="A3006" s="213" t="s">
        <v>11965</v>
      </c>
      <c r="B3006" s="241" t="s">
        <v>11966</v>
      </c>
      <c r="C3006" s="241" t="s">
        <v>11967</v>
      </c>
      <c r="D3006" s="241" t="s">
        <v>11968</v>
      </c>
      <c r="E3006" s="294" t="s">
        <v>11969</v>
      </c>
      <c r="F3006" s="294"/>
      <c r="G3006" s="241" t="s">
        <v>4</v>
      </c>
      <c r="H3006" s="214" t="s">
        <v>11970</v>
      </c>
    </row>
    <row r="3007" spans="1:8" x14ac:dyDescent="0.25">
      <c r="A3007" s="205">
        <v>44034</v>
      </c>
      <c r="B3007" s="206" t="s">
        <v>11971</v>
      </c>
      <c r="C3007" s="206"/>
      <c r="D3007" s="236" t="s">
        <v>12408</v>
      </c>
      <c r="E3007" s="295" t="s">
        <v>12409</v>
      </c>
      <c r="F3007" s="295"/>
      <c r="G3007" s="115" t="s">
        <v>4</v>
      </c>
      <c r="H3007" s="218">
        <v>1845.07</v>
      </c>
    </row>
    <row r="3008" spans="1:8" ht="13.5" thickBot="1" x14ac:dyDescent="0.3">
      <c r="A3008" s="296" t="s">
        <v>11981</v>
      </c>
      <c r="B3008" s="297"/>
      <c r="C3008" s="297"/>
      <c r="D3008" s="297"/>
      <c r="E3008" s="297"/>
      <c r="F3008" s="297"/>
      <c r="G3008" s="298"/>
      <c r="H3008" s="188">
        <f>TRUNC(MEDIAN(H3007:H3007),2)</f>
        <v>1845.07</v>
      </c>
    </row>
    <row r="3009" spans="1:8" ht="13.5" thickBot="1" x14ac:dyDescent="0.3">
      <c r="A3009" s="234" t="s">
        <v>11960</v>
      </c>
      <c r="B3009" s="362" t="s">
        <v>12932</v>
      </c>
      <c r="C3009" s="363"/>
      <c r="D3009" s="363"/>
      <c r="E3009" s="363"/>
      <c r="F3009" s="363"/>
      <c r="G3009" s="364"/>
      <c r="H3009" s="235" t="s">
        <v>4</v>
      </c>
    </row>
    <row r="3010" spans="1:8" ht="25.5" x14ac:dyDescent="0.25">
      <c r="A3010" s="213" t="s">
        <v>11965</v>
      </c>
      <c r="B3010" s="241" t="s">
        <v>11966</v>
      </c>
      <c r="C3010" s="241" t="s">
        <v>11967</v>
      </c>
      <c r="D3010" s="241" t="s">
        <v>11968</v>
      </c>
      <c r="E3010" s="294" t="s">
        <v>11969</v>
      </c>
      <c r="F3010" s="294"/>
      <c r="G3010" s="241" t="s">
        <v>4</v>
      </c>
      <c r="H3010" s="214" t="s">
        <v>11970</v>
      </c>
    </row>
    <row r="3011" spans="1:8" x14ac:dyDescent="0.25">
      <c r="A3011" s="205">
        <v>44034</v>
      </c>
      <c r="B3011" s="206" t="s">
        <v>11971</v>
      </c>
      <c r="C3011" s="206"/>
      <c r="D3011" s="236" t="s">
        <v>12408</v>
      </c>
      <c r="E3011" s="295" t="s">
        <v>12409</v>
      </c>
      <c r="F3011" s="295"/>
      <c r="G3011" s="115" t="s">
        <v>4</v>
      </c>
      <c r="H3011" s="218">
        <v>2824.57</v>
      </c>
    </row>
    <row r="3012" spans="1:8" ht="13.5" thickBot="1" x14ac:dyDescent="0.3">
      <c r="A3012" s="296" t="s">
        <v>11981</v>
      </c>
      <c r="B3012" s="297"/>
      <c r="C3012" s="297"/>
      <c r="D3012" s="297"/>
      <c r="E3012" s="297"/>
      <c r="F3012" s="297"/>
      <c r="G3012" s="298"/>
      <c r="H3012" s="188">
        <f>TRUNC(MEDIAN(H3011:H3011),2)</f>
        <v>2824.57</v>
      </c>
    </row>
    <row r="3013" spans="1:8" ht="13.5" thickBot="1" x14ac:dyDescent="0.3"/>
    <row r="3014" spans="1:8" ht="25.5" x14ac:dyDescent="0.25">
      <c r="A3014" s="120" t="s">
        <v>90</v>
      </c>
      <c r="B3014" s="286" t="s">
        <v>91</v>
      </c>
      <c r="C3014" s="287"/>
      <c r="D3014" s="287"/>
      <c r="E3014" s="287"/>
      <c r="F3014" s="287"/>
      <c r="G3014" s="288"/>
      <c r="H3014" s="121" t="s">
        <v>4</v>
      </c>
    </row>
    <row r="3015" spans="1:8" ht="13.5" thickBot="1" x14ac:dyDescent="0.3">
      <c r="A3015" s="113" t="s">
        <v>12933</v>
      </c>
      <c r="B3015" s="289" t="s">
        <v>12934</v>
      </c>
      <c r="C3015" s="290"/>
      <c r="D3015" s="290"/>
      <c r="E3015" s="290"/>
      <c r="F3015" s="290"/>
      <c r="G3015" s="291"/>
      <c r="H3015" s="114" t="s">
        <v>4</v>
      </c>
    </row>
    <row r="3016" spans="1:8" x14ac:dyDescent="0.25">
      <c r="A3016" s="273" t="s">
        <v>13834</v>
      </c>
      <c r="B3016" s="275" t="s">
        <v>92</v>
      </c>
      <c r="C3016" s="276"/>
      <c r="D3016" s="185" t="s">
        <v>12935</v>
      </c>
      <c r="E3016" s="239" t="s">
        <v>93</v>
      </c>
      <c r="F3016" s="186">
        <v>0</v>
      </c>
      <c r="G3016" s="277" t="s">
        <v>94</v>
      </c>
      <c r="H3016" s="278"/>
    </row>
    <row r="3017" spans="1:8" x14ac:dyDescent="0.25">
      <c r="A3017" s="274"/>
      <c r="B3017" s="281" t="s">
        <v>95</v>
      </c>
      <c r="C3017" s="282"/>
      <c r="D3017" s="187">
        <v>43039</v>
      </c>
      <c r="E3017" s="240" t="s">
        <v>96</v>
      </c>
      <c r="F3017" s="230">
        <v>43039</v>
      </c>
      <c r="G3017" s="279"/>
      <c r="H3017" s="280"/>
    </row>
    <row r="3018" spans="1:8" x14ac:dyDescent="0.25">
      <c r="A3018" s="122" t="s">
        <v>11885</v>
      </c>
      <c r="B3018" s="123" t="s">
        <v>97</v>
      </c>
      <c r="C3018" s="123" t="s">
        <v>98</v>
      </c>
      <c r="D3018" s="123" t="s">
        <v>3</v>
      </c>
      <c r="E3018" s="123" t="s">
        <v>4</v>
      </c>
      <c r="F3018" s="123" t="s">
        <v>99</v>
      </c>
      <c r="G3018" s="123" t="s">
        <v>100</v>
      </c>
      <c r="H3018" s="124" t="s">
        <v>101</v>
      </c>
    </row>
    <row r="3019" spans="1:8" ht="25.5" x14ac:dyDescent="0.25">
      <c r="A3019" s="125" t="s">
        <v>398</v>
      </c>
      <c r="B3019" s="115" t="s">
        <v>9</v>
      </c>
      <c r="C3019" s="115">
        <v>88309</v>
      </c>
      <c r="D3019" s="127" t="str">
        <f>IF(A3019="COMPOSIÇÃO",VLOOKUP(C3019,'SINAPI_COMPOSIÇÕES 062020'!A:B,2,FALSE),VLOOKUP(C3019,'SINAPI_INSUMOS 062020'!A:B,2,FALSE))</f>
        <v>PEDREIRO COM ENCARGOS COMPLEMENTARES</v>
      </c>
      <c r="E3019" s="126" t="str">
        <f>IF(A3019="COMPOSIÇÃO",VLOOKUP(C3019,'SINAPI_COMPOSIÇÕES 062020'!A:C,3,FALSE),VLOOKUP(C3019,'SINAPI_INSUMOS 062020'!A:C,3,FALSE))</f>
        <v>H</v>
      </c>
      <c r="F3019" s="237">
        <v>0.6</v>
      </c>
      <c r="G3019" s="128">
        <f>IF(A3019="COMPOSIÇÃO",VLOOKUP(C3019,'SINAPI_COMPOSIÇÕES 062020'!A:D,4,FALSE),VLOOKUP(C3019,'SINAPI_INSUMOS 062020'!A:D,4,FALSE))</f>
        <v>17.760000000000002</v>
      </c>
      <c r="H3019" s="75">
        <f t="shared" ref="H3019:H3022" si="237">TRUNC(G3019*F3019,2)</f>
        <v>10.65</v>
      </c>
    </row>
    <row r="3020" spans="1:8" ht="25.5" x14ac:dyDescent="0.25">
      <c r="A3020" s="125" t="s">
        <v>398</v>
      </c>
      <c r="B3020" s="115" t="s">
        <v>9</v>
      </c>
      <c r="C3020" s="115">
        <v>88316</v>
      </c>
      <c r="D3020" s="127" t="str">
        <f>IF(A3020="COMPOSIÇÃO",VLOOKUP(C3020,'SINAPI_COMPOSIÇÕES 062020'!A:B,2,FALSE),VLOOKUP(C3020,'SINAPI_INSUMOS 062020'!A:B,2,FALSE))</f>
        <v>SERVENTE COM ENCARGOS COMPLEMENTARES</v>
      </c>
      <c r="E3020" s="126" t="str">
        <f>IF(A3020="COMPOSIÇÃO",VLOOKUP(C3020,'SINAPI_COMPOSIÇÕES 062020'!A:C,3,FALSE),VLOOKUP(C3020,'SINAPI_INSUMOS 062020'!A:C,3,FALSE))</f>
        <v>H</v>
      </c>
      <c r="F3020" s="237">
        <v>0.6</v>
      </c>
      <c r="G3020" s="128">
        <f>IF(A3020="COMPOSIÇÃO",VLOOKUP(C3020,'SINAPI_COMPOSIÇÕES 062020'!A:D,4,FALSE),VLOOKUP(C3020,'SINAPI_INSUMOS 062020'!A:D,4,FALSE))</f>
        <v>14.37</v>
      </c>
      <c r="H3020" s="75">
        <f t="shared" si="237"/>
        <v>8.6199999999999992</v>
      </c>
    </row>
    <row r="3021" spans="1:8" ht="38.25" x14ac:dyDescent="0.25">
      <c r="A3021" s="125" t="s">
        <v>398</v>
      </c>
      <c r="B3021" s="115" t="s">
        <v>9</v>
      </c>
      <c r="C3021" s="115">
        <v>87398</v>
      </c>
      <c r="D3021" s="127" t="str">
        <f>IF(A3021="COMPOSIÇÃO",VLOOKUP(C3021,'SINAPI_COMPOSIÇÕES 062020'!A:B,2,FALSE),VLOOKUP(C3021,'SINAPI_INSUMOS 062020'!A:B,2,FALSE))</f>
        <v>ARGAMASSA INDUSTRIALIZADA MULTIUSO PARA REVESTIMENTOS E ASSENTAMENTO DA ALVENARIA, PREPARO MANUAL. AF_08/2019</v>
      </c>
      <c r="E3021" s="126" t="str">
        <f>IF(A3021="COMPOSIÇÃO",VLOOKUP(C3021,'SINAPI_COMPOSIÇÕES 062020'!A:C,3,FALSE),VLOOKUP(C3021,'SINAPI_INSUMOS 062020'!A:C,3,FALSE))</f>
        <v>M3</v>
      </c>
      <c r="F3021" s="237">
        <v>0.04</v>
      </c>
      <c r="G3021" s="128">
        <f>IF(A3021="COMPOSIÇÃO",VLOOKUP(C3021,'SINAPI_COMPOSIÇÕES 062020'!A:D,4,FALSE),VLOOKUP(C3021,'SINAPI_INSUMOS 062020'!A:D,4,FALSE))</f>
        <v>1522.81</v>
      </c>
      <c r="H3021" s="75">
        <f t="shared" si="237"/>
        <v>60.91</v>
      </c>
    </row>
    <row r="3022" spans="1:8" ht="25.5" x14ac:dyDescent="0.25">
      <c r="A3022" s="125" t="s">
        <v>400</v>
      </c>
      <c r="B3022" s="115" t="s">
        <v>9</v>
      </c>
      <c r="C3022" s="115">
        <v>10848</v>
      </c>
      <c r="D3022" s="127" t="str">
        <f>IF(A3022="COMPOSIÇÃO",VLOOKUP(C3022,'SINAPI_COMPOSIÇÕES 062020'!A:B,2,FALSE),VLOOKUP(C3022,'SINAPI_INSUMOS 062020'!A:B,2,FALSE))</f>
        <v>PLACA DE INAUGURACAO METALICA, *40* CM X *60* CM</v>
      </c>
      <c r="E3022" s="126" t="str">
        <f>IF(A3022="COMPOSIÇÃO",VLOOKUP(C3022,'SINAPI_COMPOSIÇÕES 062020'!A:C,3,FALSE),VLOOKUP(C3022,'SINAPI_INSUMOS 062020'!A:C,3,FALSE))</f>
        <v xml:space="preserve">UN    </v>
      </c>
      <c r="F3022" s="237">
        <v>1</v>
      </c>
      <c r="G3022" s="128">
        <f>IF(A3022="COMPOSIÇÃO",VLOOKUP(C3022,'SINAPI_COMPOSIÇÕES 062020'!A:D,4,FALSE),VLOOKUP(C3022,'SINAPI_INSUMOS 062020'!A:D,4,FALSE))</f>
        <v>904.5</v>
      </c>
      <c r="H3022" s="75">
        <f t="shared" si="237"/>
        <v>904.5</v>
      </c>
    </row>
    <row r="3023" spans="1:8" ht="13.5" thickBot="1" x14ac:dyDescent="0.3">
      <c r="A3023" s="267" t="str">
        <f>CONCATENATE("TOTAL DO ÍTEM - ",A3015)</f>
        <v>TOTAL DO ÍTEM - MPMT-07042</v>
      </c>
      <c r="B3023" s="268"/>
      <c r="C3023" s="268"/>
      <c r="D3023" s="268"/>
      <c r="E3023" s="268"/>
      <c r="F3023" s="268"/>
      <c r="G3023" s="269"/>
      <c r="H3023" s="188">
        <f>SUM(H3019:H3022)</f>
        <v>984.68</v>
      </c>
    </row>
    <row r="3024" spans="1:8" ht="13.5" thickBot="1" x14ac:dyDescent="0.3">
      <c r="A3024" s="299" t="s">
        <v>12936</v>
      </c>
      <c r="B3024" s="300"/>
      <c r="C3024" s="300"/>
      <c r="D3024" s="300"/>
      <c r="E3024" s="300"/>
      <c r="F3024" s="300"/>
      <c r="G3024" s="300"/>
      <c r="H3024" s="301"/>
    </row>
    <row r="3025" spans="1:8" ht="13.5" thickBot="1" x14ac:dyDescent="0.3"/>
    <row r="3026" spans="1:8" ht="25.5" x14ac:dyDescent="0.25">
      <c r="A3026" s="120" t="s">
        <v>90</v>
      </c>
      <c r="B3026" s="286" t="s">
        <v>91</v>
      </c>
      <c r="C3026" s="287"/>
      <c r="D3026" s="287"/>
      <c r="E3026" s="287"/>
      <c r="F3026" s="287"/>
      <c r="G3026" s="288"/>
      <c r="H3026" s="121" t="s">
        <v>4</v>
      </c>
    </row>
    <row r="3027" spans="1:8" ht="13.5" thickBot="1" x14ac:dyDescent="0.3">
      <c r="A3027" s="113" t="s">
        <v>12937</v>
      </c>
      <c r="B3027" s="289" t="s">
        <v>12938</v>
      </c>
      <c r="C3027" s="290"/>
      <c r="D3027" s="290"/>
      <c r="E3027" s="290"/>
      <c r="F3027" s="290"/>
      <c r="G3027" s="291"/>
      <c r="H3027" s="114" t="s">
        <v>8</v>
      </c>
    </row>
    <row r="3028" spans="1:8" x14ac:dyDescent="0.25">
      <c r="A3028" s="273" t="s">
        <v>13834</v>
      </c>
      <c r="B3028" s="275" t="s">
        <v>92</v>
      </c>
      <c r="C3028" s="276"/>
      <c r="D3028" s="185" t="s">
        <v>12939</v>
      </c>
      <c r="E3028" s="239" t="s">
        <v>93</v>
      </c>
      <c r="F3028" s="186">
        <v>0</v>
      </c>
      <c r="G3028" s="277" t="s">
        <v>94</v>
      </c>
      <c r="H3028" s="278"/>
    </row>
    <row r="3029" spans="1:8" x14ac:dyDescent="0.25">
      <c r="A3029" s="274"/>
      <c r="B3029" s="281" t="s">
        <v>95</v>
      </c>
      <c r="C3029" s="282"/>
      <c r="D3029" s="187">
        <v>43654</v>
      </c>
      <c r="E3029" s="240" t="s">
        <v>96</v>
      </c>
      <c r="F3029" s="187">
        <v>43654</v>
      </c>
      <c r="G3029" s="279"/>
      <c r="H3029" s="280"/>
    </row>
    <row r="3030" spans="1:8" x14ac:dyDescent="0.25">
      <c r="A3030" s="122" t="s">
        <v>11885</v>
      </c>
      <c r="B3030" s="123" t="s">
        <v>97</v>
      </c>
      <c r="C3030" s="123" t="s">
        <v>98</v>
      </c>
      <c r="D3030" s="123" t="s">
        <v>3</v>
      </c>
      <c r="E3030" s="123" t="s">
        <v>4</v>
      </c>
      <c r="F3030" s="123" t="s">
        <v>99</v>
      </c>
      <c r="G3030" s="123" t="s">
        <v>100</v>
      </c>
      <c r="H3030" s="124" t="s">
        <v>101</v>
      </c>
    </row>
    <row r="3031" spans="1:8" ht="25.5" x14ac:dyDescent="0.25">
      <c r="A3031" s="125" t="s">
        <v>398</v>
      </c>
      <c r="B3031" s="115" t="s">
        <v>9</v>
      </c>
      <c r="C3031" s="115">
        <v>88243</v>
      </c>
      <c r="D3031" s="127" t="str">
        <f>IF(A3031="COMPOSIÇÃO",VLOOKUP(C3031,'SINAPI_COMPOSIÇÕES 062020'!A:B,2,FALSE),VLOOKUP(C3031,'SINAPI_INSUMOS 062020'!A:B,2,FALSE))</f>
        <v>AJUDANTE ESPECIALIZADO COM ENCARGOS COMPLEMENTARES</v>
      </c>
      <c r="E3031" s="126" t="str">
        <f>IF(A3031="COMPOSIÇÃO",VLOOKUP(C3031,'SINAPI_COMPOSIÇÕES 062020'!A:C,3,FALSE),VLOOKUP(C3031,'SINAPI_INSUMOS 062020'!A:C,3,FALSE))</f>
        <v>H</v>
      </c>
      <c r="F3031" s="74">
        <v>8.5000000000000006E-2</v>
      </c>
      <c r="G3031" s="128">
        <f>IF(A3031="COMPOSIÇÃO",VLOOKUP(C3031,'SINAPI_COMPOSIÇÕES 062020'!A:D,4,FALSE),VLOOKUP(C3031,'SINAPI_INSUMOS 062020'!A:D,4,FALSE))</f>
        <v>17.149999999999999</v>
      </c>
      <c r="H3031" s="75">
        <f t="shared" ref="H3031:H3032" si="238">TRUNC(G3031*F3031,2)</f>
        <v>1.45</v>
      </c>
    </row>
    <row r="3032" spans="1:8" ht="25.5" x14ac:dyDescent="0.25">
      <c r="A3032" s="125" t="s">
        <v>398</v>
      </c>
      <c r="B3032" s="115" t="s">
        <v>9</v>
      </c>
      <c r="C3032" s="115">
        <v>88270</v>
      </c>
      <c r="D3032" s="127" t="str">
        <f>IF(A3032="COMPOSIÇÃO",VLOOKUP(C3032,'SINAPI_COMPOSIÇÕES 062020'!A:B,2,FALSE),VLOOKUP(C3032,'SINAPI_INSUMOS 062020'!A:B,2,FALSE))</f>
        <v>IMPERMEABILIZADOR COM ENCARGOS COMPLEMENTARES</v>
      </c>
      <c r="E3032" s="126" t="str">
        <f>IF(A3032="COMPOSIÇÃO",VLOOKUP(C3032,'SINAPI_COMPOSIÇÕES 062020'!A:C,3,FALSE),VLOOKUP(C3032,'SINAPI_INSUMOS 062020'!A:C,3,FALSE))</f>
        <v>H</v>
      </c>
      <c r="F3032" s="74">
        <v>0.42199999999999999</v>
      </c>
      <c r="G3032" s="128">
        <f>IF(A3032="COMPOSIÇÃO",VLOOKUP(C3032,'SINAPI_COMPOSIÇÕES 062020'!A:D,4,FALSE),VLOOKUP(C3032,'SINAPI_INSUMOS 062020'!A:D,4,FALSE))</f>
        <v>18.52</v>
      </c>
      <c r="H3032" s="75">
        <f t="shared" si="238"/>
        <v>7.81</v>
      </c>
    </row>
    <row r="3033" spans="1:8" ht="38.25" x14ac:dyDescent="0.25">
      <c r="A3033" s="125" t="s">
        <v>11958</v>
      </c>
      <c r="B3033" s="115" t="s">
        <v>11959</v>
      </c>
      <c r="C3033" s="115" t="s">
        <v>11960</v>
      </c>
      <c r="D3033" s="194" t="str">
        <f>B3037</f>
        <v>IMPERMEABILIZANTE A BASE DE COPOLÍMERO ACRÍLICO, 18KG, REF. VEDAPREN PAREDE BRANCO</v>
      </c>
      <c r="E3033" s="115" t="str">
        <f>H3037</f>
        <v>KG</v>
      </c>
      <c r="F3033" s="74">
        <v>0.24</v>
      </c>
      <c r="G3033" s="195">
        <f>H3042</f>
        <v>13.726555555555557</v>
      </c>
      <c r="H3033" s="75">
        <f t="shared" ref="H3031:H3033" si="239">TRUNC(G3033*F3033,2)</f>
        <v>3.29</v>
      </c>
    </row>
    <row r="3034" spans="1:8" ht="13.5" thickBot="1" x14ac:dyDescent="0.3">
      <c r="A3034" s="267" t="str">
        <f>CONCATENATE("TOTAL DO ÍTEM - ",A3027)</f>
        <v>TOTAL DO ÍTEM - MPMT-02540</v>
      </c>
      <c r="B3034" s="268"/>
      <c r="C3034" s="268"/>
      <c r="D3034" s="268"/>
      <c r="E3034" s="268"/>
      <c r="F3034" s="268"/>
      <c r="G3034" s="269"/>
      <c r="H3034" s="188">
        <f>TRUNC(SUM(H3031:H3033),2)</f>
        <v>12.55</v>
      </c>
    </row>
    <row r="3035" spans="1:8" ht="13.5" thickBot="1" x14ac:dyDescent="0.3">
      <c r="A3035" s="302" t="s">
        <v>12940</v>
      </c>
      <c r="B3035" s="303"/>
      <c r="C3035" s="303"/>
      <c r="D3035" s="303"/>
      <c r="E3035" s="303"/>
      <c r="F3035" s="303"/>
      <c r="G3035" s="303"/>
      <c r="H3035" s="304"/>
    </row>
    <row r="3036" spans="1:8" ht="13.5" thickBot="1" x14ac:dyDescent="0.3">
      <c r="A3036" s="196"/>
      <c r="B3036" s="292" t="s">
        <v>11962</v>
      </c>
      <c r="C3036" s="292"/>
      <c r="D3036" s="292"/>
      <c r="E3036" s="292"/>
      <c r="F3036" s="292"/>
      <c r="G3036" s="292"/>
      <c r="H3036" s="197" t="s">
        <v>4</v>
      </c>
    </row>
    <row r="3037" spans="1:8" ht="13.5" thickBot="1" x14ac:dyDescent="0.3">
      <c r="A3037" s="234" t="s">
        <v>11960</v>
      </c>
      <c r="B3037" s="362" t="s">
        <v>12941</v>
      </c>
      <c r="C3037" s="363"/>
      <c r="D3037" s="363"/>
      <c r="E3037" s="363"/>
      <c r="F3037" s="363"/>
      <c r="G3037" s="364"/>
      <c r="H3037" s="235" t="s">
        <v>57</v>
      </c>
    </row>
    <row r="3038" spans="1:8" ht="25.5" x14ac:dyDescent="0.25">
      <c r="A3038" s="213" t="s">
        <v>11965</v>
      </c>
      <c r="B3038" s="241" t="s">
        <v>11966</v>
      </c>
      <c r="C3038" s="241" t="s">
        <v>11967</v>
      </c>
      <c r="D3038" s="241" t="s">
        <v>11968</v>
      </c>
      <c r="E3038" s="294" t="s">
        <v>11969</v>
      </c>
      <c r="F3038" s="294"/>
      <c r="G3038" s="241" t="s">
        <v>4</v>
      </c>
      <c r="H3038" s="214" t="s">
        <v>11970</v>
      </c>
    </row>
    <row r="3039" spans="1:8" x14ac:dyDescent="0.25">
      <c r="A3039" s="205">
        <v>43902</v>
      </c>
      <c r="B3039" s="206" t="s">
        <v>11971</v>
      </c>
      <c r="C3039" s="206" t="s">
        <v>12044</v>
      </c>
      <c r="D3039" s="219" t="s">
        <v>11996</v>
      </c>
      <c r="E3039" s="295" t="s">
        <v>11997</v>
      </c>
      <c r="F3039" s="295"/>
      <c r="G3039" s="115" t="s">
        <v>57</v>
      </c>
      <c r="H3039" s="208">
        <f>(1405.88/5)/18</f>
        <v>15.620888888888892</v>
      </c>
    </row>
    <row r="3040" spans="1:8" x14ac:dyDescent="0.25">
      <c r="A3040" s="205">
        <v>43902</v>
      </c>
      <c r="B3040" s="206" t="s">
        <v>11971</v>
      </c>
      <c r="C3040" s="206" t="s">
        <v>12942</v>
      </c>
      <c r="D3040" s="207" t="s">
        <v>12943</v>
      </c>
      <c r="E3040" s="295" t="s">
        <v>12944</v>
      </c>
      <c r="F3040" s="295"/>
      <c r="G3040" s="115" t="s">
        <v>57</v>
      </c>
      <c r="H3040" s="208">
        <f>(1235.39/5)/18</f>
        <v>13.726555555555557</v>
      </c>
    </row>
    <row r="3041" spans="1:8" x14ac:dyDescent="0.25">
      <c r="A3041" s="205">
        <v>43902</v>
      </c>
      <c r="B3041" s="206" t="s">
        <v>11971</v>
      </c>
      <c r="C3041" s="206" t="s">
        <v>12945</v>
      </c>
      <c r="D3041" s="207" t="s">
        <v>12946</v>
      </c>
      <c r="E3041" s="295" t="s">
        <v>12947</v>
      </c>
      <c r="F3041" s="295"/>
      <c r="G3041" s="115" t="s">
        <v>57</v>
      </c>
      <c r="H3041" s="208">
        <f>(962.73/5)/18</f>
        <v>10.696999999999999</v>
      </c>
    </row>
    <row r="3042" spans="1:8" ht="13.5" thickBot="1" x14ac:dyDescent="0.3">
      <c r="A3042" s="296" t="s">
        <v>11981</v>
      </c>
      <c r="B3042" s="297"/>
      <c r="C3042" s="297"/>
      <c r="D3042" s="297"/>
      <c r="E3042" s="297"/>
      <c r="F3042" s="297"/>
      <c r="G3042" s="298"/>
      <c r="H3042" s="188">
        <f>MEDIAN(H3039:H3041)</f>
        <v>13.726555555555557</v>
      </c>
    </row>
    <row r="3043" spans="1:8" ht="13.5" thickBot="1" x14ac:dyDescent="0.3"/>
    <row r="3044" spans="1:8" ht="25.5" x14ac:dyDescent="0.25">
      <c r="A3044" s="120" t="s">
        <v>90</v>
      </c>
      <c r="B3044" s="286" t="s">
        <v>91</v>
      </c>
      <c r="C3044" s="287"/>
      <c r="D3044" s="287"/>
      <c r="E3044" s="287"/>
      <c r="F3044" s="287"/>
      <c r="G3044" s="288"/>
      <c r="H3044" s="121" t="s">
        <v>4</v>
      </c>
    </row>
    <row r="3045" spans="1:8" ht="13.5" thickBot="1" x14ac:dyDescent="0.3">
      <c r="A3045" s="113" t="s">
        <v>12948</v>
      </c>
      <c r="B3045" s="289" t="s">
        <v>12949</v>
      </c>
      <c r="C3045" s="290"/>
      <c r="D3045" s="290"/>
      <c r="E3045" s="290"/>
      <c r="F3045" s="290"/>
      <c r="G3045" s="291"/>
      <c r="H3045" s="114" t="s">
        <v>4</v>
      </c>
    </row>
    <row r="3046" spans="1:8" x14ac:dyDescent="0.25">
      <c r="A3046" s="273" t="s">
        <v>13834</v>
      </c>
      <c r="B3046" s="275" t="s">
        <v>92</v>
      </c>
      <c r="C3046" s="276"/>
      <c r="D3046" s="185" t="s">
        <v>398</v>
      </c>
      <c r="E3046" s="239" t="s">
        <v>93</v>
      </c>
      <c r="F3046" s="186">
        <v>0</v>
      </c>
      <c r="G3046" s="277" t="s">
        <v>94</v>
      </c>
      <c r="H3046" s="278"/>
    </row>
    <row r="3047" spans="1:8" x14ac:dyDescent="0.25">
      <c r="A3047" s="274"/>
      <c r="B3047" s="281" t="s">
        <v>95</v>
      </c>
      <c r="C3047" s="282"/>
      <c r="D3047" s="187">
        <v>43265</v>
      </c>
      <c r="E3047" s="240" t="s">
        <v>96</v>
      </c>
      <c r="F3047" s="187">
        <v>43265</v>
      </c>
      <c r="G3047" s="279"/>
      <c r="H3047" s="280"/>
    </row>
    <row r="3048" spans="1:8" x14ac:dyDescent="0.25">
      <c r="A3048" s="122" t="s">
        <v>11885</v>
      </c>
      <c r="B3048" s="123" t="s">
        <v>97</v>
      </c>
      <c r="C3048" s="123" t="s">
        <v>98</v>
      </c>
      <c r="D3048" s="123" t="s">
        <v>3</v>
      </c>
      <c r="E3048" s="123" t="s">
        <v>4</v>
      </c>
      <c r="F3048" s="123" t="s">
        <v>99</v>
      </c>
      <c r="G3048" s="123" t="s">
        <v>100</v>
      </c>
      <c r="H3048" s="124" t="s">
        <v>101</v>
      </c>
    </row>
    <row r="3049" spans="1:8" ht="25.5" x14ac:dyDescent="0.25">
      <c r="A3049" s="125" t="s">
        <v>398</v>
      </c>
      <c r="B3049" s="115" t="s">
        <v>9</v>
      </c>
      <c r="C3049" s="115">
        <v>88316</v>
      </c>
      <c r="D3049" s="127" t="str">
        <f>IF(A3049="COMPOSIÇÃO",VLOOKUP(C3049,'SINAPI_COMPOSIÇÕES 062020'!A:B,2,FALSE),VLOOKUP(C3049,'SINAPI_INSUMOS 062020'!A:B,2,FALSE))</f>
        <v>SERVENTE COM ENCARGOS COMPLEMENTARES</v>
      </c>
      <c r="E3049" s="126" t="str">
        <f>IF(A3049="COMPOSIÇÃO",VLOOKUP(C3049,'SINAPI_COMPOSIÇÕES 062020'!A:C,3,FALSE),VLOOKUP(C3049,'SINAPI_INSUMOS 062020'!A:C,3,FALSE))</f>
        <v>H</v>
      </c>
      <c r="F3049" s="74">
        <v>0.8</v>
      </c>
      <c r="G3049" s="128">
        <f>IF(A3049="COMPOSIÇÃO",VLOOKUP(C3049,'SINAPI_COMPOSIÇÕES 062020'!A:D,4,FALSE),VLOOKUP(C3049,'SINAPI_INSUMOS 062020'!A:D,4,FALSE))</f>
        <v>14.37</v>
      </c>
      <c r="H3049" s="75">
        <f t="shared" ref="H3049" si="240">TRUNC(G3049*F3049,2)</f>
        <v>11.49</v>
      </c>
    </row>
    <row r="3050" spans="1:8" ht="13.5" thickBot="1" x14ac:dyDescent="0.3">
      <c r="A3050" s="267" t="str">
        <f>CONCATENATE("TOTAL DO ÍTEM - ",A3045)</f>
        <v>TOTAL DO ÍTEM - MPMT-02267</v>
      </c>
      <c r="B3050" s="268"/>
      <c r="C3050" s="268"/>
      <c r="D3050" s="268"/>
      <c r="E3050" s="268"/>
      <c r="F3050" s="268"/>
      <c r="G3050" s="269"/>
      <c r="H3050" s="188">
        <f>TRUNC(SUM(H3049:H3049),2)</f>
        <v>11.49</v>
      </c>
    </row>
    <row r="3051" spans="1:8" ht="13.5" thickBot="1" x14ac:dyDescent="0.3">
      <c r="A3051" s="270" t="s">
        <v>12494</v>
      </c>
      <c r="B3051" s="271"/>
      <c r="C3051" s="271"/>
      <c r="D3051" s="271"/>
      <c r="E3051" s="271"/>
      <c r="F3051" s="271"/>
      <c r="G3051" s="271"/>
      <c r="H3051" s="272"/>
    </row>
    <row r="3052" spans="1:8" ht="13.5" thickBot="1" x14ac:dyDescent="0.3"/>
    <row r="3053" spans="1:8" ht="25.5" x14ac:dyDescent="0.25">
      <c r="A3053" s="120" t="s">
        <v>90</v>
      </c>
      <c r="B3053" s="286" t="s">
        <v>91</v>
      </c>
      <c r="C3053" s="287"/>
      <c r="D3053" s="287"/>
      <c r="E3053" s="287"/>
      <c r="F3053" s="287"/>
      <c r="G3053" s="288"/>
      <c r="H3053" s="121" t="s">
        <v>4</v>
      </c>
    </row>
    <row r="3054" spans="1:8" ht="13.5" thickBot="1" x14ac:dyDescent="0.3">
      <c r="A3054" s="113" t="s">
        <v>12951</v>
      </c>
      <c r="B3054" s="289" t="s">
        <v>12952</v>
      </c>
      <c r="C3054" s="290"/>
      <c r="D3054" s="290"/>
      <c r="E3054" s="290"/>
      <c r="F3054" s="290"/>
      <c r="G3054" s="291"/>
      <c r="H3054" s="114" t="s">
        <v>8</v>
      </c>
    </row>
    <row r="3055" spans="1:8" x14ac:dyDescent="0.25">
      <c r="A3055" s="273" t="s">
        <v>13834</v>
      </c>
      <c r="B3055" s="275" t="s">
        <v>92</v>
      </c>
      <c r="C3055" s="276"/>
      <c r="D3055" s="185" t="s">
        <v>12953</v>
      </c>
      <c r="E3055" s="239" t="s">
        <v>93</v>
      </c>
      <c r="F3055" s="186">
        <v>0</v>
      </c>
      <c r="G3055" s="277" t="s">
        <v>94</v>
      </c>
      <c r="H3055" s="278"/>
    </row>
    <row r="3056" spans="1:8" x14ac:dyDescent="0.25">
      <c r="A3056" s="274"/>
      <c r="B3056" s="281" t="s">
        <v>95</v>
      </c>
      <c r="C3056" s="282"/>
      <c r="D3056" s="187">
        <v>43167</v>
      </c>
      <c r="E3056" s="240" t="s">
        <v>96</v>
      </c>
      <c r="F3056" s="187">
        <v>43167</v>
      </c>
      <c r="G3056" s="279"/>
      <c r="H3056" s="280"/>
    </row>
    <row r="3057" spans="1:8" x14ac:dyDescent="0.25">
      <c r="A3057" s="122" t="s">
        <v>11885</v>
      </c>
      <c r="B3057" s="123" t="s">
        <v>97</v>
      </c>
      <c r="C3057" s="123" t="s">
        <v>98</v>
      </c>
      <c r="D3057" s="123" t="s">
        <v>3</v>
      </c>
      <c r="E3057" s="123" t="s">
        <v>4</v>
      </c>
      <c r="F3057" s="123" t="s">
        <v>99</v>
      </c>
      <c r="G3057" s="123" t="s">
        <v>100</v>
      </c>
      <c r="H3057" s="124" t="s">
        <v>101</v>
      </c>
    </row>
    <row r="3058" spans="1:8" ht="25.5" x14ac:dyDescent="0.25">
      <c r="A3058" s="125" t="s">
        <v>398</v>
      </c>
      <c r="B3058" s="115" t="s">
        <v>9</v>
      </c>
      <c r="C3058" s="115">
        <v>88260</v>
      </c>
      <c r="D3058" s="127" t="str">
        <f>IF(A3058="COMPOSIÇÃO",VLOOKUP(C3058,'SINAPI_COMPOSIÇÕES 062020'!A:B,2,FALSE),VLOOKUP(C3058,'SINAPI_INSUMOS 062020'!A:B,2,FALSE))</f>
        <v>CALCETEIRO COM ENCARGOS COMPLEMENTARES</v>
      </c>
      <c r="E3058" s="126" t="str">
        <f>IF(A3058="COMPOSIÇÃO",VLOOKUP(C3058,'SINAPI_COMPOSIÇÕES 062020'!A:C,3,FALSE),VLOOKUP(C3058,'SINAPI_INSUMOS 062020'!A:C,3,FALSE))</f>
        <v>H</v>
      </c>
      <c r="F3058" s="74">
        <v>0.25309999999999999</v>
      </c>
      <c r="G3058" s="128">
        <f>IF(A3058="COMPOSIÇÃO",VLOOKUP(C3058,'SINAPI_COMPOSIÇÕES 062020'!A:D,4,FALSE),VLOOKUP(C3058,'SINAPI_INSUMOS 062020'!A:D,4,FALSE))</f>
        <v>17.52</v>
      </c>
      <c r="H3058" s="75">
        <f t="shared" ref="H3058:H3065" si="241">TRUNC(G3058*F3058,2)</f>
        <v>4.43</v>
      </c>
    </row>
    <row r="3059" spans="1:8" ht="25.5" x14ac:dyDescent="0.25">
      <c r="A3059" s="125" t="s">
        <v>398</v>
      </c>
      <c r="B3059" s="115" t="s">
        <v>9</v>
      </c>
      <c r="C3059" s="115">
        <v>88316</v>
      </c>
      <c r="D3059" s="127" t="str">
        <f>IF(A3059="COMPOSIÇÃO",VLOOKUP(C3059,'SINAPI_COMPOSIÇÕES 062020'!A:B,2,FALSE),VLOOKUP(C3059,'SINAPI_INSUMOS 062020'!A:B,2,FALSE))</f>
        <v>SERVENTE COM ENCARGOS COMPLEMENTARES</v>
      </c>
      <c r="E3059" s="126" t="str">
        <f>IF(A3059="COMPOSIÇÃO",VLOOKUP(C3059,'SINAPI_COMPOSIÇÕES 062020'!A:C,3,FALSE),VLOOKUP(C3059,'SINAPI_INSUMOS 062020'!A:C,3,FALSE))</f>
        <v>H</v>
      </c>
      <c r="F3059" s="74">
        <v>0.25309999999999999</v>
      </c>
      <c r="G3059" s="128">
        <f>IF(A3059="COMPOSIÇÃO",VLOOKUP(C3059,'SINAPI_COMPOSIÇÕES 062020'!A:D,4,FALSE),VLOOKUP(C3059,'SINAPI_INSUMOS 062020'!A:D,4,FALSE))</f>
        <v>14.37</v>
      </c>
      <c r="H3059" s="75">
        <f t="shared" si="241"/>
        <v>3.63</v>
      </c>
    </row>
    <row r="3060" spans="1:8" ht="51" x14ac:dyDescent="0.25">
      <c r="A3060" s="125" t="s">
        <v>398</v>
      </c>
      <c r="B3060" s="115" t="s">
        <v>9</v>
      </c>
      <c r="C3060" s="115">
        <v>91277</v>
      </c>
      <c r="D3060" s="127" t="str">
        <f>IF(A3060="COMPOSIÇÃO",VLOOKUP(C3060,'SINAPI_COMPOSIÇÕES 062020'!A:B,2,FALSE),VLOOKUP(C3060,'SINAPI_INSUMOS 062020'!A:B,2,FALSE))</f>
        <v>PLACA VIBRATÓRIA REVERSÍVEL COM MOTOR 4 TEMPOS A GASOLINA, FORÇA CENTRÍFUGA DE 25 KN (2500 KGF), POTÊNCIA 5,5 CV - CHP DIURNO. AF_08/2015</v>
      </c>
      <c r="E3060" s="126" t="str">
        <f>IF(A3060="COMPOSIÇÃO",VLOOKUP(C3060,'SINAPI_COMPOSIÇÕES 062020'!A:C,3,FALSE),VLOOKUP(C3060,'SINAPI_INSUMOS 062020'!A:C,3,FALSE))</f>
        <v>CHP</v>
      </c>
      <c r="F3060" s="74">
        <v>5.4999999999999997E-3</v>
      </c>
      <c r="G3060" s="128">
        <f>IF(A3060="COMPOSIÇÃO",VLOOKUP(C3060,'SINAPI_COMPOSIÇÕES 062020'!A:D,4,FALSE),VLOOKUP(C3060,'SINAPI_INSUMOS 062020'!A:D,4,FALSE))</f>
        <v>6.33</v>
      </c>
      <c r="H3060" s="75">
        <f t="shared" si="241"/>
        <v>0.03</v>
      </c>
    </row>
    <row r="3061" spans="1:8" ht="51" x14ac:dyDescent="0.25">
      <c r="A3061" s="125" t="s">
        <v>398</v>
      </c>
      <c r="B3061" s="115" t="s">
        <v>9</v>
      </c>
      <c r="C3061" s="115">
        <v>91278</v>
      </c>
      <c r="D3061" s="127" t="str">
        <f>IF(A3061="COMPOSIÇÃO",VLOOKUP(C3061,'SINAPI_COMPOSIÇÕES 062020'!A:B,2,FALSE),VLOOKUP(C3061,'SINAPI_INSUMOS 062020'!A:B,2,FALSE))</f>
        <v>PLACA VIBRATÓRIA REVERSÍVEL COM MOTOR 4 TEMPOS A GASOLINA, FORÇA CENTRÍFUGA DE 25 KN (2500 KGF), POTÊNCIA 5,5 CV - CHI DIURNO. AF_08/2015</v>
      </c>
      <c r="E3061" s="126" t="str">
        <f>IF(A3061="COMPOSIÇÃO",VLOOKUP(C3061,'SINAPI_COMPOSIÇÕES 062020'!A:C,3,FALSE),VLOOKUP(C3061,'SINAPI_INSUMOS 062020'!A:C,3,FALSE))</f>
        <v>CHI</v>
      </c>
      <c r="F3061" s="74">
        <v>0.1211</v>
      </c>
      <c r="G3061" s="128">
        <f>IF(A3061="COMPOSIÇÃO",VLOOKUP(C3061,'SINAPI_COMPOSIÇÕES 062020'!A:D,4,FALSE),VLOOKUP(C3061,'SINAPI_INSUMOS 062020'!A:D,4,FALSE))</f>
        <v>0.38</v>
      </c>
      <c r="H3061" s="75">
        <f t="shared" si="241"/>
        <v>0.04</v>
      </c>
    </row>
    <row r="3062" spans="1:8" ht="76.5" x14ac:dyDescent="0.25">
      <c r="A3062" s="125" t="s">
        <v>398</v>
      </c>
      <c r="B3062" s="115" t="s">
        <v>9</v>
      </c>
      <c r="C3062" s="115">
        <v>91283</v>
      </c>
      <c r="D3062" s="127" t="str">
        <f>IF(A3062="COMPOSIÇÃO",VLOOKUP(C3062,'SINAPI_COMPOSIÇÕES 062020'!A:B,2,FALSE),VLOOKUP(C3062,'SINAPI_INSUMOS 062020'!A:B,2,FALSE))</f>
        <v>CORTADORA DE PISO COM MOTOR 4 TEMPOS A GASOLINA, POTÊNCIA DE 13 HP, COM DISCO DE CORTE DIAMANTADO SEGMENTADO PARA CONCRETO, DIÂMETRO DE 350 MM, FURO DE 1" (14 X 1") - CHP DIURNO. AF_08/2015</v>
      </c>
      <c r="E3062" s="126" t="str">
        <f>IF(A3062="COMPOSIÇÃO",VLOOKUP(C3062,'SINAPI_COMPOSIÇÕES 062020'!A:C,3,FALSE),VLOOKUP(C3062,'SINAPI_INSUMOS 062020'!A:C,3,FALSE))</f>
        <v>CHP</v>
      </c>
      <c r="F3062" s="74">
        <v>3.7000000000000002E-3</v>
      </c>
      <c r="G3062" s="128">
        <f>IF(A3062="COMPOSIÇÃO",VLOOKUP(C3062,'SINAPI_COMPOSIÇÕES 062020'!A:D,4,FALSE),VLOOKUP(C3062,'SINAPI_INSUMOS 062020'!A:D,4,FALSE))</f>
        <v>15.01</v>
      </c>
      <c r="H3062" s="75">
        <f t="shared" si="241"/>
        <v>0.05</v>
      </c>
    </row>
    <row r="3063" spans="1:8" ht="76.5" x14ac:dyDescent="0.25">
      <c r="A3063" s="125" t="s">
        <v>398</v>
      </c>
      <c r="B3063" s="115" t="s">
        <v>9</v>
      </c>
      <c r="C3063" s="115">
        <v>91285</v>
      </c>
      <c r="D3063" s="127" t="str">
        <f>IF(A3063="COMPOSIÇÃO",VLOOKUP(C3063,'SINAPI_COMPOSIÇÕES 062020'!A:B,2,FALSE),VLOOKUP(C3063,'SINAPI_INSUMOS 062020'!A:B,2,FALSE))</f>
        <v>CORTADORA DE PISO COM MOTOR 4 TEMPOS A GASOLINA, POTÊNCIA DE 13 HP, COM DISCO DE CORTE DIAMANTADO SEGMENTADO PARA CONCRETO, DIÂMETRO DE 350 MM, FURO DE 1" (14 X 1") - CHI DIURNO. AF_08/2015</v>
      </c>
      <c r="E3063" s="126" t="str">
        <f>IF(A3063="COMPOSIÇÃO",VLOOKUP(C3063,'SINAPI_COMPOSIÇÕES 062020'!A:C,3,FALSE),VLOOKUP(C3063,'SINAPI_INSUMOS 062020'!A:C,3,FALSE))</f>
        <v>CHI</v>
      </c>
      <c r="F3063" s="74">
        <v>0.12280000000000001</v>
      </c>
      <c r="G3063" s="128">
        <f>IF(A3063="COMPOSIÇÃO",VLOOKUP(C3063,'SINAPI_COMPOSIÇÕES 062020'!A:D,4,FALSE),VLOOKUP(C3063,'SINAPI_INSUMOS 062020'!A:D,4,FALSE))</f>
        <v>0.85</v>
      </c>
      <c r="H3063" s="75">
        <f t="shared" si="241"/>
        <v>0.1</v>
      </c>
    </row>
    <row r="3064" spans="1:8" ht="25.5" x14ac:dyDescent="0.25">
      <c r="A3064" s="125" t="s">
        <v>400</v>
      </c>
      <c r="B3064" s="115" t="s">
        <v>9</v>
      </c>
      <c r="C3064" s="115">
        <v>370</v>
      </c>
      <c r="D3064" s="127" t="str">
        <f>IF(A3064="COMPOSIÇÃO",VLOOKUP(C3064,'SINAPI_COMPOSIÇÕES 062020'!A:B,2,FALSE),VLOOKUP(C3064,'SINAPI_INSUMOS 062020'!A:B,2,FALSE))</f>
        <v>AREIA MEDIA - POSTO JAZIDA/FORNECEDOR (RETIRADO NA JAZIDA, SEM TRANSPORTE)</v>
      </c>
      <c r="E3064" s="126" t="str">
        <f>IF(A3064="COMPOSIÇÃO",VLOOKUP(C3064,'SINAPI_COMPOSIÇÕES 062020'!A:C,3,FALSE),VLOOKUP(C3064,'SINAPI_INSUMOS 062020'!A:C,3,FALSE))</f>
        <v xml:space="preserve">M3    </v>
      </c>
      <c r="F3064" s="74">
        <v>5.6800000000000003E-2</v>
      </c>
      <c r="G3064" s="128">
        <f>IF(A3064="COMPOSIÇÃO",VLOOKUP(C3064,'SINAPI_COMPOSIÇÕES 062020'!A:D,4,FALSE),VLOOKUP(C3064,'SINAPI_INSUMOS 062020'!A:D,4,FALSE))</f>
        <v>62.5</v>
      </c>
      <c r="H3064" s="75">
        <f t="shared" si="241"/>
        <v>3.55</v>
      </c>
    </row>
    <row r="3065" spans="1:8" ht="25.5" x14ac:dyDescent="0.25">
      <c r="A3065" s="125" t="s">
        <v>400</v>
      </c>
      <c r="B3065" s="115" t="s">
        <v>9</v>
      </c>
      <c r="C3065" s="115">
        <v>4741</v>
      </c>
      <c r="D3065" s="127" t="str">
        <f>IF(A3065="COMPOSIÇÃO",VLOOKUP(C3065,'SINAPI_COMPOSIÇÕES 062020'!A:B,2,FALSE),VLOOKUP(C3065,'SINAPI_INSUMOS 062020'!A:B,2,FALSE))</f>
        <v>PO DE PEDRA (POSTO PEDREIRA/FORNECEDOR, SEM FRETE)</v>
      </c>
      <c r="E3065" s="126" t="str">
        <f>IF(A3065="COMPOSIÇÃO",VLOOKUP(C3065,'SINAPI_COMPOSIÇÕES 062020'!A:C,3,FALSE),VLOOKUP(C3065,'SINAPI_INSUMOS 062020'!A:C,3,FALSE))</f>
        <v xml:space="preserve">M3    </v>
      </c>
      <c r="F3065" s="74">
        <v>8.6999999999999994E-3</v>
      </c>
      <c r="G3065" s="128">
        <f>IF(A3065="COMPOSIÇÃO",VLOOKUP(C3065,'SINAPI_COMPOSIÇÕES 062020'!A:D,4,FALSE),VLOOKUP(C3065,'SINAPI_INSUMOS 062020'!A:D,4,FALSE))</f>
        <v>76.37</v>
      </c>
      <c r="H3065" s="75">
        <f t="shared" si="241"/>
        <v>0.66</v>
      </c>
    </row>
    <row r="3066" spans="1:8" ht="38.25" x14ac:dyDescent="0.25">
      <c r="A3066" s="125" t="s">
        <v>11958</v>
      </c>
      <c r="B3066" s="115" t="s">
        <v>11959</v>
      </c>
      <c r="C3066" s="115" t="s">
        <v>11960</v>
      </c>
      <c r="D3066" s="194" t="str">
        <f>B3070</f>
        <v>PISO INTERTRAVADO DRENANTE, COM BLOCO RETANGULAR DE 20 X 10 CM, ESPESSURA 8 CM</v>
      </c>
      <c r="E3066" s="115" t="str">
        <f>H3070</f>
        <v>M2</v>
      </c>
      <c r="F3066" s="74">
        <v>1</v>
      </c>
      <c r="G3066" s="217">
        <f>H3075</f>
        <v>52.4</v>
      </c>
      <c r="H3066" s="75">
        <f t="shared" ref="H3058:H3066" si="242">TRUNC(G3066*F3066,2)</f>
        <v>52.4</v>
      </c>
    </row>
    <row r="3067" spans="1:8" ht="13.5" thickBot="1" x14ac:dyDescent="0.3">
      <c r="A3067" s="267" t="str">
        <f>CONCATENATE("TOTAL DO ÍTEM - ",A3054)</f>
        <v>TOTAL DO ÍTEM - MPMT-02220</v>
      </c>
      <c r="B3067" s="268"/>
      <c r="C3067" s="268"/>
      <c r="D3067" s="268"/>
      <c r="E3067" s="268"/>
      <c r="F3067" s="268"/>
      <c r="G3067" s="269"/>
      <c r="H3067" s="188">
        <f>TRUNC(SUM(H3058:H3066),2)</f>
        <v>64.89</v>
      </c>
    </row>
    <row r="3068" spans="1:8" ht="13.5" thickBot="1" x14ac:dyDescent="0.3">
      <c r="A3068" s="270" t="s">
        <v>12954</v>
      </c>
      <c r="B3068" s="271"/>
      <c r="C3068" s="271"/>
      <c r="D3068" s="271"/>
      <c r="E3068" s="271"/>
      <c r="F3068" s="271"/>
      <c r="G3068" s="271"/>
      <c r="H3068" s="272"/>
    </row>
    <row r="3069" spans="1:8" ht="13.5" thickBot="1" x14ac:dyDescent="0.3">
      <c r="A3069" s="196"/>
      <c r="B3069" s="292" t="s">
        <v>11962</v>
      </c>
      <c r="C3069" s="292"/>
      <c r="D3069" s="292"/>
      <c r="E3069" s="292"/>
      <c r="F3069" s="292"/>
      <c r="G3069" s="292"/>
      <c r="H3069" s="197" t="s">
        <v>11963</v>
      </c>
    </row>
    <row r="3070" spans="1:8" ht="13.5" thickBot="1" x14ac:dyDescent="0.3">
      <c r="A3070" s="234" t="s">
        <v>11960</v>
      </c>
      <c r="B3070" s="362" t="s">
        <v>12955</v>
      </c>
      <c r="C3070" s="363"/>
      <c r="D3070" s="363"/>
      <c r="E3070" s="363"/>
      <c r="F3070" s="363"/>
      <c r="G3070" s="364"/>
      <c r="H3070" s="235" t="s">
        <v>8</v>
      </c>
    </row>
    <row r="3071" spans="1:8" ht="25.5" x14ac:dyDescent="0.25">
      <c r="A3071" s="213" t="s">
        <v>11965</v>
      </c>
      <c r="B3071" s="241" t="s">
        <v>11966</v>
      </c>
      <c r="C3071" s="241" t="s">
        <v>11967</v>
      </c>
      <c r="D3071" s="241" t="s">
        <v>11968</v>
      </c>
      <c r="E3071" s="294" t="s">
        <v>11969</v>
      </c>
      <c r="F3071" s="294"/>
      <c r="G3071" s="241" t="s">
        <v>4</v>
      </c>
      <c r="H3071" s="214" t="s">
        <v>11970</v>
      </c>
    </row>
    <row r="3072" spans="1:8" x14ac:dyDescent="0.25">
      <c r="A3072" s="205">
        <v>43168</v>
      </c>
      <c r="B3072" s="206" t="s">
        <v>12956</v>
      </c>
      <c r="C3072" s="206" t="s">
        <v>12957</v>
      </c>
      <c r="D3072" s="206" t="s">
        <v>12958</v>
      </c>
      <c r="E3072" s="306" t="s">
        <v>12959</v>
      </c>
      <c r="F3072" s="306"/>
      <c r="G3072" s="115" t="s">
        <v>8</v>
      </c>
      <c r="H3072" s="218">
        <f>79350/970</f>
        <v>81.80412371134021</v>
      </c>
    </row>
    <row r="3073" spans="1:8" x14ac:dyDescent="0.25">
      <c r="A3073" s="205">
        <v>43167</v>
      </c>
      <c r="B3073" s="206" t="s">
        <v>12960</v>
      </c>
      <c r="C3073" s="206" t="s">
        <v>12961</v>
      </c>
      <c r="D3073" s="206" t="s">
        <v>12962</v>
      </c>
      <c r="E3073" s="295" t="s">
        <v>12963</v>
      </c>
      <c r="F3073" s="295"/>
      <c r="G3073" s="115" t="s">
        <v>8</v>
      </c>
      <c r="H3073" s="208">
        <v>52.4</v>
      </c>
    </row>
    <row r="3074" spans="1:8" x14ac:dyDescent="0.25">
      <c r="A3074" s="205">
        <v>43167</v>
      </c>
      <c r="B3074" s="206" t="s">
        <v>12964</v>
      </c>
      <c r="C3074" s="206" t="s">
        <v>12965</v>
      </c>
      <c r="D3074" s="206" t="s">
        <v>12966</v>
      </c>
      <c r="E3074" s="307" t="s">
        <v>12967</v>
      </c>
      <c r="F3074" s="307"/>
      <c r="G3074" s="115" t="s">
        <v>8</v>
      </c>
      <c r="H3074" s="208">
        <v>43.2</v>
      </c>
    </row>
    <row r="3075" spans="1:8" ht="13.5" thickBot="1" x14ac:dyDescent="0.3">
      <c r="A3075" s="296" t="s">
        <v>11981</v>
      </c>
      <c r="B3075" s="297"/>
      <c r="C3075" s="297"/>
      <c r="D3075" s="297"/>
      <c r="E3075" s="297"/>
      <c r="F3075" s="297"/>
      <c r="G3075" s="298"/>
      <c r="H3075" s="188">
        <f>TRUNC(MEDIAN(H3072:H3074),2)</f>
        <v>52.4</v>
      </c>
    </row>
    <row r="3076" spans="1:8" ht="13.5" thickBot="1" x14ac:dyDescent="0.3"/>
    <row r="3077" spans="1:8" ht="25.5" x14ac:dyDescent="0.25">
      <c r="A3077" s="120" t="s">
        <v>90</v>
      </c>
      <c r="B3077" s="286" t="s">
        <v>91</v>
      </c>
      <c r="C3077" s="287"/>
      <c r="D3077" s="287"/>
      <c r="E3077" s="287"/>
      <c r="F3077" s="287"/>
      <c r="G3077" s="288"/>
      <c r="H3077" s="121" t="s">
        <v>4</v>
      </c>
    </row>
    <row r="3078" spans="1:8" ht="13.5" thickBot="1" x14ac:dyDescent="0.3">
      <c r="A3078" s="113" t="s">
        <v>12968</v>
      </c>
      <c r="B3078" s="289" t="s">
        <v>12969</v>
      </c>
      <c r="C3078" s="290"/>
      <c r="D3078" s="290"/>
      <c r="E3078" s="290"/>
      <c r="F3078" s="290"/>
      <c r="G3078" s="291"/>
      <c r="H3078" s="114" t="s">
        <v>4</v>
      </c>
    </row>
    <row r="3079" spans="1:8" x14ac:dyDescent="0.25">
      <c r="A3079" s="273" t="s">
        <v>13834</v>
      </c>
      <c r="B3079" s="275" t="s">
        <v>92</v>
      </c>
      <c r="C3079" s="276"/>
      <c r="D3079" s="185" t="s">
        <v>12970</v>
      </c>
      <c r="E3079" s="239" t="s">
        <v>93</v>
      </c>
      <c r="F3079" s="186">
        <v>0</v>
      </c>
      <c r="G3079" s="277" t="s">
        <v>94</v>
      </c>
      <c r="H3079" s="278"/>
    </row>
    <row r="3080" spans="1:8" x14ac:dyDescent="0.25">
      <c r="A3080" s="274"/>
      <c r="B3080" s="281" t="s">
        <v>95</v>
      </c>
      <c r="C3080" s="282"/>
      <c r="D3080" s="187">
        <v>43713</v>
      </c>
      <c r="E3080" s="240" t="s">
        <v>96</v>
      </c>
      <c r="F3080" s="187">
        <v>43713</v>
      </c>
      <c r="G3080" s="279"/>
      <c r="H3080" s="280"/>
    </row>
    <row r="3081" spans="1:8" x14ac:dyDescent="0.25">
      <c r="A3081" s="122" t="s">
        <v>11885</v>
      </c>
      <c r="B3081" s="123" t="s">
        <v>97</v>
      </c>
      <c r="C3081" s="123" t="s">
        <v>98</v>
      </c>
      <c r="D3081" s="123" t="s">
        <v>3</v>
      </c>
      <c r="E3081" s="123" t="s">
        <v>4</v>
      </c>
      <c r="F3081" s="123" t="s">
        <v>99</v>
      </c>
      <c r="G3081" s="123" t="s">
        <v>100</v>
      </c>
      <c r="H3081" s="124" t="s">
        <v>101</v>
      </c>
    </row>
    <row r="3082" spans="1:8" ht="25.5" x14ac:dyDescent="0.25">
      <c r="A3082" s="125" t="s">
        <v>398</v>
      </c>
      <c r="B3082" s="115" t="s">
        <v>9</v>
      </c>
      <c r="C3082" s="115">
        <v>88309</v>
      </c>
      <c r="D3082" s="127" t="str">
        <f>IF(A3082="COMPOSIÇÃO",VLOOKUP(C3082,'SINAPI_COMPOSIÇÕES 062020'!A:B,2,FALSE),VLOOKUP(C3082,'SINAPI_INSUMOS 062020'!A:B,2,FALSE))</f>
        <v>PEDREIRO COM ENCARGOS COMPLEMENTARES</v>
      </c>
      <c r="E3082" s="126" t="str">
        <f>IF(A3082="COMPOSIÇÃO",VLOOKUP(C3082,'SINAPI_COMPOSIÇÕES 062020'!A:C,3,FALSE),VLOOKUP(C3082,'SINAPI_INSUMOS 062020'!A:C,3,FALSE))</f>
        <v>H</v>
      </c>
      <c r="F3082" s="74">
        <v>0.36</v>
      </c>
      <c r="G3082" s="128">
        <f>IF(A3082="COMPOSIÇÃO",VLOOKUP(C3082,'SINAPI_COMPOSIÇÕES 062020'!A:D,4,FALSE),VLOOKUP(C3082,'SINAPI_INSUMOS 062020'!A:D,4,FALSE))</f>
        <v>17.760000000000002</v>
      </c>
      <c r="H3082" s="75">
        <f t="shared" ref="H3082:H3086" si="243">TRUNC(G3082*F3082,2)</f>
        <v>6.39</v>
      </c>
    </row>
    <row r="3083" spans="1:8" ht="25.5" x14ac:dyDescent="0.25">
      <c r="A3083" s="125" t="s">
        <v>398</v>
      </c>
      <c r="B3083" s="115" t="s">
        <v>9</v>
      </c>
      <c r="C3083" s="115">
        <v>88316</v>
      </c>
      <c r="D3083" s="127" t="str">
        <f>IF(A3083="COMPOSIÇÃO",VLOOKUP(C3083,'SINAPI_COMPOSIÇÕES 062020'!A:B,2,FALSE),VLOOKUP(C3083,'SINAPI_INSUMOS 062020'!A:B,2,FALSE))</f>
        <v>SERVENTE COM ENCARGOS COMPLEMENTARES</v>
      </c>
      <c r="E3083" s="126" t="str">
        <f>IF(A3083="COMPOSIÇÃO",VLOOKUP(C3083,'SINAPI_COMPOSIÇÕES 062020'!A:C,3,FALSE),VLOOKUP(C3083,'SINAPI_INSUMOS 062020'!A:C,3,FALSE))</f>
        <v>H</v>
      </c>
      <c r="F3083" s="74">
        <v>0.36</v>
      </c>
      <c r="G3083" s="128">
        <f>IF(A3083="COMPOSIÇÃO",VLOOKUP(C3083,'SINAPI_COMPOSIÇÕES 062020'!A:D,4,FALSE),VLOOKUP(C3083,'SINAPI_INSUMOS 062020'!A:D,4,FALSE))</f>
        <v>14.37</v>
      </c>
      <c r="H3083" s="75">
        <f t="shared" si="243"/>
        <v>5.17</v>
      </c>
    </row>
    <row r="3084" spans="1:8" ht="38.25" x14ac:dyDescent="0.25">
      <c r="A3084" s="125" t="s">
        <v>398</v>
      </c>
      <c r="B3084" s="115" t="s">
        <v>9</v>
      </c>
      <c r="C3084" s="115">
        <v>88629</v>
      </c>
      <c r="D3084" s="127" t="str">
        <f>IF(A3084="COMPOSIÇÃO",VLOOKUP(C3084,'SINAPI_COMPOSIÇÕES 062020'!A:B,2,FALSE),VLOOKUP(C3084,'SINAPI_INSUMOS 062020'!A:B,2,FALSE))</f>
        <v>ARGAMASSA TRAÇO 1:3 (EM VOLUME DE CIMENTO E AREIA MÉDIA ÚMIDA), PREPARO MANUAL. AF_08/2019</v>
      </c>
      <c r="E3084" s="126" t="str">
        <f>IF(A3084="COMPOSIÇÃO",VLOOKUP(C3084,'SINAPI_COMPOSIÇÕES 062020'!A:C,3,FALSE),VLOOKUP(C3084,'SINAPI_INSUMOS 062020'!A:C,3,FALSE))</f>
        <v>M3</v>
      </c>
      <c r="F3084" s="74">
        <v>1E-3</v>
      </c>
      <c r="G3084" s="128">
        <f>IF(A3084="COMPOSIÇÃO",VLOOKUP(C3084,'SINAPI_COMPOSIÇÕES 062020'!A:D,4,FALSE),VLOOKUP(C3084,'SINAPI_INSUMOS 062020'!A:D,4,FALSE))</f>
        <v>426.67</v>
      </c>
      <c r="H3084" s="75">
        <f t="shared" si="243"/>
        <v>0.42</v>
      </c>
    </row>
    <row r="3085" spans="1:8" ht="25.5" x14ac:dyDescent="0.25">
      <c r="A3085" s="125" t="s">
        <v>400</v>
      </c>
      <c r="B3085" s="115" t="s">
        <v>9</v>
      </c>
      <c r="C3085" s="115">
        <v>370</v>
      </c>
      <c r="D3085" s="127" t="str">
        <f>IF(A3085="COMPOSIÇÃO",VLOOKUP(C3085,'SINAPI_COMPOSIÇÕES 062020'!A:B,2,FALSE),VLOOKUP(C3085,'SINAPI_INSUMOS 062020'!A:B,2,FALSE))</f>
        <v>AREIA MEDIA - POSTO JAZIDA/FORNECEDOR (RETIRADO NA JAZIDA, SEM TRANSPORTE)</v>
      </c>
      <c r="E3085" s="126" t="str">
        <f>IF(A3085="COMPOSIÇÃO",VLOOKUP(C3085,'SINAPI_COMPOSIÇÕES 062020'!A:C,3,FALSE),VLOOKUP(C3085,'SINAPI_INSUMOS 062020'!A:C,3,FALSE))</f>
        <v xml:space="preserve">M3    </v>
      </c>
      <c r="F3085" s="74">
        <v>7.0000000000000001E-3</v>
      </c>
      <c r="G3085" s="128">
        <f>IF(A3085="COMPOSIÇÃO",VLOOKUP(C3085,'SINAPI_COMPOSIÇÕES 062020'!A:D,4,FALSE),VLOOKUP(C3085,'SINAPI_INSUMOS 062020'!A:D,4,FALSE))</f>
        <v>62.5</v>
      </c>
      <c r="H3085" s="75">
        <f t="shared" si="243"/>
        <v>0.43</v>
      </c>
    </row>
    <row r="3086" spans="1:8" ht="38.25" x14ac:dyDescent="0.25">
      <c r="A3086" s="125" t="s">
        <v>400</v>
      </c>
      <c r="B3086" s="115" t="s">
        <v>9</v>
      </c>
      <c r="C3086" s="115">
        <v>4059</v>
      </c>
      <c r="D3086" s="127" t="str">
        <f>IF(A3086="COMPOSIÇÃO",VLOOKUP(C3086,'SINAPI_COMPOSIÇÕES 062020'!A:B,2,FALSE),VLOOKUP(C3086,'SINAPI_INSUMOS 062020'!A:B,2,FALSE))</f>
        <v>MEIO-FIO OU GUIA DE CONCRETO, PRE-MOLDADO, COMP 1 M, *30 X 15/ 12* CM (H X L1/L2)</v>
      </c>
      <c r="E3086" s="126" t="str">
        <f>IF(A3086="COMPOSIÇÃO",VLOOKUP(C3086,'SINAPI_COMPOSIÇÕES 062020'!A:C,3,FALSE),VLOOKUP(C3086,'SINAPI_INSUMOS 062020'!A:C,3,FALSE))</f>
        <v xml:space="preserve">M     </v>
      </c>
      <c r="F3086" s="74">
        <v>0.5</v>
      </c>
      <c r="G3086" s="128">
        <f>IF(A3086="COMPOSIÇÃO",VLOOKUP(C3086,'SINAPI_COMPOSIÇÕES 062020'!A:D,4,FALSE),VLOOKUP(C3086,'SINAPI_INSUMOS 062020'!A:D,4,FALSE))</f>
        <v>25</v>
      </c>
      <c r="H3086" s="75">
        <f t="shared" si="243"/>
        <v>12.5</v>
      </c>
    </row>
    <row r="3087" spans="1:8" ht="13.5" thickBot="1" x14ac:dyDescent="0.3">
      <c r="A3087" s="267" t="str">
        <f>CONCATENATE("TOTAL DO ÍTEM - ",A3078)</f>
        <v>TOTAL DO ÍTEM - MPMT-02501</v>
      </c>
      <c r="B3087" s="268"/>
      <c r="C3087" s="268"/>
      <c r="D3087" s="268"/>
      <c r="E3087" s="268"/>
      <c r="F3087" s="268"/>
      <c r="G3087" s="269"/>
      <c r="H3087" s="188">
        <f>TRUNC(SUM(H3082:H3086),2)</f>
        <v>24.91</v>
      </c>
    </row>
    <row r="3088" spans="1:8" ht="13.5" thickBot="1" x14ac:dyDescent="0.3">
      <c r="A3088" s="270" t="s">
        <v>12971</v>
      </c>
      <c r="B3088" s="271"/>
      <c r="C3088" s="271"/>
      <c r="D3088" s="271"/>
      <c r="E3088" s="271"/>
      <c r="F3088" s="271"/>
      <c r="G3088" s="271"/>
      <c r="H3088" s="272"/>
    </row>
    <row r="3089" spans="1:8" ht="13.5" thickBot="1" x14ac:dyDescent="0.3"/>
    <row r="3090" spans="1:8" ht="25.5" x14ac:dyDescent="0.25">
      <c r="A3090" s="120" t="s">
        <v>90</v>
      </c>
      <c r="B3090" s="286" t="s">
        <v>91</v>
      </c>
      <c r="C3090" s="287"/>
      <c r="D3090" s="287"/>
      <c r="E3090" s="287"/>
      <c r="F3090" s="287"/>
      <c r="G3090" s="288"/>
      <c r="H3090" s="121" t="s">
        <v>4</v>
      </c>
    </row>
    <row r="3091" spans="1:8" ht="13.5" thickBot="1" x14ac:dyDescent="0.3">
      <c r="A3091" s="113" t="s">
        <v>12972</v>
      </c>
      <c r="B3091" s="289" t="s">
        <v>12973</v>
      </c>
      <c r="C3091" s="290"/>
      <c r="D3091" s="290"/>
      <c r="E3091" s="290"/>
      <c r="F3091" s="290"/>
      <c r="G3091" s="291"/>
      <c r="H3091" s="114" t="s">
        <v>4</v>
      </c>
    </row>
    <row r="3092" spans="1:8" x14ac:dyDescent="0.25">
      <c r="A3092" s="273" t="s">
        <v>13834</v>
      </c>
      <c r="B3092" s="275" t="s">
        <v>92</v>
      </c>
      <c r="C3092" s="276"/>
      <c r="D3092" s="185" t="s">
        <v>12974</v>
      </c>
      <c r="E3092" s="239" t="s">
        <v>93</v>
      </c>
      <c r="F3092" s="186">
        <v>0</v>
      </c>
      <c r="G3092" s="277" t="s">
        <v>94</v>
      </c>
      <c r="H3092" s="278"/>
    </row>
    <row r="3093" spans="1:8" x14ac:dyDescent="0.25">
      <c r="A3093" s="274"/>
      <c r="B3093" s="281" t="s">
        <v>95</v>
      </c>
      <c r="C3093" s="282"/>
      <c r="D3093" s="187">
        <v>43290</v>
      </c>
      <c r="E3093" s="240" t="s">
        <v>96</v>
      </c>
      <c r="F3093" s="230">
        <v>43290</v>
      </c>
      <c r="G3093" s="279"/>
      <c r="H3093" s="280"/>
    </row>
    <row r="3094" spans="1:8" x14ac:dyDescent="0.25">
      <c r="A3094" s="122" t="s">
        <v>11885</v>
      </c>
      <c r="B3094" s="123" t="s">
        <v>97</v>
      </c>
      <c r="C3094" s="123" t="s">
        <v>98</v>
      </c>
      <c r="D3094" s="123" t="s">
        <v>3</v>
      </c>
      <c r="E3094" s="123" t="s">
        <v>4</v>
      </c>
      <c r="F3094" s="123" t="s">
        <v>99</v>
      </c>
      <c r="G3094" s="123" t="s">
        <v>100</v>
      </c>
      <c r="H3094" s="124" t="s">
        <v>101</v>
      </c>
    </row>
    <row r="3095" spans="1:8" ht="25.5" x14ac:dyDescent="0.25">
      <c r="A3095" s="125" t="s">
        <v>398</v>
      </c>
      <c r="B3095" s="115" t="s">
        <v>9</v>
      </c>
      <c r="C3095" s="115">
        <v>88309</v>
      </c>
      <c r="D3095" s="127" t="str">
        <f>IF(A3095="COMPOSIÇÃO",VLOOKUP(C3095,'SINAPI_COMPOSIÇÕES 062020'!A:B,2,FALSE),VLOOKUP(C3095,'SINAPI_INSUMOS 062020'!A:B,2,FALSE))</f>
        <v>PEDREIRO COM ENCARGOS COMPLEMENTARES</v>
      </c>
      <c r="E3095" s="126" t="str">
        <f>IF(A3095="COMPOSIÇÃO",VLOOKUP(C3095,'SINAPI_COMPOSIÇÕES 062020'!A:C,3,FALSE),VLOOKUP(C3095,'SINAPI_INSUMOS 062020'!A:C,3,FALSE))</f>
        <v>H</v>
      </c>
      <c r="F3095" s="237">
        <v>0.2</v>
      </c>
      <c r="G3095" s="128">
        <f>IF(A3095="COMPOSIÇÃO",VLOOKUP(C3095,'SINAPI_COMPOSIÇÕES 062020'!A:D,4,FALSE),VLOOKUP(C3095,'SINAPI_INSUMOS 062020'!A:D,4,FALSE))</f>
        <v>17.760000000000002</v>
      </c>
      <c r="H3095" s="75">
        <f t="shared" ref="H3095:H3096" si="244">TRUNC(G3095*F3095,2)</f>
        <v>3.55</v>
      </c>
    </row>
    <row r="3096" spans="1:8" ht="25.5" x14ac:dyDescent="0.25">
      <c r="A3096" s="125" t="s">
        <v>398</v>
      </c>
      <c r="B3096" s="115" t="s">
        <v>9</v>
      </c>
      <c r="C3096" s="115">
        <v>88316</v>
      </c>
      <c r="D3096" s="127" t="str">
        <f>IF(A3096="COMPOSIÇÃO",VLOOKUP(C3096,'SINAPI_COMPOSIÇÕES 062020'!A:B,2,FALSE),VLOOKUP(C3096,'SINAPI_INSUMOS 062020'!A:B,2,FALSE))</f>
        <v>SERVENTE COM ENCARGOS COMPLEMENTARES</v>
      </c>
      <c r="E3096" s="126" t="str">
        <f>IF(A3096="COMPOSIÇÃO",VLOOKUP(C3096,'SINAPI_COMPOSIÇÕES 062020'!A:C,3,FALSE),VLOOKUP(C3096,'SINAPI_INSUMOS 062020'!A:C,3,FALSE))</f>
        <v>H</v>
      </c>
      <c r="F3096" s="237">
        <v>0.2</v>
      </c>
      <c r="G3096" s="128">
        <f>IF(A3096="COMPOSIÇÃO",VLOOKUP(C3096,'SINAPI_COMPOSIÇÕES 062020'!A:D,4,FALSE),VLOOKUP(C3096,'SINAPI_INSUMOS 062020'!A:D,4,FALSE))</f>
        <v>14.37</v>
      </c>
      <c r="H3096" s="75">
        <f t="shared" si="244"/>
        <v>2.87</v>
      </c>
    </row>
    <row r="3097" spans="1:8" ht="13.5" thickBot="1" x14ac:dyDescent="0.3">
      <c r="A3097" s="267" t="str">
        <f>CONCATENATE("TOTAL DO ÍTEM - ",A3091)</f>
        <v>TOTAL DO ÍTEM - MPMT-07048</v>
      </c>
      <c r="B3097" s="268"/>
      <c r="C3097" s="268"/>
      <c r="D3097" s="268"/>
      <c r="E3097" s="268"/>
      <c r="F3097" s="268"/>
      <c r="G3097" s="269"/>
      <c r="H3097" s="188">
        <f>SUM(H3095:H3096)</f>
        <v>6.42</v>
      </c>
    </row>
    <row r="3098" spans="1:8" ht="13.5" thickBot="1" x14ac:dyDescent="0.3">
      <c r="A3098" s="299" t="s">
        <v>12975</v>
      </c>
      <c r="B3098" s="300"/>
      <c r="C3098" s="300"/>
      <c r="D3098" s="300"/>
      <c r="E3098" s="300"/>
      <c r="F3098" s="300"/>
      <c r="G3098" s="300"/>
      <c r="H3098" s="301"/>
    </row>
    <row r="3099" spans="1:8" ht="13.5" thickBot="1" x14ac:dyDescent="0.3"/>
    <row r="3100" spans="1:8" ht="25.5" x14ac:dyDescent="0.25">
      <c r="A3100" s="120" t="s">
        <v>90</v>
      </c>
      <c r="B3100" s="286" t="s">
        <v>91</v>
      </c>
      <c r="C3100" s="287"/>
      <c r="D3100" s="287"/>
      <c r="E3100" s="287"/>
      <c r="F3100" s="287"/>
      <c r="G3100" s="288"/>
      <c r="H3100" s="121" t="s">
        <v>4</v>
      </c>
    </row>
    <row r="3101" spans="1:8" ht="13.5" thickBot="1" x14ac:dyDescent="0.3">
      <c r="A3101" s="113" t="s">
        <v>12977</v>
      </c>
      <c r="B3101" s="289" t="s">
        <v>12980</v>
      </c>
      <c r="C3101" s="290"/>
      <c r="D3101" s="290"/>
      <c r="E3101" s="290"/>
      <c r="F3101" s="290"/>
      <c r="G3101" s="291"/>
      <c r="H3101" s="114" t="s">
        <v>4</v>
      </c>
    </row>
    <row r="3102" spans="1:8" x14ac:dyDescent="0.25">
      <c r="A3102" s="273" t="s">
        <v>13834</v>
      </c>
      <c r="B3102" s="275" t="s">
        <v>92</v>
      </c>
      <c r="C3102" s="276"/>
      <c r="D3102" s="185" t="s">
        <v>12978</v>
      </c>
      <c r="E3102" s="239" t="s">
        <v>93</v>
      </c>
      <c r="F3102" s="186">
        <v>0</v>
      </c>
      <c r="G3102" s="277" t="s">
        <v>94</v>
      </c>
      <c r="H3102" s="278"/>
    </row>
    <row r="3103" spans="1:8" x14ac:dyDescent="0.25">
      <c r="A3103" s="274"/>
      <c r="B3103" s="281" t="s">
        <v>95</v>
      </c>
      <c r="C3103" s="282"/>
      <c r="D3103" s="187">
        <v>43013</v>
      </c>
      <c r="E3103" s="240" t="s">
        <v>96</v>
      </c>
      <c r="F3103" s="187">
        <v>43013</v>
      </c>
      <c r="G3103" s="279"/>
      <c r="H3103" s="280"/>
    </row>
    <row r="3104" spans="1:8" x14ac:dyDescent="0.25">
      <c r="A3104" s="122" t="s">
        <v>11885</v>
      </c>
      <c r="B3104" s="123" t="s">
        <v>97</v>
      </c>
      <c r="C3104" s="123" t="s">
        <v>98</v>
      </c>
      <c r="D3104" s="123" t="s">
        <v>3</v>
      </c>
      <c r="E3104" s="123" t="s">
        <v>4</v>
      </c>
      <c r="F3104" s="123" t="s">
        <v>99</v>
      </c>
      <c r="G3104" s="123" t="s">
        <v>100</v>
      </c>
      <c r="H3104" s="124" t="s">
        <v>101</v>
      </c>
    </row>
    <row r="3105" spans="1:8" ht="25.5" x14ac:dyDescent="0.25">
      <c r="A3105" s="125" t="s">
        <v>398</v>
      </c>
      <c r="B3105" s="115" t="s">
        <v>9</v>
      </c>
      <c r="C3105" s="115">
        <v>88247</v>
      </c>
      <c r="D3105" s="127" t="str">
        <f>IF(A3105="COMPOSIÇÃO",VLOOKUP(C3105,'SINAPI_COMPOSIÇÕES 062020'!A:B,2,FALSE),VLOOKUP(C3105,'SINAPI_INSUMOS 062020'!A:B,2,FALSE))</f>
        <v>AUXILIAR DE ELETRICISTA COM ENCARGOS COMPLEMENTARES</v>
      </c>
      <c r="E3105" s="126" t="str">
        <f>IF(A3105="COMPOSIÇÃO",VLOOKUP(C3105,'SINAPI_COMPOSIÇÕES 062020'!A:C,3,FALSE),VLOOKUP(C3105,'SINAPI_INSUMOS 062020'!A:C,3,FALSE))</f>
        <v>H</v>
      </c>
      <c r="F3105" s="74">
        <v>0.6</v>
      </c>
      <c r="G3105" s="128">
        <f>IF(A3105="COMPOSIÇÃO",VLOOKUP(C3105,'SINAPI_COMPOSIÇÕES 062020'!A:D,4,FALSE),VLOOKUP(C3105,'SINAPI_INSUMOS 062020'!A:D,4,FALSE))</f>
        <v>14.33</v>
      </c>
      <c r="H3105" s="75">
        <f t="shared" ref="H3105:H3107" si="245">TRUNC(G3105*F3105,2)</f>
        <v>8.59</v>
      </c>
    </row>
    <row r="3106" spans="1:8" ht="25.5" x14ac:dyDescent="0.25">
      <c r="A3106" s="125" t="s">
        <v>398</v>
      </c>
      <c r="B3106" s="115" t="s">
        <v>9</v>
      </c>
      <c r="C3106" s="115">
        <v>88316</v>
      </c>
      <c r="D3106" s="127" t="str">
        <f>IF(A3106="COMPOSIÇÃO",VLOOKUP(C3106,'SINAPI_COMPOSIÇÕES 062020'!A:B,2,FALSE),VLOOKUP(C3106,'SINAPI_INSUMOS 062020'!A:B,2,FALSE))</f>
        <v>SERVENTE COM ENCARGOS COMPLEMENTARES</v>
      </c>
      <c r="E3106" s="126" t="str">
        <f>IF(A3106="COMPOSIÇÃO",VLOOKUP(C3106,'SINAPI_COMPOSIÇÕES 062020'!A:C,3,FALSE),VLOOKUP(C3106,'SINAPI_INSUMOS 062020'!A:C,3,FALSE))</f>
        <v>H</v>
      </c>
      <c r="F3106" s="74">
        <v>0.6</v>
      </c>
      <c r="G3106" s="128">
        <f>IF(A3106="COMPOSIÇÃO",VLOOKUP(C3106,'SINAPI_COMPOSIÇÕES 062020'!A:D,4,FALSE),VLOOKUP(C3106,'SINAPI_INSUMOS 062020'!A:D,4,FALSE))</f>
        <v>14.37</v>
      </c>
      <c r="H3106" s="75">
        <f t="shared" si="245"/>
        <v>8.6199999999999992</v>
      </c>
    </row>
    <row r="3107" spans="1:8" ht="38.25" x14ac:dyDescent="0.25">
      <c r="A3107" s="125" t="s">
        <v>400</v>
      </c>
      <c r="B3107" s="115" t="s">
        <v>9</v>
      </c>
      <c r="C3107" s="115">
        <v>39772</v>
      </c>
      <c r="D3107" s="127" t="str">
        <f>IF(A3107="COMPOSIÇÃO",VLOOKUP(C3107,'SINAPI_COMPOSIÇÕES 062020'!A:B,2,FALSE),VLOOKUP(C3107,'SINAPI_INSUMOS 062020'!A:B,2,FALSE))</f>
        <v>CAIXA DE PASSAGEM METALICA DE SOBREPOR COM TAMPA PARAFUSADA, DIMENSOES 30 X 30 X 10 CM</v>
      </c>
      <c r="E3107" s="126" t="str">
        <f>IF(A3107="COMPOSIÇÃO",VLOOKUP(C3107,'SINAPI_COMPOSIÇÕES 062020'!A:C,3,FALSE),VLOOKUP(C3107,'SINAPI_INSUMOS 062020'!A:C,3,FALSE))</f>
        <v xml:space="preserve">UN    </v>
      </c>
      <c r="F3107" s="74">
        <v>1</v>
      </c>
      <c r="G3107" s="128">
        <f>IF(A3107="COMPOSIÇÃO",VLOOKUP(C3107,'SINAPI_COMPOSIÇÕES 062020'!A:D,4,FALSE),VLOOKUP(C3107,'SINAPI_INSUMOS 062020'!A:D,4,FALSE))</f>
        <v>50.65</v>
      </c>
      <c r="H3107" s="75">
        <f t="shared" si="245"/>
        <v>50.65</v>
      </c>
    </row>
    <row r="3108" spans="1:8" ht="13.5" thickBot="1" x14ac:dyDescent="0.3">
      <c r="A3108" s="267" t="str">
        <f>CONCATENATE("TOTAL DO ÍTEM - ",A3101)</f>
        <v>TOTAL DO ÍTEM - MPMT-03180</v>
      </c>
      <c r="B3108" s="268"/>
      <c r="C3108" s="268"/>
      <c r="D3108" s="268"/>
      <c r="E3108" s="268"/>
      <c r="F3108" s="268"/>
      <c r="G3108" s="269"/>
      <c r="H3108" s="188">
        <f>TRUNC(SUM(H3105:H3107),2)</f>
        <v>67.86</v>
      </c>
    </row>
    <row r="3109" spans="1:8" ht="13.5" thickBot="1" x14ac:dyDescent="0.3">
      <c r="A3109" s="299" t="s">
        <v>12979</v>
      </c>
      <c r="B3109" s="300"/>
      <c r="C3109" s="300"/>
      <c r="D3109" s="300"/>
      <c r="E3109" s="300"/>
      <c r="F3109" s="300"/>
      <c r="G3109" s="300"/>
      <c r="H3109" s="301"/>
    </row>
    <row r="3110" spans="1:8" ht="13.5" thickBot="1" x14ac:dyDescent="0.3"/>
    <row r="3111" spans="1:8" ht="25.5" x14ac:dyDescent="0.25">
      <c r="A3111" s="120" t="s">
        <v>90</v>
      </c>
      <c r="B3111" s="286" t="s">
        <v>91</v>
      </c>
      <c r="C3111" s="287"/>
      <c r="D3111" s="287"/>
      <c r="E3111" s="287"/>
      <c r="F3111" s="287"/>
      <c r="G3111" s="288"/>
      <c r="H3111" s="121" t="s">
        <v>4</v>
      </c>
    </row>
    <row r="3112" spans="1:8" ht="13.5" thickBot="1" x14ac:dyDescent="0.3">
      <c r="A3112" s="113" t="s">
        <v>12981</v>
      </c>
      <c r="B3112" s="289" t="s">
        <v>12984</v>
      </c>
      <c r="C3112" s="290"/>
      <c r="D3112" s="290"/>
      <c r="E3112" s="290"/>
      <c r="F3112" s="290"/>
      <c r="G3112" s="291"/>
      <c r="H3112" s="114" t="s">
        <v>4</v>
      </c>
    </row>
    <row r="3113" spans="1:8" x14ac:dyDescent="0.25">
      <c r="A3113" s="273" t="s">
        <v>13834</v>
      </c>
      <c r="B3113" s="275" t="s">
        <v>92</v>
      </c>
      <c r="C3113" s="276"/>
      <c r="D3113" s="185" t="s">
        <v>12982</v>
      </c>
      <c r="E3113" s="239" t="s">
        <v>93</v>
      </c>
      <c r="F3113" s="186">
        <v>0</v>
      </c>
      <c r="G3113" s="277" t="s">
        <v>94</v>
      </c>
      <c r="H3113" s="278"/>
    </row>
    <row r="3114" spans="1:8" x14ac:dyDescent="0.25">
      <c r="A3114" s="274"/>
      <c r="B3114" s="281" t="s">
        <v>95</v>
      </c>
      <c r="C3114" s="282"/>
      <c r="D3114" s="187">
        <v>43013</v>
      </c>
      <c r="E3114" s="240" t="s">
        <v>96</v>
      </c>
      <c r="F3114" s="187">
        <v>43013</v>
      </c>
      <c r="G3114" s="279"/>
      <c r="H3114" s="280"/>
    </row>
    <row r="3115" spans="1:8" x14ac:dyDescent="0.25">
      <c r="A3115" s="122" t="s">
        <v>11885</v>
      </c>
      <c r="B3115" s="123" t="s">
        <v>97</v>
      </c>
      <c r="C3115" s="123" t="s">
        <v>98</v>
      </c>
      <c r="D3115" s="123" t="s">
        <v>3</v>
      </c>
      <c r="E3115" s="123" t="s">
        <v>4</v>
      </c>
      <c r="F3115" s="123" t="s">
        <v>99</v>
      </c>
      <c r="G3115" s="123" t="s">
        <v>100</v>
      </c>
      <c r="H3115" s="124" t="s">
        <v>101</v>
      </c>
    </row>
    <row r="3116" spans="1:8" ht="25.5" x14ac:dyDescent="0.25">
      <c r="A3116" s="125" t="s">
        <v>398</v>
      </c>
      <c r="B3116" s="115" t="s">
        <v>9</v>
      </c>
      <c r="C3116" s="115">
        <v>88247</v>
      </c>
      <c r="D3116" s="127" t="str">
        <f>IF(A3116="COMPOSIÇÃO",VLOOKUP(C3116,'SINAPI_COMPOSIÇÕES 062020'!A:B,2,FALSE),VLOOKUP(C3116,'SINAPI_INSUMOS 062020'!A:B,2,FALSE))</f>
        <v>AUXILIAR DE ELETRICISTA COM ENCARGOS COMPLEMENTARES</v>
      </c>
      <c r="E3116" s="126" t="str">
        <f>IF(A3116="COMPOSIÇÃO",VLOOKUP(C3116,'SINAPI_COMPOSIÇÕES 062020'!A:C,3,FALSE),VLOOKUP(C3116,'SINAPI_INSUMOS 062020'!A:C,3,FALSE))</f>
        <v>H</v>
      </c>
      <c r="F3116" s="74">
        <v>0.6</v>
      </c>
      <c r="G3116" s="128">
        <f>IF(A3116="COMPOSIÇÃO",VLOOKUP(C3116,'SINAPI_COMPOSIÇÕES 062020'!A:D,4,FALSE),VLOOKUP(C3116,'SINAPI_INSUMOS 062020'!A:D,4,FALSE))</f>
        <v>14.33</v>
      </c>
      <c r="H3116" s="75">
        <f t="shared" ref="H3116:H3118" si="246">TRUNC(G3116*F3116,2)</f>
        <v>8.59</v>
      </c>
    </row>
    <row r="3117" spans="1:8" ht="25.5" x14ac:dyDescent="0.25">
      <c r="A3117" s="125" t="s">
        <v>398</v>
      </c>
      <c r="B3117" s="115" t="s">
        <v>9</v>
      </c>
      <c r="C3117" s="115">
        <v>88316</v>
      </c>
      <c r="D3117" s="127" t="str">
        <f>IF(A3117="COMPOSIÇÃO",VLOOKUP(C3117,'SINAPI_COMPOSIÇÕES 062020'!A:B,2,FALSE),VLOOKUP(C3117,'SINAPI_INSUMOS 062020'!A:B,2,FALSE))</f>
        <v>SERVENTE COM ENCARGOS COMPLEMENTARES</v>
      </c>
      <c r="E3117" s="126" t="str">
        <f>IF(A3117="COMPOSIÇÃO",VLOOKUP(C3117,'SINAPI_COMPOSIÇÕES 062020'!A:C,3,FALSE),VLOOKUP(C3117,'SINAPI_INSUMOS 062020'!A:C,3,FALSE))</f>
        <v>H</v>
      </c>
      <c r="F3117" s="74">
        <v>0.6</v>
      </c>
      <c r="G3117" s="128">
        <f>IF(A3117="COMPOSIÇÃO",VLOOKUP(C3117,'SINAPI_COMPOSIÇÕES 062020'!A:D,4,FALSE),VLOOKUP(C3117,'SINAPI_INSUMOS 062020'!A:D,4,FALSE))</f>
        <v>14.37</v>
      </c>
      <c r="H3117" s="75">
        <f t="shared" si="246"/>
        <v>8.6199999999999992</v>
      </c>
    </row>
    <row r="3118" spans="1:8" ht="38.25" x14ac:dyDescent="0.25">
      <c r="A3118" s="125" t="s">
        <v>400</v>
      </c>
      <c r="B3118" s="115" t="s">
        <v>9</v>
      </c>
      <c r="C3118" s="115">
        <v>39773</v>
      </c>
      <c r="D3118" s="127" t="str">
        <f>IF(A3118="COMPOSIÇÃO",VLOOKUP(C3118,'SINAPI_COMPOSIÇÕES 062020'!A:B,2,FALSE),VLOOKUP(C3118,'SINAPI_INSUMOS 062020'!A:B,2,FALSE))</f>
        <v>CAIXA DE PASSAGEM METALICA DE SOBREPOR COM TAMPA PARAFUSADA, DIMENSOES 40 X 40 X 15 CM</v>
      </c>
      <c r="E3118" s="126" t="str">
        <f>IF(A3118="COMPOSIÇÃO",VLOOKUP(C3118,'SINAPI_COMPOSIÇÕES 062020'!A:C,3,FALSE),VLOOKUP(C3118,'SINAPI_INSUMOS 062020'!A:C,3,FALSE))</f>
        <v xml:space="preserve">UN    </v>
      </c>
      <c r="F3118" s="74">
        <v>1</v>
      </c>
      <c r="G3118" s="128">
        <f>IF(A3118="COMPOSIÇÃO",VLOOKUP(C3118,'SINAPI_COMPOSIÇÕES 062020'!A:D,4,FALSE),VLOOKUP(C3118,'SINAPI_INSUMOS 062020'!A:D,4,FALSE))</f>
        <v>81.400000000000006</v>
      </c>
      <c r="H3118" s="75">
        <f t="shared" si="246"/>
        <v>81.400000000000006</v>
      </c>
    </row>
    <row r="3119" spans="1:8" ht="13.5" thickBot="1" x14ac:dyDescent="0.3">
      <c r="A3119" s="267" t="str">
        <f>CONCATENATE("TOTAL DO ÍTEM - ",A3112)</f>
        <v>TOTAL DO ÍTEM - MPMT-03179</v>
      </c>
      <c r="B3119" s="268"/>
      <c r="C3119" s="268"/>
      <c r="D3119" s="268"/>
      <c r="E3119" s="268"/>
      <c r="F3119" s="268"/>
      <c r="G3119" s="269"/>
      <c r="H3119" s="188">
        <f>TRUNC(SUM(H3116:H3118),2)</f>
        <v>98.61</v>
      </c>
    </row>
    <row r="3120" spans="1:8" ht="13.5" thickBot="1" x14ac:dyDescent="0.3">
      <c r="A3120" s="299" t="s">
        <v>12983</v>
      </c>
      <c r="B3120" s="300"/>
      <c r="C3120" s="300"/>
      <c r="D3120" s="300"/>
      <c r="E3120" s="300"/>
      <c r="F3120" s="300"/>
      <c r="G3120" s="300"/>
      <c r="H3120" s="301"/>
    </row>
    <row r="3121" spans="1:8" ht="13.5" thickBot="1" x14ac:dyDescent="0.3"/>
    <row r="3122" spans="1:8" ht="25.5" x14ac:dyDescent="0.25">
      <c r="A3122" s="120" t="s">
        <v>90</v>
      </c>
      <c r="B3122" s="286" t="s">
        <v>91</v>
      </c>
      <c r="C3122" s="287"/>
      <c r="D3122" s="287"/>
      <c r="E3122" s="287"/>
      <c r="F3122" s="287"/>
      <c r="G3122" s="288"/>
      <c r="H3122" s="121" t="s">
        <v>4</v>
      </c>
    </row>
    <row r="3123" spans="1:8" ht="13.5" thickBot="1" x14ac:dyDescent="0.3">
      <c r="A3123" s="113" t="s">
        <v>12985</v>
      </c>
      <c r="B3123" s="289" t="s">
        <v>12986</v>
      </c>
      <c r="C3123" s="290"/>
      <c r="D3123" s="290"/>
      <c r="E3123" s="290"/>
      <c r="F3123" s="290"/>
      <c r="G3123" s="291"/>
      <c r="H3123" s="114" t="s">
        <v>4</v>
      </c>
    </row>
    <row r="3124" spans="1:8" x14ac:dyDescent="0.25">
      <c r="A3124" s="273" t="s">
        <v>13834</v>
      </c>
      <c r="B3124" s="275" t="s">
        <v>92</v>
      </c>
      <c r="C3124" s="276"/>
      <c r="D3124" s="185" t="s">
        <v>12987</v>
      </c>
      <c r="E3124" s="239" t="s">
        <v>93</v>
      </c>
      <c r="F3124" s="186">
        <v>0</v>
      </c>
      <c r="G3124" s="277" t="s">
        <v>94</v>
      </c>
      <c r="H3124" s="278"/>
    </row>
    <row r="3125" spans="1:8" x14ac:dyDescent="0.25">
      <c r="A3125" s="274"/>
      <c r="B3125" s="281" t="s">
        <v>95</v>
      </c>
      <c r="C3125" s="282"/>
      <c r="D3125" s="187" t="s">
        <v>12988</v>
      </c>
      <c r="E3125" s="240" t="s">
        <v>96</v>
      </c>
      <c r="F3125" s="187">
        <v>43293</v>
      </c>
      <c r="G3125" s="279"/>
      <c r="H3125" s="280"/>
    </row>
    <row r="3126" spans="1:8" x14ac:dyDescent="0.25">
      <c r="A3126" s="122" t="s">
        <v>11885</v>
      </c>
      <c r="B3126" s="123" t="s">
        <v>97</v>
      </c>
      <c r="C3126" s="123" t="s">
        <v>98</v>
      </c>
      <c r="D3126" s="123" t="s">
        <v>3</v>
      </c>
      <c r="E3126" s="123" t="s">
        <v>4</v>
      </c>
      <c r="F3126" s="123" t="s">
        <v>99</v>
      </c>
      <c r="G3126" s="123" t="s">
        <v>100</v>
      </c>
      <c r="H3126" s="124" t="s">
        <v>101</v>
      </c>
    </row>
    <row r="3127" spans="1:8" ht="25.5" x14ac:dyDescent="0.25">
      <c r="A3127" s="125" t="s">
        <v>398</v>
      </c>
      <c r="B3127" s="115" t="s">
        <v>9</v>
      </c>
      <c r="C3127" s="115">
        <v>88247</v>
      </c>
      <c r="D3127" s="127" t="str">
        <f>IF(A3127="COMPOSIÇÃO",VLOOKUP(C3127,'SINAPI_COMPOSIÇÕES 062020'!A:B,2,FALSE),VLOOKUP(C3127,'SINAPI_INSUMOS 062020'!A:B,2,FALSE))</f>
        <v>AUXILIAR DE ELETRICISTA COM ENCARGOS COMPLEMENTARES</v>
      </c>
      <c r="E3127" s="126" t="str">
        <f>IF(A3127="COMPOSIÇÃO",VLOOKUP(C3127,'SINAPI_COMPOSIÇÕES 062020'!A:C,3,FALSE),VLOOKUP(C3127,'SINAPI_INSUMOS 062020'!A:C,3,FALSE))</f>
        <v>H</v>
      </c>
      <c r="F3127" s="74">
        <v>0.25</v>
      </c>
      <c r="G3127" s="128">
        <f>IF(A3127="COMPOSIÇÃO",VLOOKUP(C3127,'SINAPI_COMPOSIÇÕES 062020'!A:D,4,FALSE),VLOOKUP(C3127,'SINAPI_INSUMOS 062020'!A:D,4,FALSE))</f>
        <v>14.33</v>
      </c>
      <c r="H3127" s="75">
        <f t="shared" ref="H3127:H3129" si="247">TRUNC(G3127*F3127,2)</f>
        <v>3.58</v>
      </c>
    </row>
    <row r="3128" spans="1:8" ht="25.5" x14ac:dyDescent="0.25">
      <c r="A3128" s="125" t="s">
        <v>398</v>
      </c>
      <c r="B3128" s="115" t="s">
        <v>9</v>
      </c>
      <c r="C3128" s="115">
        <v>88264</v>
      </c>
      <c r="D3128" s="127" t="str">
        <f>IF(A3128="COMPOSIÇÃO",VLOOKUP(C3128,'SINAPI_COMPOSIÇÕES 062020'!A:B,2,FALSE),VLOOKUP(C3128,'SINAPI_INSUMOS 062020'!A:B,2,FALSE))</f>
        <v>ELETRICISTA COM ENCARGOS COMPLEMENTARES</v>
      </c>
      <c r="E3128" s="126" t="str">
        <f>IF(A3128="COMPOSIÇÃO",VLOOKUP(C3128,'SINAPI_COMPOSIÇÕES 062020'!A:C,3,FALSE),VLOOKUP(C3128,'SINAPI_INSUMOS 062020'!A:C,3,FALSE))</f>
        <v>H</v>
      </c>
      <c r="F3128" s="74">
        <v>0.25</v>
      </c>
      <c r="G3128" s="128">
        <f>IF(A3128="COMPOSIÇÃO",VLOOKUP(C3128,'SINAPI_COMPOSIÇÕES 062020'!A:D,4,FALSE),VLOOKUP(C3128,'SINAPI_INSUMOS 062020'!A:D,4,FALSE))</f>
        <v>18.38</v>
      </c>
      <c r="H3128" s="75">
        <f t="shared" si="247"/>
        <v>4.59</v>
      </c>
    </row>
    <row r="3129" spans="1:8" x14ac:dyDescent="0.25">
      <c r="A3129" s="125" t="s">
        <v>400</v>
      </c>
      <c r="B3129" s="115" t="s">
        <v>9</v>
      </c>
      <c r="C3129" s="115">
        <v>39603</v>
      </c>
      <c r="D3129" s="127" t="str">
        <f>IF(A3129="COMPOSIÇÃO",VLOOKUP(C3129,'SINAPI_COMPOSIÇÕES 062020'!A:B,2,FALSE),VLOOKUP(C3129,'SINAPI_INSUMOS 062020'!A:B,2,FALSE))</f>
        <v>CONECTOR MACHO RJ - 45, CATEGORIA 6</v>
      </c>
      <c r="E3129" s="126" t="str">
        <f>IF(A3129="COMPOSIÇÃO",VLOOKUP(C3129,'SINAPI_COMPOSIÇÕES 062020'!A:C,3,FALSE),VLOOKUP(C3129,'SINAPI_INSUMOS 062020'!A:C,3,FALSE))</f>
        <v xml:space="preserve">UN    </v>
      </c>
      <c r="F3129" s="74">
        <v>1</v>
      </c>
      <c r="G3129" s="128">
        <f>IF(A3129="COMPOSIÇÃO",VLOOKUP(C3129,'SINAPI_COMPOSIÇÕES 062020'!A:D,4,FALSE),VLOOKUP(C3129,'SINAPI_INSUMOS 062020'!A:D,4,FALSE))</f>
        <v>1.6</v>
      </c>
      <c r="H3129" s="75">
        <f t="shared" si="247"/>
        <v>1.6</v>
      </c>
    </row>
    <row r="3130" spans="1:8" ht="13.5" thickBot="1" x14ac:dyDescent="0.3">
      <c r="A3130" s="267" t="str">
        <f>CONCATENATE("TOTAL DO ÍTEM - ",A3123)</f>
        <v>TOTAL DO ÍTEM - MPMT-03333</v>
      </c>
      <c r="B3130" s="268"/>
      <c r="C3130" s="268"/>
      <c r="D3130" s="268"/>
      <c r="E3130" s="268"/>
      <c r="F3130" s="268"/>
      <c r="G3130" s="269"/>
      <c r="H3130" s="188">
        <f>TRUNC(SUM(H3127:H3129),2)</f>
        <v>9.77</v>
      </c>
    </row>
    <row r="3131" spans="1:8" ht="13.5" thickBot="1" x14ac:dyDescent="0.3">
      <c r="A3131" s="283" t="s">
        <v>12989</v>
      </c>
      <c r="B3131" s="284"/>
      <c r="C3131" s="284"/>
      <c r="D3131" s="284"/>
      <c r="E3131" s="284"/>
      <c r="F3131" s="284"/>
      <c r="G3131" s="284"/>
      <c r="H3131" s="285"/>
    </row>
    <row r="3132" spans="1:8" ht="13.5" thickBot="1" x14ac:dyDescent="0.3"/>
    <row r="3133" spans="1:8" ht="25.5" x14ac:dyDescent="0.25">
      <c r="A3133" s="120" t="s">
        <v>90</v>
      </c>
      <c r="B3133" s="286" t="s">
        <v>91</v>
      </c>
      <c r="C3133" s="287"/>
      <c r="D3133" s="287"/>
      <c r="E3133" s="287"/>
      <c r="F3133" s="287"/>
      <c r="G3133" s="288"/>
      <c r="H3133" s="121" t="s">
        <v>4</v>
      </c>
    </row>
    <row r="3134" spans="1:8" ht="13.5" thickBot="1" x14ac:dyDescent="0.3">
      <c r="A3134" s="113" t="s">
        <v>12990</v>
      </c>
      <c r="B3134" s="289" t="s">
        <v>12991</v>
      </c>
      <c r="C3134" s="290"/>
      <c r="D3134" s="290"/>
      <c r="E3134" s="290"/>
      <c r="F3134" s="290"/>
      <c r="G3134" s="291"/>
      <c r="H3134" s="114" t="s">
        <v>16</v>
      </c>
    </row>
    <row r="3135" spans="1:8" x14ac:dyDescent="0.25">
      <c r="A3135" s="273" t="s">
        <v>13834</v>
      </c>
      <c r="B3135" s="275" t="s">
        <v>92</v>
      </c>
      <c r="C3135" s="276"/>
      <c r="D3135" s="185" t="s">
        <v>12992</v>
      </c>
      <c r="E3135" s="239" t="s">
        <v>93</v>
      </c>
      <c r="F3135" s="193">
        <v>0</v>
      </c>
      <c r="G3135" s="277" t="s">
        <v>94</v>
      </c>
      <c r="H3135" s="278"/>
    </row>
    <row r="3136" spans="1:8" x14ac:dyDescent="0.25">
      <c r="A3136" s="274"/>
      <c r="B3136" s="281" t="s">
        <v>95</v>
      </c>
      <c r="C3136" s="282"/>
      <c r="D3136" s="187">
        <v>43412</v>
      </c>
      <c r="E3136" s="240" t="s">
        <v>96</v>
      </c>
      <c r="F3136" s="187">
        <v>43412</v>
      </c>
      <c r="G3136" s="279"/>
      <c r="H3136" s="280"/>
    </row>
    <row r="3137" spans="1:8" x14ac:dyDescent="0.25">
      <c r="A3137" s="122" t="s">
        <v>11885</v>
      </c>
      <c r="B3137" s="123" t="s">
        <v>97</v>
      </c>
      <c r="C3137" s="123" t="s">
        <v>98</v>
      </c>
      <c r="D3137" s="123" t="s">
        <v>3</v>
      </c>
      <c r="E3137" s="123" t="s">
        <v>4</v>
      </c>
      <c r="F3137" s="123" t="s">
        <v>99</v>
      </c>
      <c r="G3137" s="123" t="s">
        <v>100</v>
      </c>
      <c r="H3137" s="124" t="s">
        <v>101</v>
      </c>
    </row>
    <row r="3138" spans="1:8" ht="25.5" x14ac:dyDescent="0.25">
      <c r="A3138" s="125" t="s">
        <v>398</v>
      </c>
      <c r="B3138" s="115" t="s">
        <v>9</v>
      </c>
      <c r="C3138" s="115">
        <v>88247</v>
      </c>
      <c r="D3138" s="127" t="str">
        <f>IF(A3138="COMPOSIÇÃO",VLOOKUP(C3138,'SINAPI_COMPOSIÇÕES 062020'!A:B,2,FALSE),VLOOKUP(C3138,'SINAPI_INSUMOS 062020'!A:B,2,FALSE))</f>
        <v>AUXILIAR DE ELETRICISTA COM ENCARGOS COMPLEMENTARES</v>
      </c>
      <c r="E3138" s="126" t="str">
        <f>IF(A3138="COMPOSIÇÃO",VLOOKUP(C3138,'SINAPI_COMPOSIÇÕES 062020'!A:C,3,FALSE),VLOOKUP(C3138,'SINAPI_INSUMOS 062020'!A:C,3,FALSE))</f>
        <v>H</v>
      </c>
      <c r="F3138" s="74">
        <v>0.21629999999999999</v>
      </c>
      <c r="G3138" s="128">
        <f>IF(A3138="COMPOSIÇÃO",VLOOKUP(C3138,'SINAPI_COMPOSIÇÕES 062020'!A:D,4,FALSE),VLOOKUP(C3138,'SINAPI_INSUMOS 062020'!A:D,4,FALSE))</f>
        <v>14.33</v>
      </c>
      <c r="H3138" s="75">
        <f t="shared" ref="H3138:H3141" si="248">TRUNC(G3138*F3138,2)</f>
        <v>3.09</v>
      </c>
    </row>
    <row r="3139" spans="1:8" ht="25.5" x14ac:dyDescent="0.25">
      <c r="A3139" s="125" t="s">
        <v>398</v>
      </c>
      <c r="B3139" s="115" t="s">
        <v>9</v>
      </c>
      <c r="C3139" s="115">
        <v>88264</v>
      </c>
      <c r="D3139" s="127" t="str">
        <f>IF(A3139="COMPOSIÇÃO",VLOOKUP(C3139,'SINAPI_COMPOSIÇÕES 062020'!A:B,2,FALSE),VLOOKUP(C3139,'SINAPI_INSUMOS 062020'!A:B,2,FALSE))</f>
        <v>ELETRICISTA COM ENCARGOS COMPLEMENTARES</v>
      </c>
      <c r="E3139" s="126" t="str">
        <f>IF(A3139="COMPOSIÇÃO",VLOOKUP(C3139,'SINAPI_COMPOSIÇÕES 062020'!A:C,3,FALSE),VLOOKUP(C3139,'SINAPI_INSUMOS 062020'!A:C,3,FALSE))</f>
        <v>H</v>
      </c>
      <c r="F3139" s="74">
        <v>0.21629999999999999</v>
      </c>
      <c r="G3139" s="128">
        <f>IF(A3139="COMPOSIÇÃO",VLOOKUP(C3139,'SINAPI_COMPOSIÇÕES 062020'!A:D,4,FALSE),VLOOKUP(C3139,'SINAPI_INSUMOS 062020'!A:D,4,FALSE))</f>
        <v>18.38</v>
      </c>
      <c r="H3139" s="75">
        <f t="shared" si="248"/>
        <v>3.97</v>
      </c>
    </row>
    <row r="3140" spans="1:8" ht="63.75" x14ac:dyDescent="0.25">
      <c r="A3140" s="125" t="s">
        <v>398</v>
      </c>
      <c r="B3140" s="115" t="s">
        <v>9</v>
      </c>
      <c r="C3140" s="115">
        <v>91173</v>
      </c>
      <c r="D3140" s="127" t="str">
        <f>IF(A3140="COMPOSIÇÃO",VLOOKUP(C3140,'SINAPI_COMPOSIÇÕES 062020'!A:B,2,FALSE),VLOOKUP(C3140,'SINAPI_INSUMOS 062020'!A:B,2,FALSE))</f>
        <v>FIXAÇÃO DE TUBOS VERTICAIS DE PPR DIÂMETROS MENORES OU IGUAIS A 40 MM COM ABRAÇADEIRA METÁLICA RÍGIDA TIPO D 1/2", FIXADA EM PERFILADO EM ALVENARIA. AF_05/2015</v>
      </c>
      <c r="E3140" s="126" t="str">
        <f>IF(A3140="COMPOSIÇÃO",VLOOKUP(C3140,'SINAPI_COMPOSIÇÕES 062020'!A:C,3,FALSE),VLOOKUP(C3140,'SINAPI_INSUMOS 062020'!A:C,3,FALSE))</f>
        <v>M</v>
      </c>
      <c r="F3140" s="74">
        <v>2</v>
      </c>
      <c r="G3140" s="128">
        <f>IF(A3140="COMPOSIÇÃO",VLOOKUP(C3140,'SINAPI_COMPOSIÇÕES 062020'!A:D,4,FALSE),VLOOKUP(C3140,'SINAPI_INSUMOS 062020'!A:D,4,FALSE))</f>
        <v>1.1200000000000001</v>
      </c>
      <c r="H3140" s="75">
        <f t="shared" si="248"/>
        <v>2.2400000000000002</v>
      </c>
    </row>
    <row r="3141" spans="1:8" ht="38.25" x14ac:dyDescent="0.25">
      <c r="A3141" s="125" t="s">
        <v>400</v>
      </c>
      <c r="B3141" s="115" t="s">
        <v>9</v>
      </c>
      <c r="C3141" s="115">
        <v>7696</v>
      </c>
      <c r="D3141" s="127" t="str">
        <f>IF(A3141="COMPOSIÇÃO",VLOOKUP(C3141,'SINAPI_COMPOSIÇÕES 062020'!A:B,2,FALSE),VLOOKUP(C3141,'SINAPI_INSUMOS 062020'!A:B,2,FALSE))</f>
        <v>TUBO ACO GALVANIZADO COM COSTURA, CLASSE MEDIA, DN 2", E = *3,65* MM, PESO *5,10* KG/M (NBR 5580)</v>
      </c>
      <c r="E3141" s="126" t="str">
        <f>IF(A3141="COMPOSIÇÃO",VLOOKUP(C3141,'SINAPI_COMPOSIÇÕES 062020'!A:C,3,FALSE),VLOOKUP(C3141,'SINAPI_INSUMOS 062020'!A:C,3,FALSE))</f>
        <v xml:space="preserve">M     </v>
      </c>
      <c r="F3141" s="74">
        <v>1.05</v>
      </c>
      <c r="G3141" s="128">
        <f>IF(A3141="COMPOSIÇÃO",VLOOKUP(C3141,'SINAPI_COMPOSIÇÕES 062020'!A:D,4,FALSE),VLOOKUP(C3141,'SINAPI_INSUMOS 062020'!A:D,4,FALSE))</f>
        <v>43.54</v>
      </c>
      <c r="H3141" s="75">
        <f t="shared" si="248"/>
        <v>45.71</v>
      </c>
    </row>
    <row r="3142" spans="1:8" ht="13.5" thickBot="1" x14ac:dyDescent="0.3">
      <c r="A3142" s="267" t="str">
        <f>CONCATENATE("TOTAL DO ÍTEM - ",A3134)</f>
        <v>TOTAL DO ÍTEM - MPMT-03309</v>
      </c>
      <c r="B3142" s="268"/>
      <c r="C3142" s="268"/>
      <c r="D3142" s="268"/>
      <c r="E3142" s="268"/>
      <c r="F3142" s="268"/>
      <c r="G3142" s="269"/>
      <c r="H3142" s="188">
        <f>TRUNC(SUM(H3138:H3141),2)</f>
        <v>55.01</v>
      </c>
    </row>
    <row r="3143" spans="1:8" ht="13.5" thickBot="1" x14ac:dyDescent="0.3">
      <c r="A3143" s="283" t="s">
        <v>12993</v>
      </c>
      <c r="B3143" s="284"/>
      <c r="C3143" s="284"/>
      <c r="D3143" s="284"/>
      <c r="E3143" s="284"/>
      <c r="F3143" s="284"/>
      <c r="G3143" s="284"/>
      <c r="H3143" s="285"/>
    </row>
    <row r="3144" spans="1:8" ht="13.5" thickBot="1" x14ac:dyDescent="0.3"/>
    <row r="3145" spans="1:8" ht="25.5" x14ac:dyDescent="0.25">
      <c r="A3145" s="120" t="s">
        <v>90</v>
      </c>
      <c r="B3145" s="286" t="s">
        <v>91</v>
      </c>
      <c r="C3145" s="287"/>
      <c r="D3145" s="287"/>
      <c r="E3145" s="287"/>
      <c r="F3145" s="287"/>
      <c r="G3145" s="288"/>
      <c r="H3145" s="121" t="s">
        <v>4</v>
      </c>
    </row>
    <row r="3146" spans="1:8" ht="13.5" thickBot="1" x14ac:dyDescent="0.3">
      <c r="A3146" s="113" t="s">
        <v>12994</v>
      </c>
      <c r="B3146" s="289" t="s">
        <v>12995</v>
      </c>
      <c r="C3146" s="290"/>
      <c r="D3146" s="290"/>
      <c r="E3146" s="290"/>
      <c r="F3146" s="290"/>
      <c r="G3146" s="291"/>
      <c r="H3146" s="114" t="s">
        <v>8</v>
      </c>
    </row>
    <row r="3147" spans="1:8" x14ac:dyDescent="0.25">
      <c r="A3147" s="273" t="s">
        <v>13834</v>
      </c>
      <c r="B3147" s="275" t="s">
        <v>92</v>
      </c>
      <c r="C3147" s="276"/>
      <c r="D3147" s="185" t="s">
        <v>12996</v>
      </c>
      <c r="E3147" s="239" t="s">
        <v>93</v>
      </c>
      <c r="F3147" s="193" t="s">
        <v>12009</v>
      </c>
      <c r="G3147" s="277" t="s">
        <v>94</v>
      </c>
      <c r="H3147" s="278"/>
    </row>
    <row r="3148" spans="1:8" x14ac:dyDescent="0.25">
      <c r="A3148" s="274"/>
      <c r="B3148" s="281" t="s">
        <v>95</v>
      </c>
      <c r="C3148" s="282"/>
      <c r="D3148" s="187">
        <v>44033</v>
      </c>
      <c r="E3148" s="240" t="s">
        <v>96</v>
      </c>
      <c r="F3148" s="187">
        <v>44033</v>
      </c>
      <c r="G3148" s="279"/>
      <c r="H3148" s="280"/>
    </row>
    <row r="3149" spans="1:8" x14ac:dyDescent="0.25">
      <c r="A3149" s="122" t="s">
        <v>11885</v>
      </c>
      <c r="B3149" s="123" t="s">
        <v>97</v>
      </c>
      <c r="C3149" s="123" t="s">
        <v>98</v>
      </c>
      <c r="D3149" s="123" t="s">
        <v>3</v>
      </c>
      <c r="E3149" s="123" t="s">
        <v>4</v>
      </c>
      <c r="F3149" s="123" t="s">
        <v>99</v>
      </c>
      <c r="G3149" s="123" t="s">
        <v>100</v>
      </c>
      <c r="H3149" s="124" t="s">
        <v>101</v>
      </c>
    </row>
    <row r="3150" spans="1:8" ht="25.5" x14ac:dyDescent="0.25">
      <c r="A3150" s="125" t="s">
        <v>398</v>
      </c>
      <c r="B3150" s="115" t="s">
        <v>9</v>
      </c>
      <c r="C3150" s="115">
        <v>88262</v>
      </c>
      <c r="D3150" s="127" t="str">
        <f>IF(A3150="COMPOSIÇÃO",VLOOKUP(C3150,'SINAPI_COMPOSIÇÕES 062020'!A:B,2,FALSE),VLOOKUP(C3150,'SINAPI_INSUMOS 062020'!A:B,2,FALSE))</f>
        <v>CARPINTEIRO DE FORMAS COM ENCARGOS COMPLEMENTARES</v>
      </c>
      <c r="E3150" s="126" t="str">
        <f>IF(A3150="COMPOSIÇÃO",VLOOKUP(C3150,'SINAPI_COMPOSIÇÕES 062020'!A:C,3,FALSE),VLOOKUP(C3150,'SINAPI_INSUMOS 062020'!A:C,3,FALSE))</f>
        <v>H</v>
      </c>
      <c r="F3150" s="74">
        <v>1</v>
      </c>
      <c r="G3150" s="128">
        <f>IF(A3150="COMPOSIÇÃO",VLOOKUP(C3150,'SINAPI_COMPOSIÇÕES 062020'!A:D,4,FALSE),VLOOKUP(C3150,'SINAPI_INSUMOS 062020'!A:D,4,FALSE))</f>
        <v>17.64</v>
      </c>
      <c r="H3150" s="75">
        <f t="shared" ref="H3150:H3156" si="249">TRUNC(G3150*F3150,2)</f>
        <v>17.64</v>
      </c>
    </row>
    <row r="3151" spans="1:8" ht="25.5" x14ac:dyDescent="0.25">
      <c r="A3151" s="125" t="s">
        <v>398</v>
      </c>
      <c r="B3151" s="115" t="s">
        <v>9</v>
      </c>
      <c r="C3151" s="115">
        <v>88316</v>
      </c>
      <c r="D3151" s="127" t="str">
        <f>IF(A3151="COMPOSIÇÃO",VLOOKUP(C3151,'SINAPI_COMPOSIÇÕES 062020'!A:B,2,FALSE),VLOOKUP(C3151,'SINAPI_INSUMOS 062020'!A:B,2,FALSE))</f>
        <v>SERVENTE COM ENCARGOS COMPLEMENTARES</v>
      </c>
      <c r="E3151" s="126" t="str">
        <f>IF(A3151="COMPOSIÇÃO",VLOOKUP(C3151,'SINAPI_COMPOSIÇÕES 062020'!A:C,3,FALSE),VLOOKUP(C3151,'SINAPI_INSUMOS 062020'!A:C,3,FALSE))</f>
        <v>H</v>
      </c>
      <c r="F3151" s="74">
        <v>2</v>
      </c>
      <c r="G3151" s="128">
        <f>IF(A3151="COMPOSIÇÃO",VLOOKUP(C3151,'SINAPI_COMPOSIÇÕES 062020'!A:D,4,FALSE),VLOOKUP(C3151,'SINAPI_INSUMOS 062020'!A:D,4,FALSE))</f>
        <v>14.37</v>
      </c>
      <c r="H3151" s="75">
        <f t="shared" si="249"/>
        <v>28.74</v>
      </c>
    </row>
    <row r="3152" spans="1:8" ht="51" x14ac:dyDescent="0.25">
      <c r="A3152" s="125" t="s">
        <v>398</v>
      </c>
      <c r="B3152" s="115" t="s">
        <v>9</v>
      </c>
      <c r="C3152" s="115">
        <v>94962</v>
      </c>
      <c r="D3152" s="127" t="str">
        <f>IF(A3152="COMPOSIÇÃO",VLOOKUP(C3152,'SINAPI_COMPOSIÇÕES 062020'!A:B,2,FALSE),VLOOKUP(C3152,'SINAPI_INSUMOS 062020'!A:B,2,FALSE))</f>
        <v>CONCRETO MAGRO PARA LASTRO, TRAÇO 1:4,5:4,5 (CIMENTO/ AREIA MÉDIA/ BRITA 1)  - PREPARO MECÂNICO COM BETONEIRA 400 L. AF_07/2016</v>
      </c>
      <c r="E3152" s="126" t="str">
        <f>IF(A3152="COMPOSIÇÃO",VLOOKUP(C3152,'SINAPI_COMPOSIÇÕES 062020'!A:C,3,FALSE),VLOOKUP(C3152,'SINAPI_INSUMOS 062020'!A:C,3,FALSE))</f>
        <v>M3</v>
      </c>
      <c r="F3152" s="74">
        <v>0.01</v>
      </c>
      <c r="G3152" s="128">
        <f>IF(A3152="COMPOSIÇÃO",VLOOKUP(C3152,'SINAPI_COMPOSIÇÕES 062020'!A:D,4,FALSE),VLOOKUP(C3152,'SINAPI_INSUMOS 062020'!A:D,4,FALSE))</f>
        <v>255.78</v>
      </c>
      <c r="H3152" s="75">
        <f t="shared" si="249"/>
        <v>2.5499999999999998</v>
      </c>
    </row>
    <row r="3153" spans="1:8" ht="38.25" x14ac:dyDescent="0.25">
      <c r="A3153" s="125" t="s">
        <v>400</v>
      </c>
      <c r="B3153" s="115" t="s">
        <v>9</v>
      </c>
      <c r="C3153" s="115">
        <v>4417</v>
      </c>
      <c r="D3153" s="127" t="str">
        <f>IF(A3153="COMPOSIÇÃO",VLOOKUP(C3153,'SINAPI_COMPOSIÇÕES 062020'!A:B,2,FALSE),VLOOKUP(C3153,'SINAPI_INSUMOS 062020'!A:B,2,FALSE))</f>
        <v>SARRAFO DE MADEIRA NAO APARELHADA *2,5 X 7* CM, MACARANDUBA, ANGELIM OU EQUIVALENTE DA REGIAO</v>
      </c>
      <c r="E3153" s="126" t="str">
        <f>IF(A3153="COMPOSIÇÃO",VLOOKUP(C3153,'SINAPI_COMPOSIÇÕES 062020'!A:C,3,FALSE),VLOOKUP(C3153,'SINAPI_INSUMOS 062020'!A:C,3,FALSE))</f>
        <v xml:space="preserve">M     </v>
      </c>
      <c r="F3153" s="74">
        <v>1</v>
      </c>
      <c r="G3153" s="128">
        <f>IF(A3153="COMPOSIÇÃO",VLOOKUP(C3153,'SINAPI_COMPOSIÇÕES 062020'!A:D,4,FALSE),VLOOKUP(C3153,'SINAPI_INSUMOS 062020'!A:D,4,FALSE))</f>
        <v>3.02</v>
      </c>
      <c r="H3153" s="75">
        <f t="shared" si="249"/>
        <v>3.02</v>
      </c>
    </row>
    <row r="3154" spans="1:8" ht="38.25" x14ac:dyDescent="0.25">
      <c r="A3154" s="125" t="s">
        <v>400</v>
      </c>
      <c r="B3154" s="115" t="s">
        <v>9</v>
      </c>
      <c r="C3154" s="115">
        <v>4491</v>
      </c>
      <c r="D3154" s="127" t="str">
        <f>IF(A3154="COMPOSIÇÃO",VLOOKUP(C3154,'SINAPI_COMPOSIÇÕES 062020'!A:B,2,FALSE),VLOOKUP(C3154,'SINAPI_INSUMOS 062020'!A:B,2,FALSE))</f>
        <v>PONTALETE DE MADEIRA NAO APARELHADA *7,5 X 7,5* CM (3 X 3 ") PINUS, MISTA OU EQUIVALENTE DA REGIAO</v>
      </c>
      <c r="E3154" s="126" t="str">
        <f>IF(A3154="COMPOSIÇÃO",VLOOKUP(C3154,'SINAPI_COMPOSIÇÕES 062020'!A:C,3,FALSE),VLOOKUP(C3154,'SINAPI_INSUMOS 062020'!A:C,3,FALSE))</f>
        <v xml:space="preserve">M     </v>
      </c>
      <c r="F3154" s="74">
        <v>4</v>
      </c>
      <c r="G3154" s="128">
        <f>IF(A3154="COMPOSIÇÃO",VLOOKUP(C3154,'SINAPI_COMPOSIÇÕES 062020'!A:D,4,FALSE),VLOOKUP(C3154,'SINAPI_INSUMOS 062020'!A:D,4,FALSE))</f>
        <v>5.58</v>
      </c>
      <c r="H3154" s="75">
        <f t="shared" si="249"/>
        <v>22.32</v>
      </c>
    </row>
    <row r="3155" spans="1:8" ht="38.25" x14ac:dyDescent="0.25">
      <c r="A3155" s="125" t="s">
        <v>400</v>
      </c>
      <c r="B3155" s="115" t="s">
        <v>9</v>
      </c>
      <c r="C3155" s="115">
        <v>4813</v>
      </c>
      <c r="D3155" s="127" t="str">
        <f>IF(A3155="COMPOSIÇÃO",VLOOKUP(C3155,'SINAPI_COMPOSIÇÕES 062020'!A:B,2,FALSE),VLOOKUP(C3155,'SINAPI_INSUMOS 062020'!A:B,2,FALSE))</f>
        <v>PLACA DE OBRA (PARA CONSTRUCAO CIVIL) EM CHAPA GALVANIZADA *N. 22*, ADESIVADA, DE *2,0 X 1,125* M</v>
      </c>
      <c r="E3155" s="126" t="str">
        <f>IF(A3155="COMPOSIÇÃO",VLOOKUP(C3155,'SINAPI_COMPOSIÇÕES 062020'!A:C,3,FALSE),VLOOKUP(C3155,'SINAPI_INSUMOS 062020'!A:C,3,FALSE))</f>
        <v xml:space="preserve">M2    </v>
      </c>
      <c r="F3155" s="74">
        <v>1</v>
      </c>
      <c r="G3155" s="128">
        <f>IF(A3155="COMPOSIÇÃO",VLOOKUP(C3155,'SINAPI_COMPOSIÇÕES 062020'!A:D,4,FALSE),VLOOKUP(C3155,'SINAPI_INSUMOS 062020'!A:D,4,FALSE))</f>
        <v>300</v>
      </c>
      <c r="H3155" s="75">
        <f t="shared" si="249"/>
        <v>300</v>
      </c>
    </row>
    <row r="3156" spans="1:8" ht="25.5" x14ac:dyDescent="0.25">
      <c r="A3156" s="125" t="s">
        <v>400</v>
      </c>
      <c r="B3156" s="115" t="s">
        <v>9</v>
      </c>
      <c r="C3156" s="115">
        <v>5075</v>
      </c>
      <c r="D3156" s="127" t="str">
        <f>IF(A3156="COMPOSIÇÃO",VLOOKUP(C3156,'SINAPI_COMPOSIÇÕES 062020'!A:B,2,FALSE),VLOOKUP(C3156,'SINAPI_INSUMOS 062020'!A:B,2,FALSE))</f>
        <v>PREGO DE ACO POLIDO COM CABECA 18 X 30 (2 3/4 X 10)</v>
      </c>
      <c r="E3156" s="126" t="str">
        <f>IF(A3156="COMPOSIÇÃO",VLOOKUP(C3156,'SINAPI_COMPOSIÇÕES 062020'!A:C,3,FALSE),VLOOKUP(C3156,'SINAPI_INSUMOS 062020'!A:C,3,FALSE))</f>
        <v xml:space="preserve">KG    </v>
      </c>
      <c r="F3156" s="74">
        <v>0.11</v>
      </c>
      <c r="G3156" s="128">
        <f>IF(A3156="COMPOSIÇÃO",VLOOKUP(C3156,'SINAPI_COMPOSIÇÕES 062020'!A:D,4,FALSE),VLOOKUP(C3156,'SINAPI_INSUMOS 062020'!A:D,4,FALSE))</f>
        <v>11.18</v>
      </c>
      <c r="H3156" s="75">
        <f t="shared" si="249"/>
        <v>1.22</v>
      </c>
    </row>
    <row r="3157" spans="1:8" ht="13.5" thickBot="1" x14ac:dyDescent="0.3">
      <c r="A3157" s="267" t="str">
        <f>CONCATENATE("TOTAL DO ÍTEM - ",A3146)</f>
        <v>TOTAL DO ÍTEM - MPMT-02585</v>
      </c>
      <c r="B3157" s="268"/>
      <c r="C3157" s="268"/>
      <c r="D3157" s="268"/>
      <c r="E3157" s="268"/>
      <c r="F3157" s="268"/>
      <c r="G3157" s="269"/>
      <c r="H3157" s="188">
        <f>TRUNC(SUM(H3150:H3156),2)</f>
        <v>375.49</v>
      </c>
    </row>
    <row r="3158" spans="1:8" ht="13.5" thickBot="1" x14ac:dyDescent="0.3">
      <c r="A3158" s="270" t="s">
        <v>12997</v>
      </c>
      <c r="B3158" s="271"/>
      <c r="C3158" s="271"/>
      <c r="D3158" s="271"/>
      <c r="E3158" s="271"/>
      <c r="F3158" s="271"/>
      <c r="G3158" s="271"/>
      <c r="H3158" s="272"/>
    </row>
    <row r="3159" spans="1:8" ht="13.5" thickBot="1" x14ac:dyDescent="0.3"/>
    <row r="3160" spans="1:8" ht="25.5" x14ac:dyDescent="0.25">
      <c r="A3160" s="120" t="s">
        <v>90</v>
      </c>
      <c r="B3160" s="286" t="s">
        <v>91</v>
      </c>
      <c r="C3160" s="287"/>
      <c r="D3160" s="287"/>
      <c r="E3160" s="287"/>
      <c r="F3160" s="287"/>
      <c r="G3160" s="288"/>
      <c r="H3160" s="121" t="s">
        <v>4</v>
      </c>
    </row>
    <row r="3161" spans="1:8" ht="13.5" thickBot="1" x14ac:dyDescent="0.3">
      <c r="A3161" s="113" t="s">
        <v>12998</v>
      </c>
      <c r="B3161" s="289" t="s">
        <v>12999</v>
      </c>
      <c r="C3161" s="290"/>
      <c r="D3161" s="290"/>
      <c r="E3161" s="290"/>
      <c r="F3161" s="290"/>
      <c r="G3161" s="291"/>
      <c r="H3161" s="114" t="s">
        <v>4</v>
      </c>
    </row>
    <row r="3162" spans="1:8" x14ac:dyDescent="0.25">
      <c r="A3162" s="273" t="s">
        <v>13834</v>
      </c>
      <c r="B3162" s="275" t="s">
        <v>92</v>
      </c>
      <c r="C3162" s="276"/>
      <c r="D3162" s="185" t="s">
        <v>13000</v>
      </c>
      <c r="E3162" s="239" t="s">
        <v>93</v>
      </c>
      <c r="F3162" s="186">
        <v>0</v>
      </c>
      <c r="G3162" s="277" t="s">
        <v>94</v>
      </c>
      <c r="H3162" s="278"/>
    </row>
    <row r="3163" spans="1:8" x14ac:dyDescent="0.25">
      <c r="A3163" s="274"/>
      <c r="B3163" s="281" t="s">
        <v>95</v>
      </c>
      <c r="C3163" s="282"/>
      <c r="D3163" s="187">
        <v>42983</v>
      </c>
      <c r="E3163" s="240" t="s">
        <v>96</v>
      </c>
      <c r="F3163" s="230">
        <v>42983</v>
      </c>
      <c r="G3163" s="279"/>
      <c r="H3163" s="280"/>
    </row>
    <row r="3164" spans="1:8" x14ac:dyDescent="0.25">
      <c r="A3164" s="122" t="s">
        <v>11885</v>
      </c>
      <c r="B3164" s="123" t="s">
        <v>97</v>
      </c>
      <c r="C3164" s="123" t="s">
        <v>98</v>
      </c>
      <c r="D3164" s="123" t="s">
        <v>3</v>
      </c>
      <c r="E3164" s="123" t="s">
        <v>4</v>
      </c>
      <c r="F3164" s="123" t="s">
        <v>99</v>
      </c>
      <c r="G3164" s="123" t="s">
        <v>100</v>
      </c>
      <c r="H3164" s="124" t="s">
        <v>101</v>
      </c>
    </row>
    <row r="3165" spans="1:8" ht="25.5" x14ac:dyDescent="0.25">
      <c r="A3165" s="125" t="s">
        <v>398</v>
      </c>
      <c r="B3165" s="115" t="s">
        <v>9</v>
      </c>
      <c r="C3165" s="115">
        <v>88264</v>
      </c>
      <c r="D3165" s="127" t="str">
        <f>IF(A3165="COMPOSIÇÃO",VLOOKUP(C3165,'SINAPI_COMPOSIÇÕES 062020'!A:B,2,FALSE),VLOOKUP(C3165,'SINAPI_INSUMOS 062020'!A:B,2,FALSE))</f>
        <v>ELETRICISTA COM ENCARGOS COMPLEMENTARES</v>
      </c>
      <c r="E3165" s="126" t="str">
        <f>IF(A3165="COMPOSIÇÃO",VLOOKUP(C3165,'SINAPI_COMPOSIÇÕES 062020'!A:C,3,FALSE),VLOOKUP(C3165,'SINAPI_INSUMOS 062020'!A:C,3,FALSE))</f>
        <v>H</v>
      </c>
      <c r="F3165" s="237">
        <v>8</v>
      </c>
      <c r="G3165" s="128">
        <f>IF(A3165="COMPOSIÇÃO",VLOOKUP(C3165,'SINAPI_COMPOSIÇÕES 062020'!A:D,4,FALSE),VLOOKUP(C3165,'SINAPI_INSUMOS 062020'!A:D,4,FALSE))</f>
        <v>18.38</v>
      </c>
      <c r="H3165" s="75">
        <f t="shared" ref="H3165:H3183" si="250">TRUNC(G3165*F3165,2)</f>
        <v>147.04</v>
      </c>
    </row>
    <row r="3166" spans="1:8" ht="25.5" x14ac:dyDescent="0.25">
      <c r="A3166" s="125" t="s">
        <v>398</v>
      </c>
      <c r="B3166" s="115" t="s">
        <v>9</v>
      </c>
      <c r="C3166" s="115">
        <v>88316</v>
      </c>
      <c r="D3166" s="127" t="str">
        <f>IF(A3166="COMPOSIÇÃO",VLOOKUP(C3166,'SINAPI_COMPOSIÇÕES 062020'!A:B,2,FALSE),VLOOKUP(C3166,'SINAPI_INSUMOS 062020'!A:B,2,FALSE))</f>
        <v>SERVENTE COM ENCARGOS COMPLEMENTARES</v>
      </c>
      <c r="E3166" s="126" t="str">
        <f>IF(A3166="COMPOSIÇÃO",VLOOKUP(C3166,'SINAPI_COMPOSIÇÕES 062020'!A:C,3,FALSE),VLOOKUP(C3166,'SINAPI_INSUMOS 062020'!A:C,3,FALSE))</f>
        <v>H</v>
      </c>
      <c r="F3166" s="237">
        <v>8</v>
      </c>
      <c r="G3166" s="128">
        <f>IF(A3166="COMPOSIÇÃO",VLOOKUP(C3166,'SINAPI_COMPOSIÇÕES 062020'!A:D,4,FALSE),VLOOKUP(C3166,'SINAPI_INSUMOS 062020'!A:D,4,FALSE))</f>
        <v>14.37</v>
      </c>
      <c r="H3166" s="75">
        <f t="shared" si="250"/>
        <v>114.96</v>
      </c>
    </row>
    <row r="3167" spans="1:8" ht="25.5" x14ac:dyDescent="0.25">
      <c r="A3167" s="125" t="s">
        <v>400</v>
      </c>
      <c r="B3167" s="115" t="s">
        <v>9</v>
      </c>
      <c r="C3167" s="115">
        <v>406</v>
      </c>
      <c r="D3167" s="127" t="str">
        <f>IF(A3167="COMPOSIÇÃO",VLOOKUP(C3167,'SINAPI_COMPOSIÇÕES 062020'!A:B,2,FALSE),VLOOKUP(C3167,'SINAPI_INSUMOS 062020'!A:B,2,FALSE))</f>
        <v>FITA ACO INOX PARA CINTAR POSTE, L = 19 MM, E = 0,5 MM (ROLO DE 30M)</v>
      </c>
      <c r="E3167" s="126" t="str">
        <f>IF(A3167="COMPOSIÇÃO",VLOOKUP(C3167,'SINAPI_COMPOSIÇÕES 062020'!A:C,3,FALSE),VLOOKUP(C3167,'SINAPI_INSUMOS 062020'!A:C,3,FALSE))</f>
        <v xml:space="preserve">UN    </v>
      </c>
      <c r="F3167" s="237">
        <v>0.13333</v>
      </c>
      <c r="G3167" s="128">
        <f>IF(A3167="COMPOSIÇÃO",VLOOKUP(C3167,'SINAPI_COMPOSIÇÕES 062020'!A:D,4,FALSE),VLOOKUP(C3167,'SINAPI_INSUMOS 062020'!A:D,4,FALSE))</f>
        <v>63.08</v>
      </c>
      <c r="H3167" s="75">
        <f t="shared" si="250"/>
        <v>8.41</v>
      </c>
    </row>
    <row r="3168" spans="1:8" ht="51" x14ac:dyDescent="0.25">
      <c r="A3168" s="125" t="s">
        <v>400</v>
      </c>
      <c r="B3168" s="115" t="s">
        <v>9</v>
      </c>
      <c r="C3168" s="115">
        <v>420</v>
      </c>
      <c r="D3168" s="127" t="str">
        <f>IF(A3168="COMPOSIÇÃO",VLOOKUP(C3168,'SINAPI_COMPOSIÇÕES 062020'!A:B,2,FALSE),VLOOKUP(C3168,'SINAPI_INSUMOS 062020'!A:B,2,FALSE))</f>
        <v>CINTA CIRCULAR EM ACO GALVANIZADO DE 150 MM DE DIAMETRO PARA FIXACAO DE CAIXA MEDICAO, INCLUI PARAFUSOS E PORCAS</v>
      </c>
      <c r="E3168" s="126" t="str">
        <f>IF(A3168="COMPOSIÇÃO",VLOOKUP(C3168,'SINAPI_COMPOSIÇÕES 062020'!A:C,3,FALSE),VLOOKUP(C3168,'SINAPI_INSUMOS 062020'!A:C,3,FALSE))</f>
        <v xml:space="preserve">UN    </v>
      </c>
      <c r="F3168" s="237">
        <v>2</v>
      </c>
      <c r="G3168" s="128">
        <f>IF(A3168="COMPOSIÇÃO",VLOOKUP(C3168,'SINAPI_COMPOSIÇÕES 062020'!A:D,4,FALSE),VLOOKUP(C3168,'SINAPI_INSUMOS 062020'!A:D,4,FALSE))</f>
        <v>20.309999999999999</v>
      </c>
      <c r="H3168" s="75">
        <f t="shared" si="250"/>
        <v>40.619999999999997</v>
      </c>
    </row>
    <row r="3169" spans="1:8" x14ac:dyDescent="0.25">
      <c r="A3169" s="125" t="s">
        <v>400</v>
      </c>
      <c r="B3169" s="115" t="s">
        <v>9</v>
      </c>
      <c r="C3169" s="115">
        <v>863</v>
      </c>
      <c r="D3169" s="127" t="str">
        <f>IF(A3169="COMPOSIÇÃO",VLOOKUP(C3169,'SINAPI_COMPOSIÇÕES 062020'!A:B,2,FALSE),VLOOKUP(C3169,'SINAPI_INSUMOS 062020'!A:B,2,FALSE))</f>
        <v>CABO DE COBRE NU 35 MM2 MEIO-DURO</v>
      </c>
      <c r="E3169" s="126" t="str">
        <f>IF(A3169="COMPOSIÇÃO",VLOOKUP(C3169,'SINAPI_COMPOSIÇÕES 062020'!A:C,3,FALSE),VLOOKUP(C3169,'SINAPI_INSUMOS 062020'!A:C,3,FALSE))</f>
        <v xml:space="preserve">M     </v>
      </c>
      <c r="F3169" s="237">
        <v>3</v>
      </c>
      <c r="G3169" s="128">
        <f>IF(A3169="COMPOSIÇÃO",VLOOKUP(C3169,'SINAPI_COMPOSIÇÕES 062020'!A:D,4,FALSE),VLOOKUP(C3169,'SINAPI_INSUMOS 062020'!A:D,4,FALSE))</f>
        <v>19.61</v>
      </c>
      <c r="H3169" s="75">
        <f t="shared" si="250"/>
        <v>58.83</v>
      </c>
    </row>
    <row r="3170" spans="1:8" ht="38.25" x14ac:dyDescent="0.25">
      <c r="A3170" s="125" t="s">
        <v>400</v>
      </c>
      <c r="B3170" s="115" t="s">
        <v>9</v>
      </c>
      <c r="C3170" s="115">
        <v>937</v>
      </c>
      <c r="D3170" s="127" t="str">
        <f>IF(A3170="COMPOSIÇÃO",VLOOKUP(C3170,'SINAPI_COMPOSIÇÕES 062020'!A:B,2,FALSE),VLOOKUP(C3170,'SINAPI_INSUMOS 062020'!A:B,2,FALSE))</f>
        <v>FIO DE COBRE, SOLIDO, CLASSE 1, ISOLACAO EM PVC/A, ANTICHAMA BWF-B, 450/750V, SECAO NOMINAL 10 MM2</v>
      </c>
      <c r="E3170" s="126" t="str">
        <f>IF(A3170="COMPOSIÇÃO",VLOOKUP(C3170,'SINAPI_COMPOSIÇÕES 062020'!A:C,3,FALSE),VLOOKUP(C3170,'SINAPI_INSUMOS 062020'!A:C,3,FALSE))</f>
        <v xml:space="preserve">M     </v>
      </c>
      <c r="F3170" s="237">
        <v>27</v>
      </c>
      <c r="G3170" s="128">
        <f>IF(A3170="COMPOSIÇÃO",VLOOKUP(C3170,'SINAPI_COMPOSIÇÕES 062020'!A:D,4,FALSE),VLOOKUP(C3170,'SINAPI_INSUMOS 062020'!A:D,4,FALSE))</f>
        <v>5.64</v>
      </c>
      <c r="H3170" s="75">
        <f t="shared" si="250"/>
        <v>152.28</v>
      </c>
    </row>
    <row r="3171" spans="1:8" ht="51" x14ac:dyDescent="0.25">
      <c r="A3171" s="125" t="s">
        <v>400</v>
      </c>
      <c r="B3171" s="115" t="s">
        <v>9</v>
      </c>
      <c r="C3171" s="115">
        <v>1062</v>
      </c>
      <c r="D3171" s="127" t="str">
        <f>IF(A3171="COMPOSIÇÃO",VLOOKUP(C3171,'SINAPI_COMPOSIÇÕES 062020'!A:B,2,FALSE),VLOOKUP(C3171,'SINAPI_INSUMOS 062020'!A:B,2,FALSE))</f>
        <v>CAIXA INTERNA/EXTERNA DE MEDICAO PARA 1 MEDIDOR TRIFASICO, COM VISOR, EM CHAPA DE ACO 18 USG (PADRAO DA CONCESSIONARIA LOCAL)</v>
      </c>
      <c r="E3171" s="126" t="str">
        <f>IF(A3171="COMPOSIÇÃO",VLOOKUP(C3171,'SINAPI_COMPOSIÇÕES 062020'!A:C,3,FALSE),VLOOKUP(C3171,'SINAPI_INSUMOS 062020'!A:C,3,FALSE))</f>
        <v xml:space="preserve">UN    </v>
      </c>
      <c r="F3171" s="237">
        <v>1</v>
      </c>
      <c r="G3171" s="128">
        <f>IF(A3171="COMPOSIÇÃO",VLOOKUP(C3171,'SINAPI_COMPOSIÇÕES 062020'!A:D,4,FALSE),VLOOKUP(C3171,'SINAPI_INSUMOS 062020'!A:D,4,FALSE))</f>
        <v>215</v>
      </c>
      <c r="H3171" s="75">
        <f t="shared" si="250"/>
        <v>215</v>
      </c>
    </row>
    <row r="3172" spans="1:8" ht="38.25" x14ac:dyDescent="0.25">
      <c r="A3172" s="125" t="s">
        <v>400</v>
      </c>
      <c r="B3172" s="115" t="s">
        <v>9</v>
      </c>
      <c r="C3172" s="115">
        <v>1096</v>
      </c>
      <c r="D3172" s="127" t="str">
        <f>IF(A3172="COMPOSIÇÃO",VLOOKUP(C3172,'SINAPI_COMPOSIÇÕES 062020'!A:B,2,FALSE),VLOOKUP(C3172,'SINAPI_INSUMOS 062020'!A:B,2,FALSE))</f>
        <v>ARMACAO VERTICAL COM HASTE E CONTRA-PINO, EM CHAPA DE ACO GALVANIZADO 3/16", COM 4 ESTRIBOS E 4 ISOLADORES</v>
      </c>
      <c r="E3172" s="126" t="str">
        <f>IF(A3172="COMPOSIÇÃO",VLOOKUP(C3172,'SINAPI_COMPOSIÇÕES 062020'!A:C,3,FALSE),VLOOKUP(C3172,'SINAPI_INSUMOS 062020'!A:C,3,FALSE))</f>
        <v xml:space="preserve">UN    </v>
      </c>
      <c r="F3172" s="237">
        <v>2</v>
      </c>
      <c r="G3172" s="128">
        <f>IF(A3172="COMPOSIÇÃO",VLOOKUP(C3172,'SINAPI_COMPOSIÇÕES 062020'!A:D,4,FALSE),VLOOKUP(C3172,'SINAPI_INSUMOS 062020'!A:D,4,FALSE))</f>
        <v>67.400000000000006</v>
      </c>
      <c r="H3172" s="75">
        <f t="shared" si="250"/>
        <v>134.80000000000001</v>
      </c>
    </row>
    <row r="3173" spans="1:8" ht="38.25" x14ac:dyDescent="0.25">
      <c r="A3173" s="125" t="s">
        <v>400</v>
      </c>
      <c r="B3173" s="115" t="s">
        <v>9</v>
      </c>
      <c r="C3173" s="115">
        <v>1539</v>
      </c>
      <c r="D3173" s="127" t="str">
        <f>IF(A3173="COMPOSIÇÃO",VLOOKUP(C3173,'SINAPI_COMPOSIÇÕES 062020'!A:B,2,FALSE),VLOOKUP(C3173,'SINAPI_INSUMOS 062020'!A:B,2,FALSE))</f>
        <v>CONECTOR METALICO TIPO PARAFUSO FENDIDO (SPLIT BOLT), PARA CABOS ATE 16 MM2</v>
      </c>
      <c r="E3173" s="126" t="str">
        <f>IF(A3173="COMPOSIÇÃO",VLOOKUP(C3173,'SINAPI_COMPOSIÇÕES 062020'!A:C,3,FALSE),VLOOKUP(C3173,'SINAPI_INSUMOS 062020'!A:C,3,FALSE))</f>
        <v xml:space="preserve">UN    </v>
      </c>
      <c r="F3173" s="237">
        <v>8</v>
      </c>
      <c r="G3173" s="128">
        <f>IF(A3173="COMPOSIÇÃO",VLOOKUP(C3173,'SINAPI_COMPOSIÇÕES 062020'!A:D,4,FALSE),VLOOKUP(C3173,'SINAPI_INSUMOS 062020'!A:D,4,FALSE))</f>
        <v>5.38</v>
      </c>
      <c r="H3173" s="75">
        <f t="shared" si="250"/>
        <v>43.04</v>
      </c>
    </row>
    <row r="3174" spans="1:8" ht="25.5" x14ac:dyDescent="0.25">
      <c r="A3174" s="125" t="s">
        <v>400</v>
      </c>
      <c r="B3174" s="115" t="s">
        <v>9</v>
      </c>
      <c r="C3174" s="115">
        <v>1892</v>
      </c>
      <c r="D3174" s="127" t="str">
        <f>IF(A3174="COMPOSIÇÃO",VLOOKUP(C3174,'SINAPI_COMPOSIÇÕES 062020'!A:B,2,FALSE),VLOOKUP(C3174,'SINAPI_INSUMOS 062020'!A:B,2,FALSE))</f>
        <v>LUVA EM PVC RIGIDO ROSCAVEL, DE 1", PARA ELETRODUTO</v>
      </c>
      <c r="E3174" s="126" t="str">
        <f>IF(A3174="COMPOSIÇÃO",VLOOKUP(C3174,'SINAPI_COMPOSIÇÕES 062020'!A:C,3,FALSE),VLOOKUP(C3174,'SINAPI_INSUMOS 062020'!A:C,3,FALSE))</f>
        <v xml:space="preserve">UN    </v>
      </c>
      <c r="F3174" s="237">
        <v>4</v>
      </c>
      <c r="G3174" s="128">
        <f>IF(A3174="COMPOSIÇÃO",VLOOKUP(C3174,'SINAPI_COMPOSIÇÕES 062020'!A:D,4,FALSE),VLOOKUP(C3174,'SINAPI_INSUMOS 062020'!A:D,4,FALSE))</f>
        <v>1.1599999999999999</v>
      </c>
      <c r="H3174" s="75">
        <f t="shared" si="250"/>
        <v>4.6399999999999997</v>
      </c>
    </row>
    <row r="3175" spans="1:8" ht="25.5" x14ac:dyDescent="0.25">
      <c r="A3175" s="125" t="s">
        <v>400</v>
      </c>
      <c r="B3175" s="115" t="s">
        <v>9</v>
      </c>
      <c r="C3175" s="115">
        <v>2373</v>
      </c>
      <c r="D3175" s="127" t="str">
        <f>IF(A3175="COMPOSIÇÃO",VLOOKUP(C3175,'SINAPI_COMPOSIÇÕES 062020'!A:B,2,FALSE),VLOOKUP(C3175,'SINAPI_INSUMOS 062020'!A:B,2,FALSE))</f>
        <v>DISJUNTOR TIPO NEMA, TRIPOLAR 60 ATE 100 A, TENSAO MAXIMA DE 415 V</v>
      </c>
      <c r="E3175" s="126" t="str">
        <f>IF(A3175="COMPOSIÇÃO",VLOOKUP(C3175,'SINAPI_COMPOSIÇÕES 062020'!A:C,3,FALSE),VLOOKUP(C3175,'SINAPI_INSUMOS 062020'!A:C,3,FALSE))</f>
        <v xml:space="preserve">UN    </v>
      </c>
      <c r="F3175" s="237">
        <v>1</v>
      </c>
      <c r="G3175" s="128">
        <f>IF(A3175="COMPOSIÇÃO",VLOOKUP(C3175,'SINAPI_COMPOSIÇÕES 062020'!A:D,4,FALSE),VLOOKUP(C3175,'SINAPI_INSUMOS 062020'!A:D,4,FALSE))</f>
        <v>96.09</v>
      </c>
      <c r="H3175" s="75">
        <f t="shared" si="250"/>
        <v>96.09</v>
      </c>
    </row>
    <row r="3176" spans="1:8" ht="25.5" x14ac:dyDescent="0.25">
      <c r="A3176" s="125" t="s">
        <v>400</v>
      </c>
      <c r="B3176" s="115" t="s">
        <v>9</v>
      </c>
      <c r="C3176" s="115">
        <v>2685</v>
      </c>
      <c r="D3176" s="127" t="str">
        <f>IF(A3176="COMPOSIÇÃO",VLOOKUP(C3176,'SINAPI_COMPOSIÇÕES 062020'!A:B,2,FALSE),VLOOKUP(C3176,'SINAPI_INSUMOS 062020'!A:B,2,FALSE))</f>
        <v>ELETRODUTO DE PVC RIGIDO ROSCAVEL DE 1 ", SEM LUVA</v>
      </c>
      <c r="E3176" s="126" t="str">
        <f>IF(A3176="COMPOSIÇÃO",VLOOKUP(C3176,'SINAPI_COMPOSIÇÕES 062020'!A:C,3,FALSE),VLOOKUP(C3176,'SINAPI_INSUMOS 062020'!A:C,3,FALSE))</f>
        <v xml:space="preserve">M     </v>
      </c>
      <c r="F3176" s="237">
        <v>8</v>
      </c>
      <c r="G3176" s="128">
        <f>IF(A3176="COMPOSIÇÃO",VLOOKUP(C3176,'SINAPI_COMPOSIÇÕES 062020'!A:D,4,FALSE),VLOOKUP(C3176,'SINAPI_INSUMOS 062020'!A:D,4,FALSE))</f>
        <v>4.18</v>
      </c>
      <c r="H3176" s="75">
        <f t="shared" si="250"/>
        <v>33.44</v>
      </c>
    </row>
    <row r="3177" spans="1:8" ht="38.25" x14ac:dyDescent="0.25">
      <c r="A3177" s="125" t="s">
        <v>400</v>
      </c>
      <c r="B3177" s="115" t="s">
        <v>9</v>
      </c>
      <c r="C3177" s="115">
        <v>2731</v>
      </c>
      <c r="D3177" s="127" t="str">
        <f>IF(A3177="COMPOSIÇÃO",VLOOKUP(C3177,'SINAPI_COMPOSIÇÕES 062020'!A:B,2,FALSE),VLOOKUP(C3177,'SINAPI_INSUMOS 062020'!A:B,2,FALSE))</f>
        <v>MADEIRA ROLICA TRATADA, EUCALIPTO OU EQUIVALENTE DA REGIAO, H = 12 M, D = 20 A 24 CM (PARA POSTE)</v>
      </c>
      <c r="E3177" s="126" t="str">
        <f>IF(A3177="COMPOSIÇÃO",VLOOKUP(C3177,'SINAPI_COMPOSIÇÕES 062020'!A:C,3,FALSE),VLOOKUP(C3177,'SINAPI_INSUMOS 062020'!A:C,3,FALSE))</f>
        <v xml:space="preserve">M     </v>
      </c>
      <c r="F3177" s="237">
        <v>7.96</v>
      </c>
      <c r="G3177" s="128">
        <f>IF(A3177="COMPOSIÇÃO",VLOOKUP(C3177,'SINAPI_COMPOSIÇÕES 062020'!A:D,4,FALSE),VLOOKUP(C3177,'SINAPI_INSUMOS 062020'!A:D,4,FALSE))</f>
        <v>56.59</v>
      </c>
      <c r="H3177" s="75">
        <f t="shared" si="250"/>
        <v>450.45</v>
      </c>
    </row>
    <row r="3178" spans="1:8" ht="51" x14ac:dyDescent="0.25">
      <c r="A3178" s="125" t="s">
        <v>400</v>
      </c>
      <c r="B3178" s="115" t="s">
        <v>9</v>
      </c>
      <c r="C3178" s="115">
        <v>3379</v>
      </c>
      <c r="D3178" s="127" t="str">
        <f>IF(A3178="COMPOSIÇÃO",VLOOKUP(C3178,'SINAPI_COMPOSIÇÕES 062020'!A:B,2,FALSE),VLOOKUP(C3178,'SINAPI_INSUMOS 062020'!A:B,2,FALSE))</f>
        <v>!EM PROCESSO DE DESATIVACAO! HASTE DE ATERRAMENTO EM ACO COM 3,00 M DE COMPRIMENTO E DN = 5/8", REVESTIDA COM BAIXA CAMADA DE COBRE, SEM CONECTOR</v>
      </c>
      <c r="E3178" s="126" t="str">
        <f>IF(A3178="COMPOSIÇÃO",VLOOKUP(C3178,'SINAPI_COMPOSIÇÕES 062020'!A:C,3,FALSE),VLOOKUP(C3178,'SINAPI_INSUMOS 062020'!A:C,3,FALSE))</f>
        <v xml:space="preserve">UN    </v>
      </c>
      <c r="F3178" s="237">
        <v>1</v>
      </c>
      <c r="G3178" s="128">
        <f>IF(A3178="COMPOSIÇÃO",VLOOKUP(C3178,'SINAPI_COMPOSIÇÕES 062020'!A:D,4,FALSE),VLOOKUP(C3178,'SINAPI_INSUMOS 062020'!A:D,4,FALSE))</f>
        <v>35.79</v>
      </c>
      <c r="H3178" s="75">
        <f t="shared" si="250"/>
        <v>35.79</v>
      </c>
    </row>
    <row r="3179" spans="1:8" ht="51" x14ac:dyDescent="0.25">
      <c r="A3179" s="125" t="s">
        <v>400</v>
      </c>
      <c r="B3179" s="115" t="s">
        <v>9</v>
      </c>
      <c r="C3179" s="115">
        <v>4346</v>
      </c>
      <c r="D3179" s="127" t="str">
        <f>IF(A3179="COMPOSIÇÃO",VLOOKUP(C3179,'SINAPI_COMPOSIÇÕES 062020'!A:B,2,FALSE),VLOOKUP(C3179,'SINAPI_INSUMOS 062020'!A:B,2,FALSE))</f>
        <v>PARAFUSO DE FERRO POLIDO, SEXTAVADO, COM ROSCA PARCIAL, DIAMETRO 5/8", COMPRIMENTO 6", COM PORCA E ARRUELA DE PRESSAO MEDIA</v>
      </c>
      <c r="E3179" s="126" t="str">
        <f>IF(A3179="COMPOSIÇÃO",VLOOKUP(C3179,'SINAPI_COMPOSIÇÕES 062020'!A:C,3,FALSE),VLOOKUP(C3179,'SINAPI_INSUMOS 062020'!A:C,3,FALSE))</f>
        <v xml:space="preserve">UN    </v>
      </c>
      <c r="F3179" s="237">
        <v>2</v>
      </c>
      <c r="G3179" s="128">
        <f>IF(A3179="COMPOSIÇÃO",VLOOKUP(C3179,'SINAPI_COMPOSIÇÕES 062020'!A:D,4,FALSE),VLOOKUP(C3179,'SINAPI_INSUMOS 062020'!A:D,4,FALSE))</f>
        <v>7.03</v>
      </c>
      <c r="H3179" s="75">
        <f t="shared" si="250"/>
        <v>14.06</v>
      </c>
    </row>
    <row r="3180" spans="1:8" ht="38.25" x14ac:dyDescent="0.25">
      <c r="A3180" s="125" t="s">
        <v>400</v>
      </c>
      <c r="B3180" s="115" t="s">
        <v>9</v>
      </c>
      <c r="C3180" s="115">
        <v>11267</v>
      </c>
      <c r="D3180" s="127" t="str">
        <f>IF(A3180="COMPOSIÇÃO",VLOOKUP(C3180,'SINAPI_COMPOSIÇÕES 062020'!A:B,2,FALSE),VLOOKUP(C3180,'SINAPI_INSUMOS 062020'!A:B,2,FALSE))</f>
        <v>ARRUELA REDONDA DE LATAO, DIAMETRO EXTERNO = 34 MM, ESPESSURA = 2,5 MM, DIAMETRO DO FURO = 17 MM</v>
      </c>
      <c r="E3180" s="126" t="str">
        <f>IF(A3180="COMPOSIÇÃO",VLOOKUP(C3180,'SINAPI_COMPOSIÇÕES 062020'!A:C,3,FALSE),VLOOKUP(C3180,'SINAPI_INSUMOS 062020'!A:C,3,FALSE))</f>
        <v xml:space="preserve">UN    </v>
      </c>
      <c r="F3180" s="237">
        <v>2</v>
      </c>
      <c r="G3180" s="128">
        <f>IF(A3180="COMPOSIÇÃO",VLOOKUP(C3180,'SINAPI_COMPOSIÇÕES 062020'!A:D,4,FALSE),VLOOKUP(C3180,'SINAPI_INSUMOS 062020'!A:D,4,FALSE))</f>
        <v>5.69</v>
      </c>
      <c r="H3180" s="75">
        <f t="shared" si="250"/>
        <v>11.38</v>
      </c>
    </row>
    <row r="3181" spans="1:8" ht="25.5" x14ac:dyDescent="0.25">
      <c r="A3181" s="125" t="s">
        <v>400</v>
      </c>
      <c r="B3181" s="115" t="s">
        <v>9</v>
      </c>
      <c r="C3181" s="115">
        <v>12034</v>
      </c>
      <c r="D3181" s="127" t="str">
        <f>IF(A3181="COMPOSIÇÃO",VLOOKUP(C3181,'SINAPI_COMPOSIÇÕES 062020'!A:B,2,FALSE),VLOOKUP(C3181,'SINAPI_INSUMOS 062020'!A:B,2,FALSE))</f>
        <v>CURVA 180 GRAUS, DE PVC RIGIDO ROSCAVEL, DE 3/4", PARA ELETRODUTO</v>
      </c>
      <c r="E3181" s="126" t="str">
        <f>IF(A3181="COMPOSIÇÃO",VLOOKUP(C3181,'SINAPI_COMPOSIÇÕES 062020'!A:C,3,FALSE),VLOOKUP(C3181,'SINAPI_INSUMOS 062020'!A:C,3,FALSE))</f>
        <v xml:space="preserve">UN    </v>
      </c>
      <c r="F3181" s="237">
        <v>2</v>
      </c>
      <c r="G3181" s="128">
        <f>IF(A3181="COMPOSIÇÃO",VLOOKUP(C3181,'SINAPI_COMPOSIÇÕES 062020'!A:D,4,FALSE),VLOOKUP(C3181,'SINAPI_INSUMOS 062020'!A:D,4,FALSE))</f>
        <v>3.28</v>
      </c>
      <c r="H3181" s="75">
        <f t="shared" si="250"/>
        <v>6.56</v>
      </c>
    </row>
    <row r="3182" spans="1:8" ht="25.5" x14ac:dyDescent="0.25">
      <c r="A3182" s="125" t="s">
        <v>400</v>
      </c>
      <c r="B3182" s="115" t="s">
        <v>9</v>
      </c>
      <c r="C3182" s="115">
        <v>39176</v>
      </c>
      <c r="D3182" s="127" t="str">
        <f>IF(A3182="COMPOSIÇÃO",VLOOKUP(C3182,'SINAPI_COMPOSIÇÕES 062020'!A:B,2,FALSE),VLOOKUP(C3182,'SINAPI_INSUMOS 062020'!A:B,2,FALSE))</f>
        <v>BUCHA EM ALUMINIO, COM ROSCA, DE 1", PARA ELETRODUTO</v>
      </c>
      <c r="E3182" s="126" t="str">
        <f>IF(A3182="COMPOSIÇÃO",VLOOKUP(C3182,'SINAPI_COMPOSIÇÕES 062020'!A:C,3,FALSE),VLOOKUP(C3182,'SINAPI_INSUMOS 062020'!A:C,3,FALSE))</f>
        <v xml:space="preserve">UN    </v>
      </c>
      <c r="F3182" s="237">
        <v>2</v>
      </c>
      <c r="G3182" s="128">
        <f>IF(A3182="COMPOSIÇÃO",VLOOKUP(C3182,'SINAPI_COMPOSIÇÕES 062020'!A:D,4,FALSE),VLOOKUP(C3182,'SINAPI_INSUMOS 062020'!A:D,4,FALSE))</f>
        <v>0.77</v>
      </c>
      <c r="H3182" s="75">
        <f t="shared" si="250"/>
        <v>1.54</v>
      </c>
    </row>
    <row r="3183" spans="1:8" ht="25.5" x14ac:dyDescent="0.25">
      <c r="A3183" s="125" t="s">
        <v>400</v>
      </c>
      <c r="B3183" s="115" t="s">
        <v>9</v>
      </c>
      <c r="C3183" s="115">
        <v>39210</v>
      </c>
      <c r="D3183" s="127" t="str">
        <f>IF(A3183="COMPOSIÇÃO",VLOOKUP(C3183,'SINAPI_COMPOSIÇÕES 062020'!A:B,2,FALSE),VLOOKUP(C3183,'SINAPI_INSUMOS 062020'!A:B,2,FALSE))</f>
        <v>ARRUELA EM ALUMINIO, COM ROSCA, DE 1", PARA ELETRODUTO</v>
      </c>
      <c r="E3183" s="126" t="str">
        <f>IF(A3183="COMPOSIÇÃO",VLOOKUP(C3183,'SINAPI_COMPOSIÇÕES 062020'!A:C,3,FALSE),VLOOKUP(C3183,'SINAPI_INSUMOS 062020'!A:C,3,FALSE))</f>
        <v xml:space="preserve">UN    </v>
      </c>
      <c r="F3183" s="237">
        <v>2</v>
      </c>
      <c r="G3183" s="128">
        <f>IF(A3183="COMPOSIÇÃO",VLOOKUP(C3183,'SINAPI_COMPOSIÇÕES 062020'!A:D,4,FALSE),VLOOKUP(C3183,'SINAPI_INSUMOS 062020'!A:D,4,FALSE))</f>
        <v>0.56999999999999995</v>
      </c>
      <c r="H3183" s="75">
        <f t="shared" si="250"/>
        <v>1.1399999999999999</v>
      </c>
    </row>
    <row r="3184" spans="1:8" ht="13.5" thickBot="1" x14ac:dyDescent="0.3">
      <c r="A3184" s="267" t="str">
        <f>CONCATENATE("TOTAL DO ÍTEM - ",A3161)</f>
        <v>TOTAL DO ÍTEM - MPMT-01008</v>
      </c>
      <c r="B3184" s="268"/>
      <c r="C3184" s="268"/>
      <c r="D3184" s="268"/>
      <c r="E3184" s="268"/>
      <c r="F3184" s="268"/>
      <c r="G3184" s="269"/>
      <c r="H3184" s="188">
        <f>SUM(H3165:H3183)</f>
        <v>1570.0700000000002</v>
      </c>
    </row>
    <row r="3185" spans="1:8" ht="13.5" thickBot="1" x14ac:dyDescent="0.3">
      <c r="A3185" s="299" t="s">
        <v>13001</v>
      </c>
      <c r="B3185" s="300"/>
      <c r="C3185" s="300"/>
      <c r="D3185" s="300"/>
      <c r="E3185" s="300"/>
      <c r="F3185" s="300"/>
      <c r="G3185" s="300"/>
      <c r="H3185" s="301"/>
    </row>
    <row r="3186" spans="1:8" ht="13.5" thickBot="1" x14ac:dyDescent="0.3"/>
    <row r="3187" spans="1:8" ht="25.5" x14ac:dyDescent="0.25">
      <c r="A3187" s="120" t="s">
        <v>90</v>
      </c>
      <c r="B3187" s="286" t="s">
        <v>91</v>
      </c>
      <c r="C3187" s="287"/>
      <c r="D3187" s="287"/>
      <c r="E3187" s="287"/>
      <c r="F3187" s="287"/>
      <c r="G3187" s="288"/>
      <c r="H3187" s="121" t="s">
        <v>4</v>
      </c>
    </row>
    <row r="3188" spans="1:8" ht="13.5" thickBot="1" x14ac:dyDescent="0.3">
      <c r="A3188" s="113" t="s">
        <v>13002</v>
      </c>
      <c r="B3188" s="289" t="s">
        <v>13003</v>
      </c>
      <c r="C3188" s="290"/>
      <c r="D3188" s="290"/>
      <c r="E3188" s="290"/>
      <c r="F3188" s="290"/>
      <c r="G3188" s="291"/>
      <c r="H3188" s="114" t="s">
        <v>13004</v>
      </c>
    </row>
    <row r="3189" spans="1:8" x14ac:dyDescent="0.25">
      <c r="A3189" s="273" t="s">
        <v>13834</v>
      </c>
      <c r="B3189" s="275" t="s">
        <v>92</v>
      </c>
      <c r="C3189" s="276"/>
      <c r="D3189" s="185"/>
      <c r="E3189" s="239" t="s">
        <v>93</v>
      </c>
      <c r="F3189" s="186">
        <v>0</v>
      </c>
      <c r="G3189" s="277" t="s">
        <v>94</v>
      </c>
      <c r="H3189" s="278"/>
    </row>
    <row r="3190" spans="1:8" x14ac:dyDescent="0.25">
      <c r="A3190" s="274"/>
      <c r="B3190" s="281" t="s">
        <v>95</v>
      </c>
      <c r="C3190" s="282"/>
      <c r="D3190" s="187">
        <v>43014</v>
      </c>
      <c r="E3190" s="240" t="s">
        <v>96</v>
      </c>
      <c r="F3190" s="187">
        <v>43014</v>
      </c>
      <c r="G3190" s="279"/>
      <c r="H3190" s="280"/>
    </row>
    <row r="3191" spans="1:8" x14ac:dyDescent="0.25">
      <c r="A3191" s="122" t="s">
        <v>11885</v>
      </c>
      <c r="B3191" s="226" t="s">
        <v>97</v>
      </c>
      <c r="C3191" s="226" t="s">
        <v>98</v>
      </c>
      <c r="D3191" s="226" t="s">
        <v>3</v>
      </c>
      <c r="E3191" s="226" t="s">
        <v>4</v>
      </c>
      <c r="F3191" s="226" t="s">
        <v>99</v>
      </c>
      <c r="G3191" s="226" t="s">
        <v>100</v>
      </c>
      <c r="H3191" s="227" t="s">
        <v>101</v>
      </c>
    </row>
    <row r="3192" spans="1:8" ht="38.25" x14ac:dyDescent="0.25">
      <c r="A3192" s="125" t="s">
        <v>400</v>
      </c>
      <c r="B3192" s="115" t="s">
        <v>9</v>
      </c>
      <c r="C3192" s="115">
        <v>10776</v>
      </c>
      <c r="D3192" s="127" t="str">
        <f>IF(A3192="COMPOSIÇÃO",VLOOKUP(C3192,'SINAPI_COMPOSIÇÕES 062020'!A:B,2,FALSE),VLOOKUP(C3192,'SINAPI_INSUMOS 062020'!A:B,2,FALSE))</f>
        <v>LOCACAO DE CONTAINER 2,30  X  6,00 M, ALT. 2,50 M, PARA ESCRITORIO, SEM DIVISORIAS INTERNAS E SEM SANITARIO</v>
      </c>
      <c r="E3192" s="126" t="str">
        <f>IF(A3192="COMPOSIÇÃO",VLOOKUP(C3192,'SINAPI_COMPOSIÇÕES 062020'!A:C,3,FALSE),VLOOKUP(C3192,'SINAPI_INSUMOS 062020'!A:C,3,FALSE))</f>
        <v xml:space="preserve">MES   </v>
      </c>
      <c r="F3192" s="74">
        <v>1</v>
      </c>
      <c r="G3192" s="128">
        <f>IF(A3192="COMPOSIÇÃO",VLOOKUP(C3192,'SINAPI_COMPOSIÇÕES 062020'!A:D,4,FALSE),VLOOKUP(C3192,'SINAPI_INSUMOS 062020'!A:D,4,FALSE))</f>
        <v>407.81</v>
      </c>
      <c r="H3192" s="75">
        <f t="shared" ref="H3192" si="251">TRUNC(G3192*F3192,2)</f>
        <v>407.81</v>
      </c>
    </row>
    <row r="3193" spans="1:8" ht="13.5" thickBot="1" x14ac:dyDescent="0.3">
      <c r="A3193" s="267" t="str">
        <f>CONCATENATE("TOTAL DO ÍTEM - ",A3188)</f>
        <v>TOTAL DO ÍTEM - MPMT-02303</v>
      </c>
      <c r="B3193" s="268"/>
      <c r="C3193" s="268"/>
      <c r="D3193" s="268"/>
      <c r="E3193" s="268"/>
      <c r="F3193" s="268"/>
      <c r="G3193" s="269"/>
      <c r="H3193" s="188">
        <f>TRUNC(SUM(H3192:H3192),2)</f>
        <v>407.81</v>
      </c>
    </row>
    <row r="3194" spans="1:8" ht="13.5" thickBot="1" x14ac:dyDescent="0.3">
      <c r="A3194" s="302" t="s">
        <v>12494</v>
      </c>
      <c r="B3194" s="303"/>
      <c r="C3194" s="303"/>
      <c r="D3194" s="303"/>
      <c r="E3194" s="303"/>
      <c r="F3194" s="303"/>
      <c r="G3194" s="303"/>
      <c r="H3194" s="304"/>
    </row>
    <row r="3195" spans="1:8" ht="13.5" thickBot="1" x14ac:dyDescent="0.3"/>
    <row r="3196" spans="1:8" ht="25.5" x14ac:dyDescent="0.25">
      <c r="A3196" s="120" t="s">
        <v>90</v>
      </c>
      <c r="B3196" s="286" t="s">
        <v>91</v>
      </c>
      <c r="C3196" s="287"/>
      <c r="D3196" s="287"/>
      <c r="E3196" s="287"/>
      <c r="F3196" s="287"/>
      <c r="G3196" s="288"/>
      <c r="H3196" s="121" t="s">
        <v>4</v>
      </c>
    </row>
    <row r="3197" spans="1:8" ht="13.5" thickBot="1" x14ac:dyDescent="0.3">
      <c r="A3197" s="113" t="s">
        <v>13006</v>
      </c>
      <c r="B3197" s="289" t="s">
        <v>13007</v>
      </c>
      <c r="C3197" s="290"/>
      <c r="D3197" s="290"/>
      <c r="E3197" s="290"/>
      <c r="F3197" s="290"/>
      <c r="G3197" s="291"/>
      <c r="H3197" s="114" t="s">
        <v>8</v>
      </c>
    </row>
    <row r="3198" spans="1:8" x14ac:dyDescent="0.25">
      <c r="A3198" s="273" t="s">
        <v>13834</v>
      </c>
      <c r="B3198" s="275" t="s">
        <v>92</v>
      </c>
      <c r="C3198" s="276"/>
      <c r="D3198" s="185" t="s">
        <v>13008</v>
      </c>
      <c r="E3198" s="239" t="s">
        <v>93</v>
      </c>
      <c r="F3198" s="186">
        <v>0</v>
      </c>
      <c r="G3198" s="277" t="s">
        <v>94</v>
      </c>
      <c r="H3198" s="278"/>
    </row>
    <row r="3199" spans="1:8" x14ac:dyDescent="0.25">
      <c r="A3199" s="274"/>
      <c r="B3199" s="281" t="s">
        <v>95</v>
      </c>
      <c r="C3199" s="282"/>
      <c r="D3199" s="187">
        <v>44034</v>
      </c>
      <c r="E3199" s="240" t="s">
        <v>96</v>
      </c>
      <c r="F3199" s="187">
        <v>44034</v>
      </c>
      <c r="G3199" s="279"/>
      <c r="H3199" s="280"/>
    </row>
    <row r="3200" spans="1:8" x14ac:dyDescent="0.25">
      <c r="A3200" s="122" t="s">
        <v>11885</v>
      </c>
      <c r="B3200" s="123" t="s">
        <v>97</v>
      </c>
      <c r="C3200" s="123" t="s">
        <v>98</v>
      </c>
      <c r="D3200" s="123" t="s">
        <v>3</v>
      </c>
      <c r="E3200" s="123" t="s">
        <v>4</v>
      </c>
      <c r="F3200" s="123" t="s">
        <v>99</v>
      </c>
      <c r="G3200" s="123" t="s">
        <v>100</v>
      </c>
      <c r="H3200" s="124" t="s">
        <v>101</v>
      </c>
    </row>
    <row r="3201" spans="1:8" ht="25.5" x14ac:dyDescent="0.25">
      <c r="A3201" s="125" t="s">
        <v>398</v>
      </c>
      <c r="B3201" s="115" t="s">
        <v>9</v>
      </c>
      <c r="C3201" s="115">
        <v>88262</v>
      </c>
      <c r="D3201" s="127" t="str">
        <f>IF(A3201="COMPOSIÇÃO",VLOOKUP(C3201,'SINAPI_COMPOSIÇÕES 062020'!A:B,2,FALSE),VLOOKUP(C3201,'SINAPI_INSUMOS 062020'!A:B,2,FALSE))</f>
        <v>CARPINTEIRO DE FORMAS COM ENCARGOS COMPLEMENTARES</v>
      </c>
      <c r="E3201" s="126" t="str">
        <f>IF(A3201="COMPOSIÇÃO",VLOOKUP(C3201,'SINAPI_COMPOSIÇÕES 062020'!A:C,3,FALSE),VLOOKUP(C3201,'SINAPI_INSUMOS 062020'!A:C,3,FALSE))</f>
        <v>H</v>
      </c>
      <c r="F3201" s="237">
        <v>0.1</v>
      </c>
      <c r="G3201" s="128">
        <f>IF(A3201="COMPOSIÇÃO",VLOOKUP(C3201,'SINAPI_COMPOSIÇÕES 062020'!A:D,4,FALSE),VLOOKUP(C3201,'SINAPI_INSUMOS 062020'!A:D,4,FALSE))</f>
        <v>17.64</v>
      </c>
      <c r="H3201" s="75">
        <f t="shared" ref="H3201:H3206" si="252">TRUNC(G3201*F3201,2)</f>
        <v>1.76</v>
      </c>
    </row>
    <row r="3202" spans="1:8" ht="25.5" x14ac:dyDescent="0.25">
      <c r="A3202" s="125" t="s">
        <v>398</v>
      </c>
      <c r="B3202" s="115" t="s">
        <v>9</v>
      </c>
      <c r="C3202" s="115">
        <v>88316</v>
      </c>
      <c r="D3202" s="127" t="str">
        <f>IF(A3202="COMPOSIÇÃO",VLOOKUP(C3202,'SINAPI_COMPOSIÇÕES 062020'!A:B,2,FALSE),VLOOKUP(C3202,'SINAPI_INSUMOS 062020'!A:B,2,FALSE))</f>
        <v>SERVENTE COM ENCARGOS COMPLEMENTARES</v>
      </c>
      <c r="E3202" s="126" t="str">
        <f>IF(A3202="COMPOSIÇÃO",VLOOKUP(C3202,'SINAPI_COMPOSIÇÕES 062020'!A:C,3,FALSE),VLOOKUP(C3202,'SINAPI_INSUMOS 062020'!A:C,3,FALSE))</f>
        <v>H</v>
      </c>
      <c r="F3202" s="237">
        <v>0.1</v>
      </c>
      <c r="G3202" s="128">
        <f>IF(A3202="COMPOSIÇÃO",VLOOKUP(C3202,'SINAPI_COMPOSIÇÕES 062020'!A:D,4,FALSE),VLOOKUP(C3202,'SINAPI_INSUMOS 062020'!A:D,4,FALSE))</f>
        <v>14.37</v>
      </c>
      <c r="H3202" s="75">
        <f t="shared" si="252"/>
        <v>1.43</v>
      </c>
    </row>
    <row r="3203" spans="1:8" ht="25.5" x14ac:dyDescent="0.25">
      <c r="A3203" s="125" t="s">
        <v>400</v>
      </c>
      <c r="B3203" s="115" t="s">
        <v>9</v>
      </c>
      <c r="C3203" s="115">
        <v>345</v>
      </c>
      <c r="D3203" s="127" t="str">
        <f>IF(A3203="COMPOSIÇÃO",VLOOKUP(C3203,'SINAPI_COMPOSIÇÕES 062020'!A:B,2,FALSE),VLOOKUP(C3203,'SINAPI_INSUMOS 062020'!A:B,2,FALSE))</f>
        <v>ARAME GALVANIZADO 18 BWG, D = 1,24MM (0,009 KG/M)</v>
      </c>
      <c r="E3203" s="126" t="str">
        <f>IF(A3203="COMPOSIÇÃO",VLOOKUP(C3203,'SINAPI_COMPOSIÇÕES 062020'!A:C,3,FALSE),VLOOKUP(C3203,'SINAPI_INSUMOS 062020'!A:C,3,FALSE))</f>
        <v xml:space="preserve">KG    </v>
      </c>
      <c r="F3203" s="237">
        <v>0.02</v>
      </c>
      <c r="G3203" s="128">
        <f>IF(A3203="COMPOSIÇÃO",VLOOKUP(C3203,'SINAPI_COMPOSIÇÕES 062020'!A:D,4,FALSE),VLOOKUP(C3203,'SINAPI_INSUMOS 062020'!A:D,4,FALSE))</f>
        <v>18.82</v>
      </c>
      <c r="H3203" s="75">
        <f t="shared" si="252"/>
        <v>0.37</v>
      </c>
    </row>
    <row r="3204" spans="1:8" ht="38.25" x14ac:dyDescent="0.25">
      <c r="A3204" s="125" t="s">
        <v>400</v>
      </c>
      <c r="B3204" s="115" t="s">
        <v>9</v>
      </c>
      <c r="C3204" s="115">
        <v>4491</v>
      </c>
      <c r="D3204" s="127" t="str">
        <f>IF(A3204="COMPOSIÇÃO",VLOOKUP(C3204,'SINAPI_COMPOSIÇÕES 062020'!A:B,2,FALSE),VLOOKUP(C3204,'SINAPI_INSUMOS 062020'!A:B,2,FALSE))</f>
        <v>PONTALETE DE MADEIRA NAO APARELHADA *7,5 X 7,5* CM (3 X 3 ") PINUS, MISTA OU EQUIVALENTE DA REGIAO</v>
      </c>
      <c r="E3204" s="126" t="str">
        <f>IF(A3204="COMPOSIÇÃO",VLOOKUP(C3204,'SINAPI_COMPOSIÇÕES 062020'!A:C,3,FALSE),VLOOKUP(C3204,'SINAPI_INSUMOS 062020'!A:C,3,FALSE))</f>
        <v xml:space="preserve">M     </v>
      </c>
      <c r="F3204" s="237">
        <v>3.5999999999999997E-2</v>
      </c>
      <c r="G3204" s="128">
        <f>IF(A3204="COMPOSIÇÃO",VLOOKUP(C3204,'SINAPI_COMPOSIÇÕES 062020'!A:D,4,FALSE),VLOOKUP(C3204,'SINAPI_INSUMOS 062020'!A:D,4,FALSE))</f>
        <v>5.58</v>
      </c>
      <c r="H3204" s="75">
        <f t="shared" si="252"/>
        <v>0.2</v>
      </c>
    </row>
    <row r="3205" spans="1:8" ht="25.5" x14ac:dyDescent="0.25">
      <c r="A3205" s="125" t="s">
        <v>400</v>
      </c>
      <c r="B3205" s="115" t="s">
        <v>9</v>
      </c>
      <c r="C3205" s="115">
        <v>5061</v>
      </c>
      <c r="D3205" s="127" t="str">
        <f>IF(A3205="COMPOSIÇÃO",VLOOKUP(C3205,'SINAPI_COMPOSIÇÕES 062020'!A:B,2,FALSE),VLOOKUP(C3205,'SINAPI_INSUMOS 062020'!A:B,2,FALSE))</f>
        <v>PREGO DE ACO POLIDO COM CABECA 18 X 27 (2 1/2 X 10)</v>
      </c>
      <c r="E3205" s="126" t="str">
        <f>IF(A3205="COMPOSIÇÃO",VLOOKUP(C3205,'SINAPI_COMPOSIÇÕES 062020'!A:C,3,FALSE),VLOOKUP(C3205,'SINAPI_INSUMOS 062020'!A:C,3,FALSE))</f>
        <v xml:space="preserve">KG    </v>
      </c>
      <c r="F3205" s="237">
        <v>0.01</v>
      </c>
      <c r="G3205" s="128">
        <f>IF(A3205="COMPOSIÇÃO",VLOOKUP(C3205,'SINAPI_COMPOSIÇÕES 062020'!A:D,4,FALSE),VLOOKUP(C3205,'SINAPI_INSUMOS 062020'!A:D,4,FALSE))</f>
        <v>10.99</v>
      </c>
      <c r="H3205" s="75">
        <f t="shared" si="252"/>
        <v>0.1</v>
      </c>
    </row>
    <row r="3206" spans="1:8" ht="38.25" x14ac:dyDescent="0.25">
      <c r="A3206" s="125" t="s">
        <v>400</v>
      </c>
      <c r="B3206" s="115" t="s">
        <v>9</v>
      </c>
      <c r="C3206" s="115">
        <v>10567</v>
      </c>
      <c r="D3206" s="127" t="str">
        <f>IF(A3206="COMPOSIÇÃO",VLOOKUP(C3206,'SINAPI_COMPOSIÇÕES 062020'!A:B,2,FALSE),VLOOKUP(C3206,'SINAPI_INSUMOS 062020'!A:B,2,FALSE))</f>
        <v>TABUA DE MADEIRA NAO APARELHADA *2,5 X 23* CM (1 x 9 ") PINUS, MISTA OU EQUIVALENTE DA REGIAO</v>
      </c>
      <c r="E3206" s="126" t="str">
        <f>IF(A3206="COMPOSIÇÃO",VLOOKUP(C3206,'SINAPI_COMPOSIÇÕES 062020'!A:C,3,FALSE),VLOOKUP(C3206,'SINAPI_INSUMOS 062020'!A:C,3,FALSE))</f>
        <v xml:space="preserve">M     </v>
      </c>
      <c r="F3206" s="237">
        <v>3.2000000000000001E-2</v>
      </c>
      <c r="G3206" s="128">
        <f>IF(A3206="COMPOSIÇÃO",VLOOKUP(C3206,'SINAPI_COMPOSIÇÕES 062020'!A:D,4,FALSE),VLOOKUP(C3206,'SINAPI_INSUMOS 062020'!A:D,4,FALSE))</f>
        <v>6.88</v>
      </c>
      <c r="H3206" s="75">
        <f t="shared" si="252"/>
        <v>0.22</v>
      </c>
    </row>
    <row r="3207" spans="1:8" ht="13.5" thickBot="1" x14ac:dyDescent="0.3">
      <c r="A3207" s="267" t="str">
        <f>CONCATENATE("TOTAL DO ÍTEM - ",A3197)</f>
        <v>TOTAL DO ÍTEM - MPMT-01013</v>
      </c>
      <c r="B3207" s="268"/>
      <c r="C3207" s="268"/>
      <c r="D3207" s="268"/>
      <c r="E3207" s="268"/>
      <c r="F3207" s="268"/>
      <c r="G3207" s="269"/>
      <c r="H3207" s="188">
        <f>SUM(H3201:H3206)</f>
        <v>4.08</v>
      </c>
    </row>
    <row r="3208" spans="1:8" ht="13.5" thickBot="1" x14ac:dyDescent="0.3">
      <c r="A3208" s="299" t="s">
        <v>13009</v>
      </c>
      <c r="B3208" s="300"/>
      <c r="C3208" s="300"/>
      <c r="D3208" s="300"/>
      <c r="E3208" s="300"/>
      <c r="F3208" s="300"/>
      <c r="G3208" s="300"/>
      <c r="H3208" s="301"/>
    </row>
    <row r="3209" spans="1:8" ht="13.5" thickBot="1" x14ac:dyDescent="0.3"/>
    <row r="3210" spans="1:8" ht="25.5" x14ac:dyDescent="0.25">
      <c r="A3210" s="120" t="s">
        <v>90</v>
      </c>
      <c r="B3210" s="286" t="s">
        <v>91</v>
      </c>
      <c r="C3210" s="287"/>
      <c r="D3210" s="287"/>
      <c r="E3210" s="287"/>
      <c r="F3210" s="287"/>
      <c r="G3210" s="288"/>
      <c r="H3210" s="121" t="s">
        <v>4</v>
      </c>
    </row>
    <row r="3211" spans="1:8" ht="13.5" thickBot="1" x14ac:dyDescent="0.3">
      <c r="A3211" s="113" t="s">
        <v>13010</v>
      </c>
      <c r="B3211" s="289" t="s">
        <v>13011</v>
      </c>
      <c r="C3211" s="290"/>
      <c r="D3211" s="290"/>
      <c r="E3211" s="290"/>
      <c r="F3211" s="290"/>
      <c r="G3211" s="291"/>
      <c r="H3211" s="114" t="s">
        <v>4</v>
      </c>
    </row>
    <row r="3212" spans="1:8" x14ac:dyDescent="0.25">
      <c r="A3212" s="273" t="s">
        <v>13834</v>
      </c>
      <c r="B3212" s="275" t="s">
        <v>92</v>
      </c>
      <c r="C3212" s="276"/>
      <c r="D3212" s="185" t="s">
        <v>11958</v>
      </c>
      <c r="E3212" s="239" t="s">
        <v>93</v>
      </c>
      <c r="F3212" s="193" t="s">
        <v>12000</v>
      </c>
      <c r="G3212" s="277" t="s">
        <v>94</v>
      </c>
      <c r="H3212" s="278"/>
    </row>
    <row r="3213" spans="1:8" x14ac:dyDescent="0.25">
      <c r="A3213" s="274"/>
      <c r="B3213" s="281" t="s">
        <v>95</v>
      </c>
      <c r="C3213" s="282"/>
      <c r="D3213" s="187">
        <v>42991</v>
      </c>
      <c r="E3213" s="240" t="s">
        <v>96</v>
      </c>
      <c r="F3213" s="187">
        <v>43612</v>
      </c>
      <c r="G3213" s="279"/>
      <c r="H3213" s="280"/>
    </row>
    <row r="3214" spans="1:8" x14ac:dyDescent="0.25">
      <c r="A3214" s="122" t="s">
        <v>11885</v>
      </c>
      <c r="B3214" s="123" t="s">
        <v>97</v>
      </c>
      <c r="C3214" s="123" t="s">
        <v>98</v>
      </c>
      <c r="D3214" s="123" t="s">
        <v>3</v>
      </c>
      <c r="E3214" s="123" t="s">
        <v>4</v>
      </c>
      <c r="F3214" s="123" t="s">
        <v>99</v>
      </c>
      <c r="G3214" s="123" t="s">
        <v>100</v>
      </c>
      <c r="H3214" s="124" t="s">
        <v>101</v>
      </c>
    </row>
    <row r="3215" spans="1:8" x14ac:dyDescent="0.25">
      <c r="A3215" s="125" t="s">
        <v>11958</v>
      </c>
      <c r="B3215" s="115" t="s">
        <v>11959</v>
      </c>
      <c r="C3215" s="115" t="s">
        <v>11960</v>
      </c>
      <c r="D3215" s="194" t="str">
        <f>B3219</f>
        <v>CAÇAMBA BOTA-FORA, CAPACIDADE 5M³</v>
      </c>
      <c r="E3215" s="115" t="str">
        <f>H3219</f>
        <v>M</v>
      </c>
      <c r="F3215" s="74">
        <v>1</v>
      </c>
      <c r="G3215" s="195">
        <f>H3224</f>
        <v>300</v>
      </c>
      <c r="H3215" s="75">
        <f>TRUNC(G3215*F3215,2)</f>
        <v>300</v>
      </c>
    </row>
    <row r="3216" spans="1:8" ht="13.5" thickBot="1" x14ac:dyDescent="0.3">
      <c r="A3216" s="267" t="str">
        <f>CONCATENATE("TOTAL DO ÍTEM - ",A3211)</f>
        <v>TOTAL DO ÍTEM - MPMT-07036</v>
      </c>
      <c r="B3216" s="268"/>
      <c r="C3216" s="268"/>
      <c r="D3216" s="268"/>
      <c r="E3216" s="268"/>
      <c r="F3216" s="268"/>
      <c r="G3216" s="269"/>
      <c r="H3216" s="188">
        <f>TRUNC(SUM(H3215:H3215),2)</f>
        <v>300</v>
      </c>
    </row>
    <row r="3217" spans="1:8" ht="13.5" thickBot="1" x14ac:dyDescent="0.3">
      <c r="A3217" s="299" t="s">
        <v>12494</v>
      </c>
      <c r="B3217" s="300"/>
      <c r="C3217" s="300"/>
      <c r="D3217" s="300"/>
      <c r="E3217" s="300"/>
      <c r="F3217" s="300"/>
      <c r="G3217" s="300"/>
      <c r="H3217" s="301"/>
    </row>
    <row r="3218" spans="1:8" ht="13.5" thickBot="1" x14ac:dyDescent="0.3">
      <c r="A3218" s="196"/>
      <c r="B3218" s="292" t="s">
        <v>11962</v>
      </c>
      <c r="C3218" s="292"/>
      <c r="D3218" s="292"/>
      <c r="E3218" s="292"/>
      <c r="F3218" s="292"/>
      <c r="G3218" s="292"/>
      <c r="H3218" s="197" t="s">
        <v>11963</v>
      </c>
    </row>
    <row r="3219" spans="1:8" ht="13.5" thickBot="1" x14ac:dyDescent="0.3">
      <c r="A3219" s="234" t="s">
        <v>11960</v>
      </c>
      <c r="B3219" s="362" t="s">
        <v>13011</v>
      </c>
      <c r="C3219" s="363"/>
      <c r="D3219" s="363"/>
      <c r="E3219" s="363"/>
      <c r="F3219" s="363"/>
      <c r="G3219" s="364"/>
      <c r="H3219" s="235" t="s">
        <v>16</v>
      </c>
    </row>
    <row r="3220" spans="1:8" ht="25.5" x14ac:dyDescent="0.25">
      <c r="A3220" s="198" t="s">
        <v>11965</v>
      </c>
      <c r="B3220" s="242" t="s">
        <v>11966</v>
      </c>
      <c r="C3220" s="242" t="s">
        <v>11967</v>
      </c>
      <c r="D3220" s="242" t="s">
        <v>11968</v>
      </c>
      <c r="E3220" s="305" t="s">
        <v>11969</v>
      </c>
      <c r="F3220" s="305"/>
      <c r="G3220" s="242" t="s">
        <v>4</v>
      </c>
      <c r="H3220" s="199" t="s">
        <v>11970</v>
      </c>
    </row>
    <row r="3221" spans="1:8" x14ac:dyDescent="0.25">
      <c r="A3221" s="200">
        <v>43608</v>
      </c>
      <c r="B3221" s="201" t="s">
        <v>13012</v>
      </c>
      <c r="C3221" s="201" t="s">
        <v>13013</v>
      </c>
      <c r="D3221" s="201" t="s">
        <v>13014</v>
      </c>
      <c r="E3221" s="306"/>
      <c r="F3221" s="306"/>
      <c r="G3221" s="203" t="s">
        <v>4</v>
      </c>
      <c r="H3221" s="204">
        <v>230</v>
      </c>
    </row>
    <row r="3222" spans="1:8" x14ac:dyDescent="0.25">
      <c r="A3222" s="205">
        <v>43608</v>
      </c>
      <c r="B3222" s="206" t="s">
        <v>13015</v>
      </c>
      <c r="C3222" s="206" t="s">
        <v>13016</v>
      </c>
      <c r="D3222" s="206" t="s">
        <v>13017</v>
      </c>
      <c r="E3222" s="295"/>
      <c r="F3222" s="295"/>
      <c r="G3222" s="115" t="s">
        <v>4</v>
      </c>
      <c r="H3222" s="208">
        <v>425</v>
      </c>
    </row>
    <row r="3223" spans="1:8" x14ac:dyDescent="0.25">
      <c r="A3223" s="205">
        <v>43608</v>
      </c>
      <c r="B3223" s="206"/>
      <c r="C3223" s="206" t="s">
        <v>13018</v>
      </c>
      <c r="D3223" s="206" t="s">
        <v>13019</v>
      </c>
      <c r="E3223" s="295"/>
      <c r="F3223" s="295"/>
      <c r="G3223" s="115" t="s">
        <v>4</v>
      </c>
      <c r="H3223" s="208">
        <v>300</v>
      </c>
    </row>
    <row r="3224" spans="1:8" ht="13.5" thickBot="1" x14ac:dyDescent="0.3">
      <c r="A3224" s="296" t="s">
        <v>12111</v>
      </c>
      <c r="B3224" s="297"/>
      <c r="C3224" s="297"/>
      <c r="D3224" s="297"/>
      <c r="E3224" s="297"/>
      <c r="F3224" s="297"/>
      <c r="G3224" s="298"/>
      <c r="H3224" s="188">
        <f>MEDIAN(H3221:H3223)</f>
        <v>300</v>
      </c>
    </row>
    <row r="3225" spans="1:8" ht="13.5" thickBot="1" x14ac:dyDescent="0.3"/>
    <row r="3226" spans="1:8" ht="25.5" x14ac:dyDescent="0.25">
      <c r="A3226" s="120" t="s">
        <v>90</v>
      </c>
      <c r="B3226" s="286" t="s">
        <v>91</v>
      </c>
      <c r="C3226" s="287"/>
      <c r="D3226" s="287"/>
      <c r="E3226" s="287"/>
      <c r="F3226" s="287"/>
      <c r="G3226" s="288"/>
      <c r="H3226" s="121" t="s">
        <v>4</v>
      </c>
    </row>
    <row r="3227" spans="1:8" ht="13.5" thickBot="1" x14ac:dyDescent="0.3">
      <c r="A3227" s="113" t="s">
        <v>13020</v>
      </c>
      <c r="B3227" s="289" t="s">
        <v>13021</v>
      </c>
      <c r="C3227" s="290"/>
      <c r="D3227" s="290"/>
      <c r="E3227" s="290"/>
      <c r="F3227" s="290"/>
      <c r="G3227" s="291"/>
      <c r="H3227" s="114" t="s">
        <v>4</v>
      </c>
    </row>
    <row r="3228" spans="1:8" x14ac:dyDescent="0.25">
      <c r="A3228" s="273" t="s">
        <v>13834</v>
      </c>
      <c r="B3228" s="275" t="s">
        <v>92</v>
      </c>
      <c r="C3228" s="276"/>
      <c r="D3228" s="185" t="s">
        <v>398</v>
      </c>
      <c r="E3228" s="239" t="s">
        <v>93</v>
      </c>
      <c r="F3228" s="186">
        <v>0</v>
      </c>
      <c r="G3228" s="277" t="s">
        <v>94</v>
      </c>
      <c r="H3228" s="278"/>
    </row>
    <row r="3229" spans="1:8" x14ac:dyDescent="0.25">
      <c r="A3229" s="274"/>
      <c r="B3229" s="281" t="s">
        <v>95</v>
      </c>
      <c r="C3229" s="282"/>
      <c r="D3229" s="187">
        <v>44034</v>
      </c>
      <c r="E3229" s="240" t="s">
        <v>96</v>
      </c>
      <c r="F3229" s="187">
        <v>44034</v>
      </c>
      <c r="G3229" s="279"/>
      <c r="H3229" s="280"/>
    </row>
    <row r="3230" spans="1:8" x14ac:dyDescent="0.25">
      <c r="A3230" s="122" t="s">
        <v>11885</v>
      </c>
      <c r="B3230" s="123" t="s">
        <v>97</v>
      </c>
      <c r="C3230" s="123" t="s">
        <v>98</v>
      </c>
      <c r="D3230" s="123" t="s">
        <v>3</v>
      </c>
      <c r="E3230" s="123" t="s">
        <v>4</v>
      </c>
      <c r="F3230" s="123" t="s">
        <v>99</v>
      </c>
      <c r="G3230" s="123" t="s">
        <v>100</v>
      </c>
      <c r="H3230" s="124" t="s">
        <v>101</v>
      </c>
    </row>
    <row r="3231" spans="1:8" ht="25.5" x14ac:dyDescent="0.25">
      <c r="A3231" s="125" t="s">
        <v>398</v>
      </c>
      <c r="B3231" s="115" t="s">
        <v>9</v>
      </c>
      <c r="C3231" s="115">
        <v>88264</v>
      </c>
      <c r="D3231" s="127" t="str">
        <f>IF(A3231="COMPOSIÇÃO",VLOOKUP(C3231,'SINAPI_COMPOSIÇÕES 062020'!A:B,2,FALSE),VLOOKUP(C3231,'SINAPI_INSUMOS 062020'!A:B,2,FALSE))</f>
        <v>ELETRICISTA COM ENCARGOS COMPLEMENTARES</v>
      </c>
      <c r="E3231" s="126" t="str">
        <f>IF(A3231="COMPOSIÇÃO",VLOOKUP(C3231,'SINAPI_COMPOSIÇÕES 062020'!A:C,3,FALSE),VLOOKUP(C3231,'SINAPI_INSUMOS 062020'!A:C,3,FALSE))</f>
        <v>H</v>
      </c>
      <c r="F3231" s="74">
        <v>2</v>
      </c>
      <c r="G3231" s="128">
        <f>IF(A3231="COMPOSIÇÃO",VLOOKUP(C3231,'SINAPI_COMPOSIÇÕES 062020'!A:D,4,FALSE),VLOOKUP(C3231,'SINAPI_INSUMOS 062020'!A:D,4,FALSE))</f>
        <v>18.38</v>
      </c>
      <c r="H3231" s="75">
        <f t="shared" ref="H3231:H3232" si="253">TRUNC(G3231*F3231,2)</f>
        <v>36.76</v>
      </c>
    </row>
    <row r="3232" spans="1:8" ht="25.5" x14ac:dyDescent="0.25">
      <c r="A3232" s="125" t="s">
        <v>398</v>
      </c>
      <c r="B3232" s="115" t="s">
        <v>9</v>
      </c>
      <c r="C3232" s="115">
        <v>88247</v>
      </c>
      <c r="D3232" s="127" t="str">
        <f>IF(A3232="COMPOSIÇÃO",VLOOKUP(C3232,'SINAPI_COMPOSIÇÕES 062020'!A:B,2,FALSE),VLOOKUP(C3232,'SINAPI_INSUMOS 062020'!A:B,2,FALSE))</f>
        <v>AUXILIAR DE ELETRICISTA COM ENCARGOS COMPLEMENTARES</v>
      </c>
      <c r="E3232" s="126" t="str">
        <f>IF(A3232="COMPOSIÇÃO",VLOOKUP(C3232,'SINAPI_COMPOSIÇÕES 062020'!A:C,3,FALSE),VLOOKUP(C3232,'SINAPI_INSUMOS 062020'!A:C,3,FALSE))</f>
        <v>H</v>
      </c>
      <c r="F3232" s="74">
        <v>2</v>
      </c>
      <c r="G3232" s="128">
        <f>IF(A3232="COMPOSIÇÃO",VLOOKUP(C3232,'SINAPI_COMPOSIÇÕES 062020'!A:D,4,FALSE),VLOOKUP(C3232,'SINAPI_INSUMOS 062020'!A:D,4,FALSE))</f>
        <v>14.33</v>
      </c>
      <c r="H3232" s="75">
        <f t="shared" si="253"/>
        <v>28.66</v>
      </c>
    </row>
    <row r="3233" spans="1:8" ht="13.5" thickBot="1" x14ac:dyDescent="0.3">
      <c r="A3233" s="267" t="str">
        <f>CONCATENATE("TOTAL DO ÍTEM - ",A3227)</f>
        <v>TOTAL DO ÍTEM - MPMT-03442</v>
      </c>
      <c r="B3233" s="268"/>
      <c r="C3233" s="268"/>
      <c r="D3233" s="268"/>
      <c r="E3233" s="268"/>
      <c r="F3233" s="268"/>
      <c r="G3233" s="269"/>
      <c r="H3233" s="188">
        <f>TRUNC(SUM(H3231:H3232),2)</f>
        <v>65.42</v>
      </c>
    </row>
    <row r="3234" spans="1:8" ht="13.5" thickBot="1" x14ac:dyDescent="0.3">
      <c r="A3234" s="299" t="s">
        <v>12494</v>
      </c>
      <c r="B3234" s="300"/>
      <c r="C3234" s="300"/>
      <c r="D3234" s="300"/>
      <c r="E3234" s="300"/>
      <c r="F3234" s="300"/>
      <c r="G3234" s="300"/>
      <c r="H3234" s="301"/>
    </row>
    <row r="3235" spans="1:8" ht="13.5" thickBot="1" x14ac:dyDescent="0.3"/>
    <row r="3236" spans="1:8" ht="25.5" x14ac:dyDescent="0.25">
      <c r="A3236" s="120" t="s">
        <v>90</v>
      </c>
      <c r="B3236" s="286" t="s">
        <v>91</v>
      </c>
      <c r="C3236" s="287"/>
      <c r="D3236" s="287"/>
      <c r="E3236" s="287"/>
      <c r="F3236" s="287"/>
      <c r="G3236" s="288"/>
      <c r="H3236" s="121" t="s">
        <v>4</v>
      </c>
    </row>
    <row r="3237" spans="1:8" ht="13.5" thickBot="1" x14ac:dyDescent="0.3">
      <c r="A3237" s="113" t="s">
        <v>13022</v>
      </c>
      <c r="B3237" s="289" t="s">
        <v>13023</v>
      </c>
      <c r="C3237" s="290"/>
      <c r="D3237" s="290"/>
      <c r="E3237" s="290"/>
      <c r="F3237" s="290"/>
      <c r="G3237" s="291"/>
      <c r="H3237" s="114" t="s">
        <v>4</v>
      </c>
    </row>
    <row r="3238" spans="1:8" x14ac:dyDescent="0.25">
      <c r="A3238" s="273" t="s">
        <v>13834</v>
      </c>
      <c r="B3238" s="275" t="s">
        <v>92</v>
      </c>
      <c r="C3238" s="276"/>
      <c r="D3238" s="185" t="s">
        <v>13024</v>
      </c>
      <c r="E3238" s="239" t="s">
        <v>93</v>
      </c>
      <c r="F3238" s="186">
        <v>0</v>
      </c>
      <c r="G3238" s="277" t="s">
        <v>94</v>
      </c>
      <c r="H3238" s="278"/>
    </row>
    <row r="3239" spans="1:8" x14ac:dyDescent="0.25">
      <c r="A3239" s="274"/>
      <c r="B3239" s="281" t="s">
        <v>95</v>
      </c>
      <c r="C3239" s="282"/>
      <c r="D3239" s="187">
        <v>42950</v>
      </c>
      <c r="E3239" s="240" t="s">
        <v>96</v>
      </c>
      <c r="F3239" s="230">
        <v>42950</v>
      </c>
      <c r="G3239" s="279"/>
      <c r="H3239" s="280"/>
    </row>
    <row r="3240" spans="1:8" x14ac:dyDescent="0.25">
      <c r="A3240" s="122" t="s">
        <v>11885</v>
      </c>
      <c r="B3240" s="123" t="s">
        <v>97</v>
      </c>
      <c r="C3240" s="123" t="s">
        <v>98</v>
      </c>
      <c r="D3240" s="123" t="s">
        <v>3</v>
      </c>
      <c r="E3240" s="123" t="s">
        <v>4</v>
      </c>
      <c r="F3240" s="123" t="s">
        <v>99</v>
      </c>
      <c r="G3240" s="123" t="s">
        <v>100</v>
      </c>
      <c r="H3240" s="124" t="s">
        <v>101</v>
      </c>
    </row>
    <row r="3241" spans="1:8" ht="25.5" x14ac:dyDescent="0.25">
      <c r="A3241" s="125" t="s">
        <v>398</v>
      </c>
      <c r="B3241" s="115" t="s">
        <v>9</v>
      </c>
      <c r="C3241" s="115">
        <v>88264</v>
      </c>
      <c r="D3241" s="127" t="str">
        <f>IF(A3241="COMPOSIÇÃO",VLOOKUP(C3241,'SINAPI_COMPOSIÇÕES 062020'!A:B,2,FALSE),VLOOKUP(C3241,'SINAPI_INSUMOS 062020'!A:B,2,FALSE))</f>
        <v>ELETRICISTA COM ENCARGOS COMPLEMENTARES</v>
      </c>
      <c r="E3241" s="126" t="str">
        <f>IF(A3241="COMPOSIÇÃO",VLOOKUP(C3241,'SINAPI_COMPOSIÇÕES 062020'!A:C,3,FALSE),VLOOKUP(C3241,'SINAPI_INSUMOS 062020'!A:C,3,FALSE))</f>
        <v>H</v>
      </c>
      <c r="F3241" s="74">
        <v>0.85</v>
      </c>
      <c r="G3241" s="128">
        <f>IF(A3241="COMPOSIÇÃO",VLOOKUP(C3241,'SINAPI_COMPOSIÇÕES 062020'!A:D,4,FALSE),VLOOKUP(C3241,'SINAPI_INSUMOS 062020'!A:D,4,FALSE))</f>
        <v>18.38</v>
      </c>
      <c r="H3241" s="75">
        <f t="shared" ref="H3241:H3242" si="254">TRUNC(G3241*F3241,2)</f>
        <v>15.62</v>
      </c>
    </row>
    <row r="3242" spans="1:8" ht="25.5" x14ac:dyDescent="0.25">
      <c r="A3242" s="125" t="s">
        <v>398</v>
      </c>
      <c r="B3242" s="115" t="s">
        <v>9</v>
      </c>
      <c r="C3242" s="115">
        <v>88316</v>
      </c>
      <c r="D3242" s="127" t="str">
        <f>IF(A3242="COMPOSIÇÃO",VLOOKUP(C3242,'SINAPI_COMPOSIÇÕES 062020'!A:B,2,FALSE),VLOOKUP(C3242,'SINAPI_INSUMOS 062020'!A:B,2,FALSE))</f>
        <v>SERVENTE COM ENCARGOS COMPLEMENTARES</v>
      </c>
      <c r="E3242" s="126" t="str">
        <f>IF(A3242="COMPOSIÇÃO",VLOOKUP(C3242,'SINAPI_COMPOSIÇÕES 062020'!A:C,3,FALSE),VLOOKUP(C3242,'SINAPI_INSUMOS 062020'!A:C,3,FALSE))</f>
        <v>H</v>
      </c>
      <c r="F3242" s="74">
        <v>0.85</v>
      </c>
      <c r="G3242" s="128">
        <f>IF(A3242="COMPOSIÇÃO",VLOOKUP(C3242,'SINAPI_COMPOSIÇÕES 062020'!A:D,4,FALSE),VLOOKUP(C3242,'SINAPI_INSUMOS 062020'!A:D,4,FALSE))</f>
        <v>14.37</v>
      </c>
      <c r="H3242" s="75">
        <f t="shared" si="254"/>
        <v>12.21</v>
      </c>
    </row>
    <row r="3243" spans="1:8" ht="13.5" thickBot="1" x14ac:dyDescent="0.3">
      <c r="A3243" s="267" t="str">
        <f>CONCATENATE("TOTAL DO ÍTEM - ",A3237)</f>
        <v>TOTAL DO ÍTEM - MPMT-03443</v>
      </c>
      <c r="B3243" s="268"/>
      <c r="C3243" s="268"/>
      <c r="D3243" s="268"/>
      <c r="E3243" s="268"/>
      <c r="F3243" s="268"/>
      <c r="G3243" s="269"/>
      <c r="H3243" s="188">
        <f>TRUNC(SUM(H3241:H3242),2)</f>
        <v>27.83</v>
      </c>
    </row>
    <row r="3244" spans="1:8" ht="13.5" thickBot="1" x14ac:dyDescent="0.3">
      <c r="A3244" s="299" t="s">
        <v>13025</v>
      </c>
      <c r="B3244" s="300"/>
      <c r="C3244" s="300"/>
      <c r="D3244" s="300"/>
      <c r="E3244" s="300"/>
      <c r="F3244" s="300"/>
      <c r="G3244" s="300"/>
      <c r="H3244" s="301"/>
    </row>
    <row r="3245" spans="1:8" ht="13.5" thickBot="1" x14ac:dyDescent="0.3"/>
    <row r="3246" spans="1:8" ht="25.5" x14ac:dyDescent="0.25">
      <c r="A3246" s="120" t="s">
        <v>90</v>
      </c>
      <c r="B3246" s="286" t="s">
        <v>91</v>
      </c>
      <c r="C3246" s="287"/>
      <c r="D3246" s="287"/>
      <c r="E3246" s="287"/>
      <c r="F3246" s="287"/>
      <c r="G3246" s="288"/>
      <c r="H3246" s="121" t="s">
        <v>4</v>
      </c>
    </row>
    <row r="3247" spans="1:8" ht="13.5" thickBot="1" x14ac:dyDescent="0.3">
      <c r="A3247" s="113" t="s">
        <v>13026</v>
      </c>
      <c r="B3247" s="289" t="s">
        <v>13027</v>
      </c>
      <c r="C3247" s="290"/>
      <c r="D3247" s="290"/>
      <c r="E3247" s="290"/>
      <c r="F3247" s="290"/>
      <c r="G3247" s="291"/>
      <c r="H3247" s="114" t="s">
        <v>8</v>
      </c>
    </row>
    <row r="3248" spans="1:8" x14ac:dyDescent="0.25">
      <c r="A3248" s="273" t="s">
        <v>13834</v>
      </c>
      <c r="B3248" s="275" t="s">
        <v>92</v>
      </c>
      <c r="C3248" s="276"/>
      <c r="D3248" s="185" t="s">
        <v>13028</v>
      </c>
      <c r="E3248" s="239" t="s">
        <v>93</v>
      </c>
      <c r="F3248" s="186">
        <v>0</v>
      </c>
      <c r="G3248" s="277" t="s">
        <v>94</v>
      </c>
      <c r="H3248" s="278"/>
    </row>
    <row r="3249" spans="1:8" x14ac:dyDescent="0.25">
      <c r="A3249" s="274"/>
      <c r="B3249" s="281" t="s">
        <v>95</v>
      </c>
      <c r="C3249" s="282"/>
      <c r="D3249" s="187">
        <v>43362</v>
      </c>
      <c r="E3249" s="240" t="s">
        <v>96</v>
      </c>
      <c r="F3249" s="187">
        <v>43362</v>
      </c>
      <c r="G3249" s="279"/>
      <c r="H3249" s="280"/>
    </row>
    <row r="3250" spans="1:8" x14ac:dyDescent="0.25">
      <c r="A3250" s="122" t="s">
        <v>11885</v>
      </c>
      <c r="B3250" s="123" t="s">
        <v>97</v>
      </c>
      <c r="C3250" s="123" t="s">
        <v>98</v>
      </c>
      <c r="D3250" s="123" t="s">
        <v>3</v>
      </c>
      <c r="E3250" s="123" t="s">
        <v>4</v>
      </c>
      <c r="F3250" s="123" t="s">
        <v>99</v>
      </c>
      <c r="G3250" s="123" t="s">
        <v>100</v>
      </c>
      <c r="H3250" s="124" t="s">
        <v>101</v>
      </c>
    </row>
    <row r="3251" spans="1:8" ht="25.5" x14ac:dyDescent="0.25">
      <c r="A3251" s="125" t="s">
        <v>398</v>
      </c>
      <c r="B3251" s="115" t="s">
        <v>9</v>
      </c>
      <c r="C3251" s="115">
        <v>88278</v>
      </c>
      <c r="D3251" s="127" t="str">
        <f>IF(A3251="COMPOSIÇÃO",VLOOKUP(C3251,'SINAPI_COMPOSIÇÕES 062020'!A:B,2,FALSE),VLOOKUP(C3251,'SINAPI_INSUMOS 062020'!A:B,2,FALSE))</f>
        <v>MONTADOR DE ESTRUTURA METÁLICA COM ENCARGOS COMPLEMENTARES</v>
      </c>
      <c r="E3251" s="126" t="str">
        <f>IF(A3251="COMPOSIÇÃO",VLOOKUP(C3251,'SINAPI_COMPOSIÇÕES 062020'!A:C,3,FALSE),VLOOKUP(C3251,'SINAPI_INSUMOS 062020'!A:C,3,FALSE))</f>
        <v>H</v>
      </c>
      <c r="F3251" s="74">
        <f>0.61*0.6</f>
        <v>0.36599999999999999</v>
      </c>
      <c r="G3251" s="128">
        <f>IF(A3251="COMPOSIÇÃO",VLOOKUP(C3251,'SINAPI_COMPOSIÇÕES 062020'!A:D,4,FALSE),VLOOKUP(C3251,'SINAPI_INSUMOS 062020'!A:D,4,FALSE))</f>
        <v>12.82</v>
      </c>
      <c r="H3251" s="75">
        <f t="shared" ref="H3251:H3259" si="255">TRUNC(G3251*F3251,2)</f>
        <v>4.6900000000000004</v>
      </c>
    </row>
    <row r="3252" spans="1:8" ht="25.5" x14ac:dyDescent="0.25">
      <c r="A3252" s="125" t="s">
        <v>398</v>
      </c>
      <c r="B3252" s="115" t="s">
        <v>9</v>
      </c>
      <c r="C3252" s="115">
        <v>88243</v>
      </c>
      <c r="D3252" s="127" t="str">
        <f>IF(A3252="COMPOSIÇÃO",VLOOKUP(C3252,'SINAPI_COMPOSIÇÕES 062020'!A:B,2,FALSE),VLOOKUP(C3252,'SINAPI_INSUMOS 062020'!A:B,2,FALSE))</f>
        <v>AJUDANTE ESPECIALIZADO COM ENCARGOS COMPLEMENTARES</v>
      </c>
      <c r="E3252" s="126" t="str">
        <f>IF(A3252="COMPOSIÇÃO",VLOOKUP(C3252,'SINAPI_COMPOSIÇÕES 062020'!A:C,3,FALSE),VLOOKUP(C3252,'SINAPI_INSUMOS 062020'!A:C,3,FALSE))</f>
        <v>H</v>
      </c>
      <c r="F3252" s="74">
        <f>0.12*0.6</f>
        <v>7.1999999999999995E-2</v>
      </c>
      <c r="G3252" s="128">
        <f>IF(A3252="COMPOSIÇÃO",VLOOKUP(C3252,'SINAPI_COMPOSIÇÕES 062020'!A:D,4,FALSE),VLOOKUP(C3252,'SINAPI_INSUMOS 062020'!A:D,4,FALSE))</f>
        <v>17.149999999999999</v>
      </c>
      <c r="H3252" s="75">
        <f t="shared" si="255"/>
        <v>1.23</v>
      </c>
    </row>
    <row r="3253" spans="1:8" ht="38.25" x14ac:dyDescent="0.25">
      <c r="A3253" s="125" t="s">
        <v>400</v>
      </c>
      <c r="B3253" s="115" t="s">
        <v>9</v>
      </c>
      <c r="C3253" s="115">
        <v>39417</v>
      </c>
      <c r="D3253" s="127" t="str">
        <f>IF(A3253="COMPOSIÇÃO",VLOOKUP(C3253,'SINAPI_COMPOSIÇÕES 062020'!A:B,2,FALSE),VLOOKUP(C3253,'SINAPI_INSUMOS 062020'!A:B,2,FALSE))</f>
        <v>CHAPA DE GESSO ACARTONADO, RESISTENTE A UMIDADE (RU), COR VERDE, E = 12,5 MM, 1200 X 2400 MM (L X C)</v>
      </c>
      <c r="E3253" s="126" t="str">
        <f>IF(A3253="COMPOSIÇÃO",VLOOKUP(C3253,'SINAPI_COMPOSIÇÕES 062020'!A:C,3,FALSE),VLOOKUP(C3253,'SINAPI_INSUMOS 062020'!A:C,3,FALSE))</f>
        <v xml:space="preserve">M2    </v>
      </c>
      <c r="F3253" s="74">
        <v>1.05</v>
      </c>
      <c r="G3253" s="128">
        <f>IF(A3253="COMPOSIÇÃO",VLOOKUP(C3253,'SINAPI_COMPOSIÇÕES 062020'!A:D,4,FALSE),VLOOKUP(C3253,'SINAPI_INSUMOS 062020'!A:D,4,FALSE))</f>
        <v>29.9</v>
      </c>
      <c r="H3253" s="75">
        <f t="shared" si="255"/>
        <v>31.39</v>
      </c>
    </row>
    <row r="3254" spans="1:8" ht="38.25" x14ac:dyDescent="0.25">
      <c r="A3254" s="125" t="s">
        <v>400</v>
      </c>
      <c r="B3254" s="115" t="s">
        <v>9</v>
      </c>
      <c r="C3254" s="115">
        <v>39431</v>
      </c>
      <c r="D3254" s="127" t="str">
        <f>IF(A3254="COMPOSIÇÃO",VLOOKUP(C3254,'SINAPI_COMPOSIÇÕES 062020'!A:B,2,FALSE),VLOOKUP(C3254,'SINAPI_INSUMOS 062020'!A:B,2,FALSE))</f>
        <v>FITA DE PAPEL MICROPERFURADO, 50 X 150 MM, PARA TRATAMENTO DE JUNTAS DE CHAPA DE GESSO PARA DRYWALL</v>
      </c>
      <c r="E3254" s="126" t="str">
        <f>IF(A3254="COMPOSIÇÃO",VLOOKUP(C3254,'SINAPI_COMPOSIÇÕES 062020'!A:C,3,FALSE),VLOOKUP(C3254,'SINAPI_INSUMOS 062020'!A:C,3,FALSE))</f>
        <v xml:space="preserve">M     </v>
      </c>
      <c r="F3254" s="74">
        <v>1.2</v>
      </c>
      <c r="G3254" s="128">
        <f>IF(A3254="COMPOSIÇÃO",VLOOKUP(C3254,'SINAPI_COMPOSIÇÕES 062020'!A:D,4,FALSE),VLOOKUP(C3254,'SINAPI_INSUMOS 062020'!A:D,4,FALSE))</f>
        <v>0.23</v>
      </c>
      <c r="H3254" s="75">
        <f t="shared" si="255"/>
        <v>0.27</v>
      </c>
    </row>
    <row r="3255" spans="1:8" ht="38.25" x14ac:dyDescent="0.25">
      <c r="A3255" s="125" t="s">
        <v>400</v>
      </c>
      <c r="B3255" s="115" t="s">
        <v>9</v>
      </c>
      <c r="C3255" s="115">
        <v>39419</v>
      </c>
      <c r="D3255" s="127" t="str">
        <f>IF(A3255="COMPOSIÇÃO",VLOOKUP(C3255,'SINAPI_COMPOSIÇÕES 062020'!A:B,2,FALSE),VLOOKUP(C3255,'SINAPI_INSUMOS 062020'!A:B,2,FALSE))</f>
        <v>PERFIL GUIA, FORMATO U, EM ACO ZINCADO, PARA ESTRUTURA PAREDE DRYWALL, E = 0,5 MM, 70 X 3000 MM (L X C)</v>
      </c>
      <c r="E3255" s="126" t="str">
        <f>IF(A3255="COMPOSIÇÃO",VLOOKUP(C3255,'SINAPI_COMPOSIÇÕES 062020'!A:C,3,FALSE),VLOOKUP(C3255,'SINAPI_INSUMOS 062020'!A:C,3,FALSE))</f>
        <v xml:space="preserve">M     </v>
      </c>
      <c r="F3255" s="74">
        <v>0.9</v>
      </c>
      <c r="G3255" s="128">
        <f>IF(A3255="COMPOSIÇÃO",VLOOKUP(C3255,'SINAPI_COMPOSIÇÕES 062020'!A:D,4,FALSE),VLOOKUP(C3255,'SINAPI_INSUMOS 062020'!A:D,4,FALSE))</f>
        <v>5.35</v>
      </c>
      <c r="H3255" s="75">
        <f t="shared" si="255"/>
        <v>4.8099999999999996</v>
      </c>
    </row>
    <row r="3256" spans="1:8" ht="51" x14ac:dyDescent="0.25">
      <c r="A3256" s="125" t="s">
        <v>400</v>
      </c>
      <c r="B3256" s="115" t="s">
        <v>9</v>
      </c>
      <c r="C3256" s="115">
        <v>39433</v>
      </c>
      <c r="D3256" s="127" t="str">
        <f>IF(A3256="COMPOSIÇÃO",VLOOKUP(C3256,'SINAPI_COMPOSIÇÕES 062020'!A:B,2,FALSE),VLOOKUP(C3256,'SINAPI_INSUMOS 062020'!A:B,2,FALSE))</f>
        <v>MASSA DE REJUNTE PRONTA PARA TRATAMENTO DE JUNTAS DE CHAPA DE GESSO PARA DRYWALL, SEM ADICAO DE AGUA</v>
      </c>
      <c r="E3256" s="126" t="str">
        <f>IF(A3256="COMPOSIÇÃO",VLOOKUP(C3256,'SINAPI_COMPOSIÇÕES 062020'!A:C,3,FALSE),VLOOKUP(C3256,'SINAPI_INSUMOS 062020'!A:C,3,FALSE))</f>
        <v xml:space="preserve">KG    </v>
      </c>
      <c r="F3256" s="74">
        <v>0.35</v>
      </c>
      <c r="G3256" s="128">
        <f>IF(A3256="COMPOSIÇÃO",VLOOKUP(C3256,'SINAPI_COMPOSIÇÕES 062020'!A:D,4,FALSE),VLOOKUP(C3256,'SINAPI_INSUMOS 062020'!A:D,4,FALSE))</f>
        <v>2.85</v>
      </c>
      <c r="H3256" s="75">
        <f t="shared" si="255"/>
        <v>0.99</v>
      </c>
    </row>
    <row r="3257" spans="1:8" ht="38.25" x14ac:dyDescent="0.25">
      <c r="A3257" s="125" t="s">
        <v>400</v>
      </c>
      <c r="B3257" s="115" t="s">
        <v>9</v>
      </c>
      <c r="C3257" s="115">
        <v>39422</v>
      </c>
      <c r="D3257" s="127" t="str">
        <f>IF(A3257="COMPOSIÇÃO",VLOOKUP(C3257,'SINAPI_COMPOSIÇÕES 062020'!A:B,2,FALSE),VLOOKUP(C3257,'SINAPI_INSUMOS 062020'!A:B,2,FALSE))</f>
        <v>PERFIL MONTANTE, FORMATO C, EM ACO ZINCADO, PARA ESTRUTURA PAREDE DRYWALL, E = 0,5 MM, 70 X 3000 MM (L X C)</v>
      </c>
      <c r="E3257" s="126" t="str">
        <f>IF(A3257="COMPOSIÇÃO",VLOOKUP(C3257,'SINAPI_COMPOSIÇÕES 062020'!A:C,3,FALSE),VLOOKUP(C3257,'SINAPI_INSUMOS 062020'!A:C,3,FALSE))</f>
        <v xml:space="preserve">M     </v>
      </c>
      <c r="F3257" s="74">
        <v>3</v>
      </c>
      <c r="G3257" s="128">
        <f>IF(A3257="COMPOSIÇÃO",VLOOKUP(C3257,'SINAPI_COMPOSIÇÕES 062020'!A:D,4,FALSE),VLOOKUP(C3257,'SINAPI_INSUMOS 062020'!A:D,4,FALSE))</f>
        <v>6.07</v>
      </c>
      <c r="H3257" s="75">
        <f t="shared" si="255"/>
        <v>18.21</v>
      </c>
    </row>
    <row r="3258" spans="1:8" ht="38.25" x14ac:dyDescent="0.25">
      <c r="A3258" s="125" t="s">
        <v>400</v>
      </c>
      <c r="B3258" s="115" t="s">
        <v>9</v>
      </c>
      <c r="C3258" s="115">
        <v>39442</v>
      </c>
      <c r="D3258" s="127" t="str">
        <f>IF(A3258="COMPOSIÇÃO",VLOOKUP(C3258,'SINAPI_COMPOSIÇÕES 062020'!A:B,2,FALSE),VLOOKUP(C3258,'SINAPI_INSUMOS 062020'!A:B,2,FALSE))</f>
        <v>PARAFUSO DRY WALL, EM ACO ZINCADO, CABECA LENTILHA E PONTA AGULHA (LA), LARGURA 4,2 MM, COMPRIMENTO 13 MM</v>
      </c>
      <c r="E3258" s="126" t="str">
        <f>IF(A3258="COMPOSIÇÃO",VLOOKUP(C3258,'SINAPI_COMPOSIÇÕES 062020'!A:C,3,FALSE),VLOOKUP(C3258,'SINAPI_INSUMOS 062020'!A:C,3,FALSE))</f>
        <v xml:space="preserve">UN    </v>
      </c>
      <c r="F3258" s="74">
        <v>2</v>
      </c>
      <c r="G3258" s="128">
        <f>IF(A3258="COMPOSIÇÃO",VLOOKUP(C3258,'SINAPI_COMPOSIÇÕES 062020'!A:D,4,FALSE),VLOOKUP(C3258,'SINAPI_INSUMOS 062020'!A:D,4,FALSE))</f>
        <v>0.12</v>
      </c>
      <c r="H3258" s="75">
        <f t="shared" si="255"/>
        <v>0.24</v>
      </c>
    </row>
    <row r="3259" spans="1:8" ht="38.25" x14ac:dyDescent="0.25">
      <c r="A3259" s="125" t="s">
        <v>400</v>
      </c>
      <c r="B3259" s="115" t="s">
        <v>9</v>
      </c>
      <c r="C3259" s="115">
        <v>39436</v>
      </c>
      <c r="D3259" s="127" t="str">
        <f>IF(A3259="COMPOSIÇÃO",VLOOKUP(C3259,'SINAPI_COMPOSIÇÕES 062020'!A:B,2,FALSE),VLOOKUP(C3259,'SINAPI_INSUMOS 062020'!A:B,2,FALSE))</f>
        <v>PARAFUSO DRY WALL, EM ACO FOSFATIZADO, CABECA TROMBETA E PONTA AGULHA (TA), COMPRIMENTO 35 MM</v>
      </c>
      <c r="E3259" s="126" t="str">
        <f>IF(A3259="COMPOSIÇÃO",VLOOKUP(C3259,'SINAPI_COMPOSIÇÕES 062020'!A:C,3,FALSE),VLOOKUP(C3259,'SINAPI_INSUMOS 062020'!A:C,3,FALSE))</f>
        <v xml:space="preserve">UN    </v>
      </c>
      <c r="F3259" s="74">
        <v>15</v>
      </c>
      <c r="G3259" s="128">
        <f>IF(A3259="COMPOSIÇÃO",VLOOKUP(C3259,'SINAPI_COMPOSIÇÕES 062020'!A:D,4,FALSE),VLOOKUP(C3259,'SINAPI_INSUMOS 062020'!A:D,4,FALSE))</f>
        <v>0.12</v>
      </c>
      <c r="H3259" s="75">
        <f t="shared" si="255"/>
        <v>1.8</v>
      </c>
    </row>
    <row r="3260" spans="1:8" ht="13.5" thickBot="1" x14ac:dyDescent="0.3">
      <c r="A3260" s="267" t="str">
        <f>CONCATENATE("TOTAL DO ÍTEM - ",A3247)</f>
        <v>TOTAL DO ÍTEM - MPMT-02329</v>
      </c>
      <c r="B3260" s="268"/>
      <c r="C3260" s="268"/>
      <c r="D3260" s="268"/>
      <c r="E3260" s="268"/>
      <c r="F3260" s="268"/>
      <c r="G3260" s="269"/>
      <c r="H3260" s="188">
        <f>TRUNC(SUM(H3251:H3259),2)</f>
        <v>63.63</v>
      </c>
    </row>
    <row r="3261" spans="1:8" ht="13.5" thickBot="1" x14ac:dyDescent="0.3">
      <c r="A3261" s="270" t="s">
        <v>13029</v>
      </c>
      <c r="B3261" s="271"/>
      <c r="C3261" s="271"/>
      <c r="D3261" s="271"/>
      <c r="E3261" s="271"/>
      <c r="F3261" s="271"/>
      <c r="G3261" s="271"/>
      <c r="H3261" s="272"/>
    </row>
    <row r="3262" spans="1:8" ht="13.5" thickBot="1" x14ac:dyDescent="0.3"/>
    <row r="3263" spans="1:8" ht="25.5" x14ac:dyDescent="0.25">
      <c r="A3263" s="120" t="s">
        <v>90</v>
      </c>
      <c r="B3263" s="286" t="s">
        <v>91</v>
      </c>
      <c r="C3263" s="287"/>
      <c r="D3263" s="287"/>
      <c r="E3263" s="287"/>
      <c r="F3263" s="287"/>
      <c r="G3263" s="288"/>
      <c r="H3263" s="121" t="s">
        <v>4</v>
      </c>
    </row>
    <row r="3264" spans="1:8" ht="13.5" thickBot="1" x14ac:dyDescent="0.3">
      <c r="A3264" s="113" t="s">
        <v>13030</v>
      </c>
      <c r="B3264" s="289" t="s">
        <v>13032</v>
      </c>
      <c r="C3264" s="290"/>
      <c r="D3264" s="290"/>
      <c r="E3264" s="290"/>
      <c r="F3264" s="290"/>
      <c r="G3264" s="291"/>
      <c r="H3264" s="114" t="s">
        <v>13005</v>
      </c>
    </row>
    <row r="3265" spans="1:8" x14ac:dyDescent="0.25">
      <c r="A3265" s="273" t="s">
        <v>13834</v>
      </c>
      <c r="B3265" s="275" t="s">
        <v>92</v>
      </c>
      <c r="C3265" s="276"/>
      <c r="D3265" s="185" t="s">
        <v>398</v>
      </c>
      <c r="E3265" s="239" t="s">
        <v>93</v>
      </c>
      <c r="F3265" s="186">
        <v>0</v>
      </c>
      <c r="G3265" s="277" t="s">
        <v>94</v>
      </c>
      <c r="H3265" s="278"/>
    </row>
    <row r="3266" spans="1:8" x14ac:dyDescent="0.25">
      <c r="A3266" s="274"/>
      <c r="B3266" s="281" t="s">
        <v>95</v>
      </c>
      <c r="C3266" s="282"/>
      <c r="D3266" s="187">
        <v>43451</v>
      </c>
      <c r="E3266" s="240" t="s">
        <v>96</v>
      </c>
      <c r="F3266" s="230">
        <v>43451</v>
      </c>
      <c r="G3266" s="279"/>
      <c r="H3266" s="280"/>
    </row>
    <row r="3267" spans="1:8" x14ac:dyDescent="0.25">
      <c r="A3267" s="122" t="s">
        <v>11885</v>
      </c>
      <c r="B3267" s="226" t="s">
        <v>97</v>
      </c>
      <c r="C3267" s="226" t="s">
        <v>98</v>
      </c>
      <c r="D3267" s="226" t="s">
        <v>3</v>
      </c>
      <c r="E3267" s="226" t="s">
        <v>4</v>
      </c>
      <c r="F3267" s="226" t="s">
        <v>99</v>
      </c>
      <c r="G3267" s="226" t="s">
        <v>100</v>
      </c>
      <c r="H3267" s="227" t="s">
        <v>101</v>
      </c>
    </row>
    <row r="3268" spans="1:8" ht="25.5" x14ac:dyDescent="0.25">
      <c r="A3268" s="125" t="s">
        <v>398</v>
      </c>
      <c r="B3268" s="115" t="s">
        <v>9</v>
      </c>
      <c r="C3268" s="115">
        <v>90777</v>
      </c>
      <c r="D3268" s="127" t="str">
        <f>IF(A3268="COMPOSIÇÃO",VLOOKUP(C3268,'SINAPI_COMPOSIÇÕES 062020'!A:B,2,FALSE),VLOOKUP(C3268,'SINAPI_INSUMOS 062020'!A:B,2,FALSE))</f>
        <v>ENGENHEIRO CIVIL DE OBRA JUNIOR COM ENCARGOS COMPLEMENTARES</v>
      </c>
      <c r="E3268" s="126" t="str">
        <f>IF(A3268="COMPOSIÇÃO",VLOOKUP(C3268,'SINAPI_COMPOSIÇÕES 062020'!A:C,3,FALSE),VLOOKUP(C3268,'SINAPI_INSUMOS 062020'!A:C,3,FALSE))</f>
        <v>H</v>
      </c>
      <c r="F3268" s="365">
        <f>3*4</f>
        <v>12</v>
      </c>
      <c r="G3268" s="128">
        <f>IF(A3268="COMPOSIÇÃO",VLOOKUP(C3268,'SINAPI_COMPOSIÇÕES 062020'!A:D,4,FALSE),VLOOKUP(C3268,'SINAPI_INSUMOS 062020'!A:D,4,FALSE))</f>
        <v>79.17</v>
      </c>
      <c r="H3268" s="75">
        <f t="shared" ref="H3268:H3269" si="256">TRUNC(G3268*F3268,2)</f>
        <v>950.04</v>
      </c>
    </row>
    <row r="3269" spans="1:8" ht="25.5" x14ac:dyDescent="0.25">
      <c r="A3269" s="125" t="s">
        <v>398</v>
      </c>
      <c r="B3269" s="115" t="s">
        <v>9</v>
      </c>
      <c r="C3269" s="115">
        <v>93572</v>
      </c>
      <c r="D3269" s="127" t="str">
        <f>IF(A3269="COMPOSIÇÃO",VLOOKUP(C3269,'SINAPI_COMPOSIÇÕES 062020'!A:B,2,FALSE),VLOOKUP(C3269,'SINAPI_INSUMOS 062020'!A:B,2,FALSE))</f>
        <v>ENCARREGADO GERAL DE OBRAS COM ENCARGOS COMPLEMENTARES</v>
      </c>
      <c r="E3269" s="126" t="str">
        <f>IF(A3269="COMPOSIÇÃO",VLOOKUP(C3269,'SINAPI_COMPOSIÇÕES 062020'!A:C,3,FALSE),VLOOKUP(C3269,'SINAPI_INSUMOS 062020'!A:C,3,FALSE))</f>
        <v>MES</v>
      </c>
      <c r="F3269" s="365">
        <v>1</v>
      </c>
      <c r="G3269" s="128">
        <f>IF(A3269="COMPOSIÇÃO",VLOOKUP(C3269,'SINAPI_COMPOSIÇÕES 062020'!A:D,4,FALSE),VLOOKUP(C3269,'SINAPI_INSUMOS 062020'!A:D,4,FALSE))</f>
        <v>3342.75</v>
      </c>
      <c r="H3269" s="75">
        <f t="shared" si="256"/>
        <v>3342.75</v>
      </c>
    </row>
    <row r="3270" spans="1:8" ht="25.5" x14ac:dyDescent="0.25">
      <c r="A3270" s="125" t="s">
        <v>398</v>
      </c>
      <c r="B3270" s="115" t="s">
        <v>9</v>
      </c>
      <c r="C3270" s="115">
        <v>88326</v>
      </c>
      <c r="D3270" s="127" t="str">
        <f>IF(A3270="COMPOSIÇÃO",VLOOKUP(C3270,'SINAPI_COMPOSIÇÕES 062020'!A:B,2,FALSE),VLOOKUP(C3270,'SINAPI_INSUMOS 062020'!A:B,2,FALSE))</f>
        <v>VIGIA NOTURNO COM ENCARGOS COMPLEMENTARES</v>
      </c>
      <c r="E3270" s="126" t="str">
        <f>IF(A3270="COMPOSIÇÃO",VLOOKUP(C3270,'SINAPI_COMPOSIÇÕES 062020'!A:C,3,FALSE),VLOOKUP(C3270,'SINAPI_INSUMOS 062020'!A:C,3,FALSE))</f>
        <v>H</v>
      </c>
      <c r="F3270" s="365">
        <f>(12*7*4)</f>
        <v>336</v>
      </c>
      <c r="G3270" s="128">
        <f>IF(A3270="COMPOSIÇÃO",VLOOKUP(C3270,'SINAPI_COMPOSIÇÕES 062020'!A:D,4,FALSE),VLOOKUP(C3270,'SINAPI_INSUMOS 062020'!A:D,4,FALSE))</f>
        <v>18.350000000000001</v>
      </c>
      <c r="H3270" s="75">
        <f t="shared" ref="H3270" si="257">TRUNC(G3270*F3270,2)</f>
        <v>6165.6</v>
      </c>
    </row>
    <row r="3271" spans="1:8" ht="13.5" thickBot="1" x14ac:dyDescent="0.3">
      <c r="A3271" s="267" t="str">
        <f>CONCATENATE("TOTAL DO ÍTEM - ",A3264)</f>
        <v>TOTAL DO ÍTEM - MPMT-08011</v>
      </c>
      <c r="B3271" s="268"/>
      <c r="C3271" s="268"/>
      <c r="D3271" s="268"/>
      <c r="E3271" s="268"/>
      <c r="F3271" s="268"/>
      <c r="G3271" s="269"/>
      <c r="H3271" s="188">
        <f>TRUNC(SUM(H3268:H3270),2)</f>
        <v>10458.39</v>
      </c>
    </row>
    <row r="3272" spans="1:8" ht="13.5" thickBot="1" x14ac:dyDescent="0.3">
      <c r="A3272" s="283" t="s">
        <v>13031</v>
      </c>
      <c r="B3272" s="284"/>
      <c r="C3272" s="284"/>
      <c r="D3272" s="284"/>
      <c r="E3272" s="284"/>
      <c r="F3272" s="284"/>
      <c r="G3272" s="284"/>
      <c r="H3272" s="285"/>
    </row>
  </sheetData>
  <dataConsolidate/>
  <mergeCells count="2340">
    <mergeCell ref="A3272:H3272"/>
    <mergeCell ref="A3243:G3243"/>
    <mergeCell ref="A3244:H3244"/>
    <mergeCell ref="B3246:G3246"/>
    <mergeCell ref="B3247:G3247"/>
    <mergeCell ref="A3248:A3249"/>
    <mergeCell ref="B3248:C3248"/>
    <mergeCell ref="G3248:H3249"/>
    <mergeCell ref="B3249:C3249"/>
    <mergeCell ref="A3260:G3260"/>
    <mergeCell ref="A3261:H3261"/>
    <mergeCell ref="B3263:G3263"/>
    <mergeCell ref="B3264:G3264"/>
    <mergeCell ref="A3265:A3266"/>
    <mergeCell ref="B3265:C3265"/>
    <mergeCell ref="G3265:H3266"/>
    <mergeCell ref="B3266:C3266"/>
    <mergeCell ref="A3271:G3271"/>
    <mergeCell ref="B3219:G3219"/>
    <mergeCell ref="E3220:F3220"/>
    <mergeCell ref="E3221:F3221"/>
    <mergeCell ref="E3222:F3222"/>
    <mergeCell ref="E3223:F3223"/>
    <mergeCell ref="A3224:G3224"/>
    <mergeCell ref="B3226:G3226"/>
    <mergeCell ref="B3227:G3227"/>
    <mergeCell ref="A3228:A3229"/>
    <mergeCell ref="B3228:C3228"/>
    <mergeCell ref="G3228:H3229"/>
    <mergeCell ref="B3229:C3229"/>
    <mergeCell ref="A3233:G3233"/>
    <mergeCell ref="A3234:H3234"/>
    <mergeCell ref="B3236:G3236"/>
    <mergeCell ref="B3237:G3237"/>
    <mergeCell ref="A3238:A3239"/>
    <mergeCell ref="B3238:C3238"/>
    <mergeCell ref="G3238:H3239"/>
    <mergeCell ref="B3239:C3239"/>
    <mergeCell ref="B3196:G3196"/>
    <mergeCell ref="B3197:G3197"/>
    <mergeCell ref="A3198:A3199"/>
    <mergeCell ref="B3198:C3198"/>
    <mergeCell ref="G3198:H3199"/>
    <mergeCell ref="B3199:C3199"/>
    <mergeCell ref="A3207:G3207"/>
    <mergeCell ref="A3208:H3208"/>
    <mergeCell ref="B3210:G3210"/>
    <mergeCell ref="B3211:G3211"/>
    <mergeCell ref="A3212:A3213"/>
    <mergeCell ref="B3212:C3212"/>
    <mergeCell ref="G3212:H3213"/>
    <mergeCell ref="B3213:C3213"/>
    <mergeCell ref="A3216:G3216"/>
    <mergeCell ref="A3217:H3217"/>
    <mergeCell ref="B3218:G3218"/>
    <mergeCell ref="A3158:H3158"/>
    <mergeCell ref="B3160:G3160"/>
    <mergeCell ref="B3161:G3161"/>
    <mergeCell ref="A3162:A3163"/>
    <mergeCell ref="B3162:C3162"/>
    <mergeCell ref="G3162:H3163"/>
    <mergeCell ref="B3163:C3163"/>
    <mergeCell ref="A3184:G3184"/>
    <mergeCell ref="A3185:H3185"/>
    <mergeCell ref="B3187:G3187"/>
    <mergeCell ref="B3188:G3188"/>
    <mergeCell ref="A3189:A3190"/>
    <mergeCell ref="B3189:C3189"/>
    <mergeCell ref="G3189:H3190"/>
    <mergeCell ref="B3190:C3190"/>
    <mergeCell ref="A3193:G3193"/>
    <mergeCell ref="A3194:H3194"/>
    <mergeCell ref="B3133:G3133"/>
    <mergeCell ref="B3134:G3134"/>
    <mergeCell ref="A3135:A3136"/>
    <mergeCell ref="B3135:C3135"/>
    <mergeCell ref="G3135:H3136"/>
    <mergeCell ref="B3136:C3136"/>
    <mergeCell ref="A3142:G3142"/>
    <mergeCell ref="A3143:H3143"/>
    <mergeCell ref="B3145:G3145"/>
    <mergeCell ref="B3146:G3146"/>
    <mergeCell ref="A3147:A3148"/>
    <mergeCell ref="B3147:C3147"/>
    <mergeCell ref="G3147:H3148"/>
    <mergeCell ref="B3148:C3148"/>
    <mergeCell ref="A3157:G3157"/>
    <mergeCell ref="A3109:H3109"/>
    <mergeCell ref="B3111:G3111"/>
    <mergeCell ref="B3112:G3112"/>
    <mergeCell ref="A3113:A3114"/>
    <mergeCell ref="B3113:C3113"/>
    <mergeCell ref="G3113:H3114"/>
    <mergeCell ref="B3114:C3114"/>
    <mergeCell ref="A3119:G3119"/>
    <mergeCell ref="A3120:H3120"/>
    <mergeCell ref="B3122:G3122"/>
    <mergeCell ref="B3123:G3123"/>
    <mergeCell ref="A3124:A3125"/>
    <mergeCell ref="B3124:C3124"/>
    <mergeCell ref="G3124:H3125"/>
    <mergeCell ref="B3125:C3125"/>
    <mergeCell ref="A3130:G3130"/>
    <mergeCell ref="A3131:H3131"/>
    <mergeCell ref="A3087:G3087"/>
    <mergeCell ref="A3088:H3088"/>
    <mergeCell ref="B3090:G3090"/>
    <mergeCell ref="B3091:G3091"/>
    <mergeCell ref="A3092:A3093"/>
    <mergeCell ref="B3092:C3092"/>
    <mergeCell ref="G3092:H3093"/>
    <mergeCell ref="B3093:C3093"/>
    <mergeCell ref="A3097:G3097"/>
    <mergeCell ref="A3098:H3098"/>
    <mergeCell ref="B3100:G3100"/>
    <mergeCell ref="B3101:G3101"/>
    <mergeCell ref="A3102:A3103"/>
    <mergeCell ref="B3102:C3102"/>
    <mergeCell ref="G3102:H3103"/>
    <mergeCell ref="B3103:C3103"/>
    <mergeCell ref="A3108:G3108"/>
    <mergeCell ref="B3054:G3054"/>
    <mergeCell ref="A3055:A3056"/>
    <mergeCell ref="B3055:C3055"/>
    <mergeCell ref="G3055:H3056"/>
    <mergeCell ref="B3056:C3056"/>
    <mergeCell ref="A3067:G3067"/>
    <mergeCell ref="A3068:H3068"/>
    <mergeCell ref="B3069:G3069"/>
    <mergeCell ref="B3070:G3070"/>
    <mergeCell ref="E3071:F3071"/>
    <mergeCell ref="E3072:F3072"/>
    <mergeCell ref="E3073:F3073"/>
    <mergeCell ref="E3074:F3074"/>
    <mergeCell ref="A3075:G3075"/>
    <mergeCell ref="B3077:G3077"/>
    <mergeCell ref="B3078:G3078"/>
    <mergeCell ref="A3079:A3080"/>
    <mergeCell ref="B3079:C3079"/>
    <mergeCell ref="G3079:H3080"/>
    <mergeCell ref="B3080:C3080"/>
    <mergeCell ref="A3035:H3035"/>
    <mergeCell ref="B3036:G3036"/>
    <mergeCell ref="B3037:G3037"/>
    <mergeCell ref="E3038:F3038"/>
    <mergeCell ref="E3039:F3039"/>
    <mergeCell ref="E3040:F3040"/>
    <mergeCell ref="E3041:F3041"/>
    <mergeCell ref="A3042:G3042"/>
    <mergeCell ref="B3044:G3044"/>
    <mergeCell ref="B3045:G3045"/>
    <mergeCell ref="A3046:A3047"/>
    <mergeCell ref="B3046:C3046"/>
    <mergeCell ref="G3046:H3047"/>
    <mergeCell ref="B3047:C3047"/>
    <mergeCell ref="A3050:G3050"/>
    <mergeCell ref="A3051:H3051"/>
    <mergeCell ref="B3053:G3053"/>
    <mergeCell ref="B3014:G3014"/>
    <mergeCell ref="B3015:G3015"/>
    <mergeCell ref="A3016:A3017"/>
    <mergeCell ref="B3016:C3016"/>
    <mergeCell ref="G3016:H3017"/>
    <mergeCell ref="B3017:C3017"/>
    <mergeCell ref="A3023:G3023"/>
    <mergeCell ref="A3024:H3024"/>
    <mergeCell ref="B3026:G3026"/>
    <mergeCell ref="B3027:G3027"/>
    <mergeCell ref="A3028:A3029"/>
    <mergeCell ref="B3028:C3028"/>
    <mergeCell ref="G3028:H3029"/>
    <mergeCell ref="B3029:C3029"/>
    <mergeCell ref="A3034:G3034"/>
    <mergeCell ref="E2999:F2999"/>
    <mergeCell ref="A3000:G3000"/>
    <mergeCell ref="B3001:G3001"/>
    <mergeCell ref="E3002:F3002"/>
    <mergeCell ref="E3003:F3003"/>
    <mergeCell ref="A3004:G3004"/>
    <mergeCell ref="B3005:G3005"/>
    <mergeCell ref="E3006:F3006"/>
    <mergeCell ref="E3007:F3007"/>
    <mergeCell ref="A3008:G3008"/>
    <mergeCell ref="B3009:G3009"/>
    <mergeCell ref="E3010:F3010"/>
    <mergeCell ref="E3011:F3011"/>
    <mergeCell ref="A3012:G3012"/>
    <mergeCell ref="A2977:A2978"/>
    <mergeCell ref="B2977:C2977"/>
    <mergeCell ref="G2977:H2978"/>
    <mergeCell ref="B2978:C2978"/>
    <mergeCell ref="A2982:G2982"/>
    <mergeCell ref="A2983:H2983"/>
    <mergeCell ref="B2985:G2985"/>
    <mergeCell ref="B2986:G2986"/>
    <mergeCell ref="A2987:A2988"/>
    <mergeCell ref="B2987:C2987"/>
    <mergeCell ref="G2987:H2988"/>
    <mergeCell ref="B2988:C2988"/>
    <mergeCell ref="A2994:G2994"/>
    <mergeCell ref="A2995:H2995"/>
    <mergeCell ref="A2996:H2996"/>
    <mergeCell ref="B2997:G2997"/>
    <mergeCell ref="E2998:F2998"/>
    <mergeCell ref="B2959:G2959"/>
    <mergeCell ref="B2960:G2960"/>
    <mergeCell ref="A2961:A2962"/>
    <mergeCell ref="B2961:C2961"/>
    <mergeCell ref="G2961:H2962"/>
    <mergeCell ref="B2962:C2962"/>
    <mergeCell ref="A2965:G2965"/>
    <mergeCell ref="A2966:H2966"/>
    <mergeCell ref="A2967:H2967"/>
    <mergeCell ref="B2968:G2968"/>
    <mergeCell ref="E2969:F2969"/>
    <mergeCell ref="E2970:F2970"/>
    <mergeCell ref="E2971:F2971"/>
    <mergeCell ref="E2972:F2972"/>
    <mergeCell ref="A2973:G2973"/>
    <mergeCell ref="B2975:G2975"/>
    <mergeCell ref="B2976:G2976"/>
    <mergeCell ref="A2939:G2939"/>
    <mergeCell ref="A2940:H2940"/>
    <mergeCell ref="A2941:H2941"/>
    <mergeCell ref="B2942:G2942"/>
    <mergeCell ref="E2943:F2943"/>
    <mergeCell ref="E2944:F2944"/>
    <mergeCell ref="E2945:F2945"/>
    <mergeCell ref="E2946:F2946"/>
    <mergeCell ref="A2947:G2947"/>
    <mergeCell ref="B2949:G2949"/>
    <mergeCell ref="B2950:G2950"/>
    <mergeCell ref="A2951:A2952"/>
    <mergeCell ref="B2951:C2951"/>
    <mergeCell ref="G2951:H2952"/>
    <mergeCell ref="B2952:C2952"/>
    <mergeCell ref="A2956:G2956"/>
    <mergeCell ref="A2957:H2957"/>
    <mergeCell ref="E2919:F2919"/>
    <mergeCell ref="E2920:F2920"/>
    <mergeCell ref="E2921:F2921"/>
    <mergeCell ref="A2922:G2922"/>
    <mergeCell ref="B2924:G2924"/>
    <mergeCell ref="B2925:G2925"/>
    <mergeCell ref="A2926:A2927"/>
    <mergeCell ref="B2926:C2926"/>
    <mergeCell ref="G2926:H2927"/>
    <mergeCell ref="B2927:C2927"/>
    <mergeCell ref="A2930:G2930"/>
    <mergeCell ref="A2931:H2931"/>
    <mergeCell ref="B2933:G2933"/>
    <mergeCell ref="B2934:G2934"/>
    <mergeCell ref="A2935:A2936"/>
    <mergeCell ref="B2935:C2935"/>
    <mergeCell ref="G2935:H2936"/>
    <mergeCell ref="B2936:C2936"/>
    <mergeCell ref="B2901:G2901"/>
    <mergeCell ref="E2902:F2902"/>
    <mergeCell ref="E2903:F2903"/>
    <mergeCell ref="E2904:F2904"/>
    <mergeCell ref="E2905:F2905"/>
    <mergeCell ref="A2906:G2906"/>
    <mergeCell ref="B2908:G2908"/>
    <mergeCell ref="B2909:G2909"/>
    <mergeCell ref="A2910:A2911"/>
    <mergeCell ref="B2910:C2910"/>
    <mergeCell ref="G2910:H2911"/>
    <mergeCell ref="B2911:C2911"/>
    <mergeCell ref="A2914:G2914"/>
    <mergeCell ref="A2915:H2915"/>
    <mergeCell ref="A2916:H2916"/>
    <mergeCell ref="B2917:G2917"/>
    <mergeCell ref="E2918:F2918"/>
    <mergeCell ref="B2883:G2883"/>
    <mergeCell ref="B2884:G2884"/>
    <mergeCell ref="A2885:A2886"/>
    <mergeCell ref="B2885:C2885"/>
    <mergeCell ref="G2885:H2886"/>
    <mergeCell ref="B2886:C2886"/>
    <mergeCell ref="A2889:G2889"/>
    <mergeCell ref="A2890:H2890"/>
    <mergeCell ref="B2892:G2892"/>
    <mergeCell ref="B2893:G2893"/>
    <mergeCell ref="A2894:A2895"/>
    <mergeCell ref="B2894:C2894"/>
    <mergeCell ref="G2894:H2895"/>
    <mergeCell ref="B2895:C2895"/>
    <mergeCell ref="A2898:G2898"/>
    <mergeCell ref="A2899:H2899"/>
    <mergeCell ref="A2900:H2900"/>
    <mergeCell ref="A2864:G2864"/>
    <mergeCell ref="A2865:H2865"/>
    <mergeCell ref="A2866:H2866"/>
    <mergeCell ref="B2867:G2867"/>
    <mergeCell ref="E2868:F2868"/>
    <mergeCell ref="E2869:F2869"/>
    <mergeCell ref="E2870:F2870"/>
    <mergeCell ref="E2871:F2871"/>
    <mergeCell ref="A2872:G2872"/>
    <mergeCell ref="B2874:G2874"/>
    <mergeCell ref="B2875:G2875"/>
    <mergeCell ref="A2876:A2877"/>
    <mergeCell ref="B2876:C2876"/>
    <mergeCell ref="G2876:H2877"/>
    <mergeCell ref="B2877:C2877"/>
    <mergeCell ref="A2880:G2880"/>
    <mergeCell ref="A2881:H2881"/>
    <mergeCell ref="B2843:G2843"/>
    <mergeCell ref="A2844:A2845"/>
    <mergeCell ref="B2844:C2844"/>
    <mergeCell ref="G2844:H2845"/>
    <mergeCell ref="B2845:C2845"/>
    <mergeCell ref="A2848:G2848"/>
    <mergeCell ref="A2849:H2849"/>
    <mergeCell ref="A2850:H2850"/>
    <mergeCell ref="B2851:G2851"/>
    <mergeCell ref="E2852:F2852"/>
    <mergeCell ref="E2853:F2853"/>
    <mergeCell ref="E2854:F2854"/>
    <mergeCell ref="E2855:F2855"/>
    <mergeCell ref="A2856:G2856"/>
    <mergeCell ref="B2858:G2858"/>
    <mergeCell ref="B2859:G2859"/>
    <mergeCell ref="A2860:A2861"/>
    <mergeCell ref="B2860:C2860"/>
    <mergeCell ref="G2860:H2861"/>
    <mergeCell ref="B2861:C2861"/>
    <mergeCell ref="B2824:G2824"/>
    <mergeCell ref="B2825:G2825"/>
    <mergeCell ref="A2826:A2827"/>
    <mergeCell ref="B2826:C2826"/>
    <mergeCell ref="G2826:H2827"/>
    <mergeCell ref="B2827:C2827"/>
    <mergeCell ref="A2830:G2830"/>
    <mergeCell ref="A2831:H2831"/>
    <mergeCell ref="B2833:G2833"/>
    <mergeCell ref="B2834:G2834"/>
    <mergeCell ref="A2835:A2836"/>
    <mergeCell ref="B2835:C2835"/>
    <mergeCell ref="G2835:H2836"/>
    <mergeCell ref="B2836:C2836"/>
    <mergeCell ref="A2839:G2839"/>
    <mergeCell ref="A2840:H2840"/>
    <mergeCell ref="B2842:G2842"/>
    <mergeCell ref="A2805:G2805"/>
    <mergeCell ref="A2806:H2806"/>
    <mergeCell ref="B2808:G2808"/>
    <mergeCell ref="B2809:G2809"/>
    <mergeCell ref="A2810:A2811"/>
    <mergeCell ref="B2810:C2810"/>
    <mergeCell ref="G2810:H2811"/>
    <mergeCell ref="B2811:C2811"/>
    <mergeCell ref="A2814:G2814"/>
    <mergeCell ref="A2815:H2815"/>
    <mergeCell ref="A2816:H2816"/>
    <mergeCell ref="B2817:G2817"/>
    <mergeCell ref="E2818:F2818"/>
    <mergeCell ref="E2819:F2819"/>
    <mergeCell ref="E2820:F2820"/>
    <mergeCell ref="E2821:F2821"/>
    <mergeCell ref="A2822:G2822"/>
    <mergeCell ref="A2780:A2781"/>
    <mergeCell ref="B2780:C2780"/>
    <mergeCell ref="G2780:H2781"/>
    <mergeCell ref="B2781:C2781"/>
    <mergeCell ref="A2784:G2784"/>
    <mergeCell ref="A2785:H2785"/>
    <mergeCell ref="B2787:G2787"/>
    <mergeCell ref="B2788:G2788"/>
    <mergeCell ref="A2789:A2790"/>
    <mergeCell ref="B2789:C2789"/>
    <mergeCell ref="G2789:H2790"/>
    <mergeCell ref="B2790:C2790"/>
    <mergeCell ref="A2795:G2795"/>
    <mergeCell ref="A2796:H2796"/>
    <mergeCell ref="B2798:G2798"/>
    <mergeCell ref="B2799:G2799"/>
    <mergeCell ref="A2800:A2801"/>
    <mergeCell ref="B2800:C2800"/>
    <mergeCell ref="G2800:H2801"/>
    <mergeCell ref="B2801:C2801"/>
    <mergeCell ref="B2761:G2761"/>
    <mergeCell ref="B2762:G2762"/>
    <mergeCell ref="A2763:A2764"/>
    <mergeCell ref="B2763:C2763"/>
    <mergeCell ref="G2763:H2764"/>
    <mergeCell ref="B2764:C2764"/>
    <mergeCell ref="A2768:G2768"/>
    <mergeCell ref="A2769:H2769"/>
    <mergeCell ref="A2770:H2770"/>
    <mergeCell ref="B2771:G2771"/>
    <mergeCell ref="E2772:F2772"/>
    <mergeCell ref="E2773:F2773"/>
    <mergeCell ref="E2774:F2774"/>
    <mergeCell ref="E2775:F2775"/>
    <mergeCell ref="A2776:G2776"/>
    <mergeCell ref="B2778:G2778"/>
    <mergeCell ref="B2779:G2779"/>
    <mergeCell ref="A2741:G2741"/>
    <mergeCell ref="A2742:H2742"/>
    <mergeCell ref="A2743:H2743"/>
    <mergeCell ref="B2744:G2744"/>
    <mergeCell ref="E2745:F2745"/>
    <mergeCell ref="E2746:F2746"/>
    <mergeCell ref="E2747:F2747"/>
    <mergeCell ref="E2748:F2748"/>
    <mergeCell ref="A2749:G2749"/>
    <mergeCell ref="B2751:G2751"/>
    <mergeCell ref="B2752:G2752"/>
    <mergeCell ref="A2753:A2754"/>
    <mergeCell ref="B2753:C2753"/>
    <mergeCell ref="G2753:H2754"/>
    <mergeCell ref="B2754:C2754"/>
    <mergeCell ref="A2758:G2758"/>
    <mergeCell ref="A2759:H2759"/>
    <mergeCell ref="E2719:F2719"/>
    <mergeCell ref="E2720:F2720"/>
    <mergeCell ref="E2721:F2721"/>
    <mergeCell ref="E2722:F2722"/>
    <mergeCell ref="A2723:G2723"/>
    <mergeCell ref="B2725:G2725"/>
    <mergeCell ref="B2726:G2726"/>
    <mergeCell ref="A2727:A2728"/>
    <mergeCell ref="B2727:C2727"/>
    <mergeCell ref="G2727:H2728"/>
    <mergeCell ref="B2728:C2728"/>
    <mergeCell ref="A2731:G2731"/>
    <mergeCell ref="A2732:H2732"/>
    <mergeCell ref="B2734:G2734"/>
    <mergeCell ref="B2735:G2735"/>
    <mergeCell ref="A2736:A2737"/>
    <mergeCell ref="B2736:C2736"/>
    <mergeCell ref="G2736:H2737"/>
    <mergeCell ref="B2737:C2737"/>
    <mergeCell ref="B2699:G2699"/>
    <mergeCell ref="A2700:A2701"/>
    <mergeCell ref="B2700:C2700"/>
    <mergeCell ref="G2700:H2701"/>
    <mergeCell ref="B2701:C2701"/>
    <mergeCell ref="A2704:G2704"/>
    <mergeCell ref="A2705:H2705"/>
    <mergeCell ref="B2707:G2707"/>
    <mergeCell ref="B2708:G2708"/>
    <mergeCell ref="A2709:A2710"/>
    <mergeCell ref="B2709:C2709"/>
    <mergeCell ref="G2709:H2710"/>
    <mergeCell ref="B2710:C2710"/>
    <mergeCell ref="A2715:G2715"/>
    <mergeCell ref="A2716:H2716"/>
    <mergeCell ref="A2717:H2717"/>
    <mergeCell ref="B2718:G2718"/>
    <mergeCell ref="B2678:G2678"/>
    <mergeCell ref="B2679:G2679"/>
    <mergeCell ref="A2680:A2681"/>
    <mergeCell ref="B2680:C2680"/>
    <mergeCell ref="G2680:H2681"/>
    <mergeCell ref="B2681:C2681"/>
    <mergeCell ref="A2685:G2685"/>
    <mergeCell ref="A2686:H2686"/>
    <mergeCell ref="B2688:G2688"/>
    <mergeCell ref="B2689:G2689"/>
    <mergeCell ref="A2690:A2691"/>
    <mergeCell ref="B2690:C2690"/>
    <mergeCell ref="G2690:H2691"/>
    <mergeCell ref="B2691:C2691"/>
    <mergeCell ref="A2695:G2695"/>
    <mergeCell ref="A2696:H2696"/>
    <mergeCell ref="B2698:G2698"/>
    <mergeCell ref="A2658:G2658"/>
    <mergeCell ref="A2659:H2659"/>
    <mergeCell ref="A2660:H2660"/>
    <mergeCell ref="B2661:G2661"/>
    <mergeCell ref="E2662:F2662"/>
    <mergeCell ref="E2663:F2663"/>
    <mergeCell ref="E2664:F2664"/>
    <mergeCell ref="E2665:F2665"/>
    <mergeCell ref="A2666:G2666"/>
    <mergeCell ref="B2668:G2668"/>
    <mergeCell ref="B2669:G2669"/>
    <mergeCell ref="A2670:A2671"/>
    <mergeCell ref="B2670:C2670"/>
    <mergeCell ref="G2670:H2671"/>
    <mergeCell ref="B2671:C2671"/>
    <mergeCell ref="A2675:G2675"/>
    <mergeCell ref="A2676:H2676"/>
    <mergeCell ref="A2637:A2638"/>
    <mergeCell ref="B2637:C2637"/>
    <mergeCell ref="G2637:H2638"/>
    <mergeCell ref="B2638:C2638"/>
    <mergeCell ref="A2641:G2641"/>
    <mergeCell ref="A2642:H2642"/>
    <mergeCell ref="A2643:H2643"/>
    <mergeCell ref="B2644:G2644"/>
    <mergeCell ref="E2645:F2645"/>
    <mergeCell ref="E2646:F2646"/>
    <mergeCell ref="E2647:F2647"/>
    <mergeCell ref="E2648:F2648"/>
    <mergeCell ref="A2649:G2649"/>
    <mergeCell ref="B2651:G2651"/>
    <mergeCell ref="B2652:G2652"/>
    <mergeCell ref="A2653:A2654"/>
    <mergeCell ref="B2653:C2653"/>
    <mergeCell ref="G2653:H2654"/>
    <mergeCell ref="B2654:C2654"/>
    <mergeCell ref="B2617:G2617"/>
    <mergeCell ref="B2618:G2618"/>
    <mergeCell ref="A2619:A2620"/>
    <mergeCell ref="B2619:C2619"/>
    <mergeCell ref="G2619:H2620"/>
    <mergeCell ref="B2620:C2620"/>
    <mergeCell ref="A2623:G2623"/>
    <mergeCell ref="B2625:G2625"/>
    <mergeCell ref="B2626:G2626"/>
    <mergeCell ref="A2627:A2628"/>
    <mergeCell ref="B2627:C2627"/>
    <mergeCell ref="G2627:H2628"/>
    <mergeCell ref="B2628:C2628"/>
    <mergeCell ref="A2632:G2632"/>
    <mergeCell ref="A2633:H2633"/>
    <mergeCell ref="B2635:G2635"/>
    <mergeCell ref="B2636:G2636"/>
    <mergeCell ref="A2597:G2597"/>
    <mergeCell ref="A2598:H2598"/>
    <mergeCell ref="A2599:H2599"/>
    <mergeCell ref="B2600:G2600"/>
    <mergeCell ref="E2601:F2601"/>
    <mergeCell ref="E2602:F2602"/>
    <mergeCell ref="E2603:F2603"/>
    <mergeCell ref="E2604:F2604"/>
    <mergeCell ref="A2605:G2605"/>
    <mergeCell ref="B2607:G2607"/>
    <mergeCell ref="B2608:G2608"/>
    <mergeCell ref="A2609:A2610"/>
    <mergeCell ref="B2609:C2609"/>
    <mergeCell ref="G2609:H2610"/>
    <mergeCell ref="B2610:C2610"/>
    <mergeCell ref="A2614:G2614"/>
    <mergeCell ref="A2615:H2615"/>
    <mergeCell ref="E2577:F2577"/>
    <mergeCell ref="E2578:F2578"/>
    <mergeCell ref="E2579:F2579"/>
    <mergeCell ref="A2580:G2580"/>
    <mergeCell ref="B2582:G2582"/>
    <mergeCell ref="B2583:G2583"/>
    <mergeCell ref="A2584:A2585"/>
    <mergeCell ref="B2584:C2584"/>
    <mergeCell ref="G2584:H2585"/>
    <mergeCell ref="B2585:C2585"/>
    <mergeCell ref="A2588:G2588"/>
    <mergeCell ref="A2589:H2589"/>
    <mergeCell ref="B2591:G2591"/>
    <mergeCell ref="B2592:G2592"/>
    <mergeCell ref="A2593:A2594"/>
    <mergeCell ref="B2593:C2593"/>
    <mergeCell ref="G2593:H2594"/>
    <mergeCell ref="B2594:C2594"/>
    <mergeCell ref="A2558:A2559"/>
    <mergeCell ref="B2558:C2558"/>
    <mergeCell ref="G2558:H2559"/>
    <mergeCell ref="B2559:C2559"/>
    <mergeCell ref="A2563:G2563"/>
    <mergeCell ref="A2564:H2564"/>
    <mergeCell ref="B2566:G2566"/>
    <mergeCell ref="B2567:G2567"/>
    <mergeCell ref="A2568:A2569"/>
    <mergeCell ref="B2568:C2568"/>
    <mergeCell ref="G2568:H2569"/>
    <mergeCell ref="B2569:C2569"/>
    <mergeCell ref="A2572:G2572"/>
    <mergeCell ref="A2573:H2573"/>
    <mergeCell ref="A2574:H2574"/>
    <mergeCell ref="B2575:G2575"/>
    <mergeCell ref="E2576:F2576"/>
    <mergeCell ref="B2540:G2540"/>
    <mergeCell ref="B2541:G2541"/>
    <mergeCell ref="A2542:A2543"/>
    <mergeCell ref="B2542:C2542"/>
    <mergeCell ref="G2542:H2543"/>
    <mergeCell ref="B2543:C2543"/>
    <mergeCell ref="A2546:G2546"/>
    <mergeCell ref="A2547:H2547"/>
    <mergeCell ref="A2548:H2548"/>
    <mergeCell ref="B2549:G2549"/>
    <mergeCell ref="E2550:F2550"/>
    <mergeCell ref="E2551:F2551"/>
    <mergeCell ref="E2552:F2552"/>
    <mergeCell ref="E2553:F2553"/>
    <mergeCell ref="A2554:G2554"/>
    <mergeCell ref="B2556:G2556"/>
    <mergeCell ref="B2557:G2557"/>
    <mergeCell ref="A2520:G2520"/>
    <mergeCell ref="A2521:H2521"/>
    <mergeCell ref="A2522:H2522"/>
    <mergeCell ref="B2523:G2523"/>
    <mergeCell ref="E2524:F2524"/>
    <mergeCell ref="E2525:F2525"/>
    <mergeCell ref="E2526:F2526"/>
    <mergeCell ref="E2527:F2527"/>
    <mergeCell ref="A2528:G2528"/>
    <mergeCell ref="B2530:G2530"/>
    <mergeCell ref="B2531:G2531"/>
    <mergeCell ref="A2532:A2533"/>
    <mergeCell ref="B2532:C2532"/>
    <mergeCell ref="G2532:H2533"/>
    <mergeCell ref="B2533:C2533"/>
    <mergeCell ref="A2537:G2537"/>
    <mergeCell ref="A2538:H2538"/>
    <mergeCell ref="E2498:F2498"/>
    <mergeCell ref="E2499:F2499"/>
    <mergeCell ref="E2500:F2500"/>
    <mergeCell ref="E2501:F2501"/>
    <mergeCell ref="A2502:G2502"/>
    <mergeCell ref="B2504:G2504"/>
    <mergeCell ref="B2505:G2505"/>
    <mergeCell ref="A2506:A2507"/>
    <mergeCell ref="B2506:C2506"/>
    <mergeCell ref="G2506:H2507"/>
    <mergeCell ref="B2507:C2507"/>
    <mergeCell ref="A2511:G2511"/>
    <mergeCell ref="A2512:H2512"/>
    <mergeCell ref="B2514:G2514"/>
    <mergeCell ref="B2515:G2515"/>
    <mergeCell ref="A2516:A2517"/>
    <mergeCell ref="B2516:C2516"/>
    <mergeCell ref="G2516:H2517"/>
    <mergeCell ref="B2517:C2517"/>
    <mergeCell ref="A2477:G2477"/>
    <mergeCell ref="A2478:H2478"/>
    <mergeCell ref="B2479:G2479"/>
    <mergeCell ref="B2480:G2480"/>
    <mergeCell ref="E2481:F2481"/>
    <mergeCell ref="E2482:F2482"/>
    <mergeCell ref="A2483:G2483"/>
    <mergeCell ref="B2485:G2485"/>
    <mergeCell ref="B2486:G2486"/>
    <mergeCell ref="A2487:A2488"/>
    <mergeCell ref="B2487:C2487"/>
    <mergeCell ref="G2487:H2488"/>
    <mergeCell ref="B2488:C2488"/>
    <mergeCell ref="A2494:G2494"/>
    <mergeCell ref="A2495:H2495"/>
    <mergeCell ref="B2496:G2496"/>
    <mergeCell ref="B2497:G2497"/>
    <mergeCell ref="A2448:A2449"/>
    <mergeCell ref="B2448:C2448"/>
    <mergeCell ref="G2448:H2449"/>
    <mergeCell ref="B2449:C2449"/>
    <mergeCell ref="A2457:G2457"/>
    <mergeCell ref="A2458:H2458"/>
    <mergeCell ref="B2459:G2459"/>
    <mergeCell ref="B2460:G2460"/>
    <mergeCell ref="E2461:F2461"/>
    <mergeCell ref="E2462:F2462"/>
    <mergeCell ref="E2463:F2463"/>
    <mergeCell ref="A2464:G2464"/>
    <mergeCell ref="B2466:G2466"/>
    <mergeCell ref="B2467:G2467"/>
    <mergeCell ref="A2468:A2469"/>
    <mergeCell ref="B2468:C2468"/>
    <mergeCell ref="G2468:H2469"/>
    <mergeCell ref="B2469:C2469"/>
    <mergeCell ref="B2427:G2427"/>
    <mergeCell ref="B2428:G2428"/>
    <mergeCell ref="A2429:A2430"/>
    <mergeCell ref="B2429:C2429"/>
    <mergeCell ref="G2429:H2430"/>
    <mergeCell ref="B2430:C2430"/>
    <mergeCell ref="A2438:G2438"/>
    <mergeCell ref="A2439:H2439"/>
    <mergeCell ref="B2440:G2440"/>
    <mergeCell ref="B2441:G2441"/>
    <mergeCell ref="E2442:F2442"/>
    <mergeCell ref="E2443:F2443"/>
    <mergeCell ref="A2444:G2444"/>
    <mergeCell ref="B2446:G2446"/>
    <mergeCell ref="B2447:G2447"/>
    <mergeCell ref="A2220:H2220"/>
    <mergeCell ref="A2191:G2191"/>
    <mergeCell ref="A2192:H2192"/>
    <mergeCell ref="B2194:G2194"/>
    <mergeCell ref="B2195:G2195"/>
    <mergeCell ref="A2196:A2197"/>
    <mergeCell ref="B2196:C2196"/>
    <mergeCell ref="G2196:H2197"/>
    <mergeCell ref="B2197:C2197"/>
    <mergeCell ref="A2205:G2205"/>
    <mergeCell ref="A2206:H2206"/>
    <mergeCell ref="B2208:G2208"/>
    <mergeCell ref="B2209:G2209"/>
    <mergeCell ref="A2210:A2211"/>
    <mergeCell ref="B2210:C2210"/>
    <mergeCell ref="G2210:H2211"/>
    <mergeCell ref="B2211:C2211"/>
    <mergeCell ref="A2219:G2219"/>
    <mergeCell ref="A2145:A2146"/>
    <mergeCell ref="B2145:C2145"/>
    <mergeCell ref="G2145:H2146"/>
    <mergeCell ref="B2146:C2146"/>
    <mergeCell ref="A2158:G2158"/>
    <mergeCell ref="A2159:H2159"/>
    <mergeCell ref="B2161:G2161"/>
    <mergeCell ref="B2162:G2162"/>
    <mergeCell ref="A2163:A2164"/>
    <mergeCell ref="B2163:C2163"/>
    <mergeCell ref="G2163:H2164"/>
    <mergeCell ref="B2164:C2164"/>
    <mergeCell ref="A2178:G2178"/>
    <mergeCell ref="A2179:H2179"/>
    <mergeCell ref="B2181:G2181"/>
    <mergeCell ref="B2182:G2182"/>
    <mergeCell ref="A2183:A2184"/>
    <mergeCell ref="B2183:C2183"/>
    <mergeCell ref="G2183:H2184"/>
    <mergeCell ref="B2184:C2184"/>
    <mergeCell ref="B2119:G2119"/>
    <mergeCell ref="B2120:G2120"/>
    <mergeCell ref="E2121:F2121"/>
    <mergeCell ref="E2122:F2122"/>
    <mergeCell ref="A2123:G2123"/>
    <mergeCell ref="B2125:G2125"/>
    <mergeCell ref="B2126:G2126"/>
    <mergeCell ref="A2127:A2128"/>
    <mergeCell ref="B2127:C2127"/>
    <mergeCell ref="G2127:H2128"/>
    <mergeCell ref="B2128:C2128"/>
    <mergeCell ref="A2140:G2140"/>
    <mergeCell ref="A2141:H2141"/>
    <mergeCell ref="B2143:G2143"/>
    <mergeCell ref="B2144:G2144"/>
    <mergeCell ref="A2099:G2099"/>
    <mergeCell ref="A2100:H2100"/>
    <mergeCell ref="B2101:G2101"/>
    <mergeCell ref="B2102:G2102"/>
    <mergeCell ref="E2103:F2103"/>
    <mergeCell ref="E2104:F2104"/>
    <mergeCell ref="A2105:G2105"/>
    <mergeCell ref="B2107:G2107"/>
    <mergeCell ref="B2108:G2108"/>
    <mergeCell ref="A2109:A2110"/>
    <mergeCell ref="B2109:C2109"/>
    <mergeCell ref="G2109:H2110"/>
    <mergeCell ref="B2110:C2110"/>
    <mergeCell ref="A2117:G2117"/>
    <mergeCell ref="A2118:H2118"/>
    <mergeCell ref="A2071:A2072"/>
    <mergeCell ref="B2071:C2071"/>
    <mergeCell ref="G2071:H2072"/>
    <mergeCell ref="B2072:C2072"/>
    <mergeCell ref="A2080:G2080"/>
    <mergeCell ref="A2081:H2081"/>
    <mergeCell ref="B2082:G2082"/>
    <mergeCell ref="B2083:G2083"/>
    <mergeCell ref="E2084:F2084"/>
    <mergeCell ref="E2085:F2085"/>
    <mergeCell ref="A2086:G2086"/>
    <mergeCell ref="B2088:G2088"/>
    <mergeCell ref="B2089:G2089"/>
    <mergeCell ref="A2090:A2091"/>
    <mergeCell ref="B2090:C2090"/>
    <mergeCell ref="G2090:H2091"/>
    <mergeCell ref="B2091:C2091"/>
    <mergeCell ref="B2050:G2050"/>
    <mergeCell ref="A2051:A2052"/>
    <mergeCell ref="B2051:C2051"/>
    <mergeCell ref="G2051:H2052"/>
    <mergeCell ref="B2052:C2052"/>
    <mergeCell ref="A2056:G2056"/>
    <mergeCell ref="A2057:H2057"/>
    <mergeCell ref="B2059:G2059"/>
    <mergeCell ref="B2060:G2060"/>
    <mergeCell ref="A2061:A2062"/>
    <mergeCell ref="B2061:C2061"/>
    <mergeCell ref="G2061:H2062"/>
    <mergeCell ref="B2062:C2062"/>
    <mergeCell ref="A2066:G2066"/>
    <mergeCell ref="A2067:H2067"/>
    <mergeCell ref="B2069:G2069"/>
    <mergeCell ref="B2070:G2070"/>
    <mergeCell ref="A2029:H2029"/>
    <mergeCell ref="B2031:G2031"/>
    <mergeCell ref="B2032:G2032"/>
    <mergeCell ref="A2033:A2034"/>
    <mergeCell ref="B2033:C2033"/>
    <mergeCell ref="G2033:H2034"/>
    <mergeCell ref="B2034:C2034"/>
    <mergeCell ref="A2039:G2039"/>
    <mergeCell ref="A2040:H2040"/>
    <mergeCell ref="A2041:H2041"/>
    <mergeCell ref="B2042:G2042"/>
    <mergeCell ref="E2043:F2043"/>
    <mergeCell ref="E2044:F2044"/>
    <mergeCell ref="E2045:F2045"/>
    <mergeCell ref="E2046:F2046"/>
    <mergeCell ref="A2047:G2047"/>
    <mergeCell ref="B2049:G2049"/>
    <mergeCell ref="A2010:G2010"/>
    <mergeCell ref="A2011:H2011"/>
    <mergeCell ref="B2013:G2013"/>
    <mergeCell ref="B2014:G2014"/>
    <mergeCell ref="A2015:A2016"/>
    <mergeCell ref="B2015:C2015"/>
    <mergeCell ref="G2015:H2016"/>
    <mergeCell ref="B2016:C2016"/>
    <mergeCell ref="A2019:G2019"/>
    <mergeCell ref="A2020:H2020"/>
    <mergeCell ref="B2022:G2022"/>
    <mergeCell ref="B2023:G2023"/>
    <mergeCell ref="A2024:A2025"/>
    <mergeCell ref="B2024:C2024"/>
    <mergeCell ref="G2024:H2025"/>
    <mergeCell ref="B2025:C2025"/>
    <mergeCell ref="A2028:G2028"/>
    <mergeCell ref="A1988:A1989"/>
    <mergeCell ref="B1988:C1988"/>
    <mergeCell ref="G1988:H1989"/>
    <mergeCell ref="B1989:C1989"/>
    <mergeCell ref="A1992:G1992"/>
    <mergeCell ref="A1993:H1993"/>
    <mergeCell ref="B1995:G1995"/>
    <mergeCell ref="B1996:G1996"/>
    <mergeCell ref="A1997:A1998"/>
    <mergeCell ref="B1997:C1997"/>
    <mergeCell ref="G1997:H1998"/>
    <mergeCell ref="B1998:C1998"/>
    <mergeCell ref="A2001:G2001"/>
    <mergeCell ref="A2002:H2002"/>
    <mergeCell ref="B2004:G2004"/>
    <mergeCell ref="B2005:G2005"/>
    <mergeCell ref="A2006:A2007"/>
    <mergeCell ref="B2006:C2006"/>
    <mergeCell ref="G2006:H2007"/>
    <mergeCell ref="B2007:C2007"/>
    <mergeCell ref="B1968:G1968"/>
    <mergeCell ref="B1969:G1969"/>
    <mergeCell ref="A1970:A1971"/>
    <mergeCell ref="B1970:C1970"/>
    <mergeCell ref="G1970:H1971"/>
    <mergeCell ref="B1971:C1971"/>
    <mergeCell ref="A1976:G1976"/>
    <mergeCell ref="A1977:H1977"/>
    <mergeCell ref="A1978:H1978"/>
    <mergeCell ref="B1979:G1979"/>
    <mergeCell ref="E1980:F1980"/>
    <mergeCell ref="E1981:F1981"/>
    <mergeCell ref="E1982:F1982"/>
    <mergeCell ref="E1983:F1983"/>
    <mergeCell ref="A1984:G1984"/>
    <mergeCell ref="B1986:G1986"/>
    <mergeCell ref="B1987:G1987"/>
    <mergeCell ref="E1947:F1947"/>
    <mergeCell ref="A1948:G1948"/>
    <mergeCell ref="B1950:G1950"/>
    <mergeCell ref="B1951:G1951"/>
    <mergeCell ref="A1952:A1953"/>
    <mergeCell ref="B1952:C1952"/>
    <mergeCell ref="G1952:H1953"/>
    <mergeCell ref="B1953:C1953"/>
    <mergeCell ref="A1958:G1958"/>
    <mergeCell ref="A1959:H1959"/>
    <mergeCell ref="A1960:H1960"/>
    <mergeCell ref="B1961:G1961"/>
    <mergeCell ref="E1962:F1962"/>
    <mergeCell ref="E1963:F1963"/>
    <mergeCell ref="E1964:F1964"/>
    <mergeCell ref="E1965:F1965"/>
    <mergeCell ref="A1966:G1966"/>
    <mergeCell ref="E1927:F1927"/>
    <mergeCell ref="E1928:F1928"/>
    <mergeCell ref="E1929:F1929"/>
    <mergeCell ref="A1930:G1930"/>
    <mergeCell ref="B1932:G1932"/>
    <mergeCell ref="B1933:G1933"/>
    <mergeCell ref="A1934:A1935"/>
    <mergeCell ref="B1934:C1934"/>
    <mergeCell ref="G1934:H1935"/>
    <mergeCell ref="B1935:C1935"/>
    <mergeCell ref="A1940:G1940"/>
    <mergeCell ref="A1941:H1941"/>
    <mergeCell ref="A1942:H1942"/>
    <mergeCell ref="B1943:G1943"/>
    <mergeCell ref="E1944:F1944"/>
    <mergeCell ref="E1945:F1945"/>
    <mergeCell ref="E1946:F1946"/>
    <mergeCell ref="B1907:G1907"/>
    <mergeCell ref="E1908:F1908"/>
    <mergeCell ref="E1909:F1909"/>
    <mergeCell ref="E1910:F1910"/>
    <mergeCell ref="E1911:F1911"/>
    <mergeCell ref="A1912:G1912"/>
    <mergeCell ref="B1914:G1914"/>
    <mergeCell ref="B1915:G1915"/>
    <mergeCell ref="A1916:A1917"/>
    <mergeCell ref="B1916:C1916"/>
    <mergeCell ref="G1916:H1917"/>
    <mergeCell ref="B1917:C1917"/>
    <mergeCell ref="A1922:G1922"/>
    <mergeCell ref="A1923:H1923"/>
    <mergeCell ref="A1924:H1924"/>
    <mergeCell ref="B1925:G1925"/>
    <mergeCell ref="E1926:F1926"/>
    <mergeCell ref="A1887:H1887"/>
    <mergeCell ref="A1888:H1888"/>
    <mergeCell ref="B1889:G1889"/>
    <mergeCell ref="E1890:F1890"/>
    <mergeCell ref="E1891:F1891"/>
    <mergeCell ref="E1892:F1892"/>
    <mergeCell ref="E1893:F1893"/>
    <mergeCell ref="A1894:G1894"/>
    <mergeCell ref="B1896:G1896"/>
    <mergeCell ref="B1897:G1897"/>
    <mergeCell ref="A1898:A1899"/>
    <mergeCell ref="B1898:C1898"/>
    <mergeCell ref="G1898:H1899"/>
    <mergeCell ref="B1899:C1899"/>
    <mergeCell ref="A1904:G1904"/>
    <mergeCell ref="A1905:H1905"/>
    <mergeCell ref="A1906:H1906"/>
    <mergeCell ref="A1863:G1863"/>
    <mergeCell ref="A1864:H1864"/>
    <mergeCell ref="B1866:G1866"/>
    <mergeCell ref="B1867:G1867"/>
    <mergeCell ref="A1868:A1869"/>
    <mergeCell ref="B1868:C1868"/>
    <mergeCell ref="G1868:H1869"/>
    <mergeCell ref="B1869:C1869"/>
    <mergeCell ref="A1875:G1875"/>
    <mergeCell ref="A1876:H1876"/>
    <mergeCell ref="B1878:G1878"/>
    <mergeCell ref="B1879:G1879"/>
    <mergeCell ref="A1880:A1881"/>
    <mergeCell ref="B1880:C1880"/>
    <mergeCell ref="G1880:H1881"/>
    <mergeCell ref="B1881:C1881"/>
    <mergeCell ref="A1886:G1886"/>
    <mergeCell ref="B1835:G1835"/>
    <mergeCell ref="A1836:A1837"/>
    <mergeCell ref="B1836:C1836"/>
    <mergeCell ref="G1836:H1837"/>
    <mergeCell ref="B1837:C1837"/>
    <mergeCell ref="A1844:G1844"/>
    <mergeCell ref="A1845:H1845"/>
    <mergeCell ref="B1846:G1846"/>
    <mergeCell ref="B1847:G1847"/>
    <mergeCell ref="E1848:F1848"/>
    <mergeCell ref="E1849:F1849"/>
    <mergeCell ref="E1850:F1850"/>
    <mergeCell ref="E1851:F1851"/>
    <mergeCell ref="A1852:G1852"/>
    <mergeCell ref="B1854:G1854"/>
    <mergeCell ref="B1855:G1855"/>
    <mergeCell ref="A1856:A1857"/>
    <mergeCell ref="B1856:C1856"/>
    <mergeCell ref="G1856:H1857"/>
    <mergeCell ref="B1857:C1857"/>
    <mergeCell ref="B1810:G1810"/>
    <mergeCell ref="A1811:A1812"/>
    <mergeCell ref="B1811:C1811"/>
    <mergeCell ref="G1811:H1812"/>
    <mergeCell ref="B1812:C1812"/>
    <mergeCell ref="A1819:G1819"/>
    <mergeCell ref="A1820:H1820"/>
    <mergeCell ref="B1809:G1809"/>
    <mergeCell ref="B1822:G1822"/>
    <mergeCell ref="B1823:G1823"/>
    <mergeCell ref="A1824:A1825"/>
    <mergeCell ref="B1824:C1824"/>
    <mergeCell ref="G1824:H1825"/>
    <mergeCell ref="B1825:C1825"/>
    <mergeCell ref="A1831:G1831"/>
    <mergeCell ref="A1832:H1832"/>
    <mergeCell ref="B1834:G1834"/>
    <mergeCell ref="A1787:H1787"/>
    <mergeCell ref="B1788:G1788"/>
    <mergeCell ref="B1789:G1789"/>
    <mergeCell ref="E1790:F1790"/>
    <mergeCell ref="E1791:F1791"/>
    <mergeCell ref="E1792:F1792"/>
    <mergeCell ref="E1793:F1793"/>
    <mergeCell ref="A1794:G1794"/>
    <mergeCell ref="B1796:G1796"/>
    <mergeCell ref="B1797:G1797"/>
    <mergeCell ref="A1798:A1799"/>
    <mergeCell ref="B1798:C1798"/>
    <mergeCell ref="G1798:H1799"/>
    <mergeCell ref="B1799:C1799"/>
    <mergeCell ref="A1806:G1806"/>
    <mergeCell ref="A1807:H1807"/>
    <mergeCell ref="A1754:G1754"/>
    <mergeCell ref="A1755:H1755"/>
    <mergeCell ref="B1757:G1757"/>
    <mergeCell ref="B1758:G1758"/>
    <mergeCell ref="A1759:A1760"/>
    <mergeCell ref="B1759:C1759"/>
    <mergeCell ref="G1759:H1760"/>
    <mergeCell ref="B1760:C1760"/>
    <mergeCell ref="A1773:G1773"/>
    <mergeCell ref="A1774:H1774"/>
    <mergeCell ref="B1776:G1776"/>
    <mergeCell ref="B1777:G1777"/>
    <mergeCell ref="A1778:A1779"/>
    <mergeCell ref="B1778:C1778"/>
    <mergeCell ref="G1778:H1779"/>
    <mergeCell ref="B1779:C1779"/>
    <mergeCell ref="A1786:G1786"/>
    <mergeCell ref="B1721:G1721"/>
    <mergeCell ref="B1722:G1722"/>
    <mergeCell ref="A1723:A1724"/>
    <mergeCell ref="B1723:C1723"/>
    <mergeCell ref="G1723:H1724"/>
    <mergeCell ref="B1724:C1724"/>
    <mergeCell ref="A1729:G1729"/>
    <mergeCell ref="A1730:H1730"/>
    <mergeCell ref="B1731:G1731"/>
    <mergeCell ref="B1732:G1732"/>
    <mergeCell ref="E1733:F1733"/>
    <mergeCell ref="E1734:F1734"/>
    <mergeCell ref="E1735:F1735"/>
    <mergeCell ref="A1736:G1736"/>
    <mergeCell ref="B1738:G1738"/>
    <mergeCell ref="B1739:G1739"/>
    <mergeCell ref="A1740:A1741"/>
    <mergeCell ref="B1740:C1740"/>
    <mergeCell ref="G1740:H1741"/>
    <mergeCell ref="B1741:C1741"/>
    <mergeCell ref="E1700:F1700"/>
    <mergeCell ref="A1701:G1701"/>
    <mergeCell ref="B1703:G1703"/>
    <mergeCell ref="B1704:G1704"/>
    <mergeCell ref="A1705:A1706"/>
    <mergeCell ref="B1705:C1705"/>
    <mergeCell ref="G1705:H1706"/>
    <mergeCell ref="B1706:C1706"/>
    <mergeCell ref="A1711:G1711"/>
    <mergeCell ref="A1712:H1712"/>
    <mergeCell ref="B1713:G1713"/>
    <mergeCell ref="B1714:G1714"/>
    <mergeCell ref="E1715:F1715"/>
    <mergeCell ref="E1716:F1716"/>
    <mergeCell ref="E1717:F1717"/>
    <mergeCell ref="E1718:F1718"/>
    <mergeCell ref="A1719:G1719"/>
    <mergeCell ref="E1678:F1678"/>
    <mergeCell ref="A1679:G1679"/>
    <mergeCell ref="B1681:G1681"/>
    <mergeCell ref="B1682:G1682"/>
    <mergeCell ref="A1683:A1684"/>
    <mergeCell ref="B1683:C1683"/>
    <mergeCell ref="G1683:H1684"/>
    <mergeCell ref="B1684:C1684"/>
    <mergeCell ref="A1691:G1691"/>
    <mergeCell ref="A1692:H1692"/>
    <mergeCell ref="A1693:H1693"/>
    <mergeCell ref="B1694:G1694"/>
    <mergeCell ref="E1695:F1695"/>
    <mergeCell ref="E1696:F1696"/>
    <mergeCell ref="A1697:G1697"/>
    <mergeCell ref="B1698:G1698"/>
    <mergeCell ref="E1699:F1699"/>
    <mergeCell ref="A1656:A1657"/>
    <mergeCell ref="B1656:C1656"/>
    <mergeCell ref="G1656:H1657"/>
    <mergeCell ref="B1657:C1657"/>
    <mergeCell ref="A1665:G1665"/>
    <mergeCell ref="A1666:H1666"/>
    <mergeCell ref="A1667:H1667"/>
    <mergeCell ref="B1668:G1668"/>
    <mergeCell ref="E1669:F1669"/>
    <mergeCell ref="E1670:F1670"/>
    <mergeCell ref="A1671:G1671"/>
    <mergeCell ref="B1672:G1672"/>
    <mergeCell ref="E1673:F1673"/>
    <mergeCell ref="E1674:F1674"/>
    <mergeCell ref="A1675:G1675"/>
    <mergeCell ref="B1676:G1676"/>
    <mergeCell ref="E1677:F1677"/>
    <mergeCell ref="A1638:G1638"/>
    <mergeCell ref="A1639:H1639"/>
    <mergeCell ref="A1640:H1640"/>
    <mergeCell ref="B1641:G1641"/>
    <mergeCell ref="E1642:F1642"/>
    <mergeCell ref="E1643:F1643"/>
    <mergeCell ref="A1644:G1644"/>
    <mergeCell ref="B1645:G1645"/>
    <mergeCell ref="E1646:F1646"/>
    <mergeCell ref="E1647:F1647"/>
    <mergeCell ref="A1648:G1648"/>
    <mergeCell ref="B1649:G1649"/>
    <mergeCell ref="E1650:F1650"/>
    <mergeCell ref="E1651:F1651"/>
    <mergeCell ref="A1652:G1652"/>
    <mergeCell ref="B1654:G1654"/>
    <mergeCell ref="B1655:G1655"/>
    <mergeCell ref="A1614:H1614"/>
    <mergeCell ref="B1615:G1615"/>
    <mergeCell ref="B1616:G1616"/>
    <mergeCell ref="E1617:F1617"/>
    <mergeCell ref="E1618:F1618"/>
    <mergeCell ref="E1619:F1619"/>
    <mergeCell ref="A1620:G1620"/>
    <mergeCell ref="B1621:G1621"/>
    <mergeCell ref="E1622:F1622"/>
    <mergeCell ref="E1623:F1623"/>
    <mergeCell ref="E1624:F1624"/>
    <mergeCell ref="A1625:G1625"/>
    <mergeCell ref="B1627:G1627"/>
    <mergeCell ref="B1628:G1628"/>
    <mergeCell ref="A1629:A1630"/>
    <mergeCell ref="B1629:C1629"/>
    <mergeCell ref="G1629:H1630"/>
    <mergeCell ref="B1630:C1630"/>
    <mergeCell ref="E1593:F1593"/>
    <mergeCell ref="E1594:F1594"/>
    <mergeCell ref="E1595:F1595"/>
    <mergeCell ref="A1596:G1596"/>
    <mergeCell ref="B1597:G1597"/>
    <mergeCell ref="E1598:F1598"/>
    <mergeCell ref="E1599:F1599"/>
    <mergeCell ref="E1600:F1600"/>
    <mergeCell ref="E1601:F1601"/>
    <mergeCell ref="A1602:G1602"/>
    <mergeCell ref="B1604:G1604"/>
    <mergeCell ref="B1605:G1605"/>
    <mergeCell ref="A1606:A1607"/>
    <mergeCell ref="B1606:C1606"/>
    <mergeCell ref="G1606:H1607"/>
    <mergeCell ref="B1607:C1607"/>
    <mergeCell ref="A1613:G1613"/>
    <mergeCell ref="A1576:G1576"/>
    <mergeCell ref="A1577:H1577"/>
    <mergeCell ref="B1578:G1578"/>
    <mergeCell ref="B1579:G1579"/>
    <mergeCell ref="E1580:F1580"/>
    <mergeCell ref="E1581:F1581"/>
    <mergeCell ref="E1582:F1582"/>
    <mergeCell ref="E1583:F1583"/>
    <mergeCell ref="A1584:G1584"/>
    <mergeCell ref="B1585:G1585"/>
    <mergeCell ref="E1586:F1586"/>
    <mergeCell ref="E1587:F1587"/>
    <mergeCell ref="E1588:F1588"/>
    <mergeCell ref="E1589:F1589"/>
    <mergeCell ref="A1590:G1590"/>
    <mergeCell ref="B1591:G1591"/>
    <mergeCell ref="E1592:F1592"/>
    <mergeCell ref="B1551:G1551"/>
    <mergeCell ref="E1552:F1552"/>
    <mergeCell ref="E1553:F1553"/>
    <mergeCell ref="E1554:F1554"/>
    <mergeCell ref="E1555:F1555"/>
    <mergeCell ref="A1556:G1556"/>
    <mergeCell ref="B1557:G1557"/>
    <mergeCell ref="E1558:F1558"/>
    <mergeCell ref="E1559:F1559"/>
    <mergeCell ref="E1560:F1560"/>
    <mergeCell ref="E1561:F1561"/>
    <mergeCell ref="A1562:G1562"/>
    <mergeCell ref="B1564:G1564"/>
    <mergeCell ref="B1565:G1565"/>
    <mergeCell ref="A1566:A1567"/>
    <mergeCell ref="B1566:C1566"/>
    <mergeCell ref="G1566:H1567"/>
    <mergeCell ref="B1567:C1567"/>
    <mergeCell ref="E1372:F1372"/>
    <mergeCell ref="A1373:G1373"/>
    <mergeCell ref="B1530:G1530"/>
    <mergeCell ref="B1531:G1531"/>
    <mergeCell ref="A1532:A1533"/>
    <mergeCell ref="B1532:C1532"/>
    <mergeCell ref="G1532:H1533"/>
    <mergeCell ref="B1533:C1533"/>
    <mergeCell ref="A1542:G1542"/>
    <mergeCell ref="A1543:H1543"/>
    <mergeCell ref="B1544:G1544"/>
    <mergeCell ref="B1545:G1545"/>
    <mergeCell ref="E1546:F1546"/>
    <mergeCell ref="E1547:F1547"/>
    <mergeCell ref="E1548:F1548"/>
    <mergeCell ref="E1549:F1549"/>
    <mergeCell ref="A1550:G1550"/>
    <mergeCell ref="B1375:G1375"/>
    <mergeCell ref="B1376:G1376"/>
    <mergeCell ref="A1377:A1378"/>
    <mergeCell ref="B1377:C1377"/>
    <mergeCell ref="G1377:H1378"/>
    <mergeCell ref="B1378:C1378"/>
    <mergeCell ref="A1383:G1383"/>
    <mergeCell ref="A1384:H1384"/>
    <mergeCell ref="B1386:G1386"/>
    <mergeCell ref="A1427:H1427"/>
    <mergeCell ref="B1428:G1428"/>
    <mergeCell ref="B1429:G1429"/>
    <mergeCell ref="E1430:F1430"/>
    <mergeCell ref="E1431:F1431"/>
    <mergeCell ref="E1432:F1432"/>
    <mergeCell ref="E1352:F1352"/>
    <mergeCell ref="E1353:F1353"/>
    <mergeCell ref="E1354:F1354"/>
    <mergeCell ref="A1355:G1355"/>
    <mergeCell ref="B1357:G1357"/>
    <mergeCell ref="B1358:G1358"/>
    <mergeCell ref="A1359:A1360"/>
    <mergeCell ref="B1359:C1359"/>
    <mergeCell ref="G1359:H1360"/>
    <mergeCell ref="B1360:C1360"/>
    <mergeCell ref="A1365:G1365"/>
    <mergeCell ref="A1366:H1366"/>
    <mergeCell ref="B1367:G1367"/>
    <mergeCell ref="B1368:G1368"/>
    <mergeCell ref="E1369:F1369"/>
    <mergeCell ref="E1370:F1370"/>
    <mergeCell ref="E1371:F1371"/>
    <mergeCell ref="A1327:A1328"/>
    <mergeCell ref="B1327:C1327"/>
    <mergeCell ref="G1327:H1328"/>
    <mergeCell ref="B1328:C1328"/>
    <mergeCell ref="A1335:G1335"/>
    <mergeCell ref="A1336:H1336"/>
    <mergeCell ref="B1338:G1338"/>
    <mergeCell ref="B1339:G1339"/>
    <mergeCell ref="A1340:A1341"/>
    <mergeCell ref="B1340:C1340"/>
    <mergeCell ref="G1340:H1341"/>
    <mergeCell ref="B1341:C1341"/>
    <mergeCell ref="A1347:G1347"/>
    <mergeCell ref="A1348:H1348"/>
    <mergeCell ref="B1349:G1349"/>
    <mergeCell ref="B1350:G1350"/>
    <mergeCell ref="E1351:F1351"/>
    <mergeCell ref="B1300:G1300"/>
    <mergeCell ref="A1301:A1302"/>
    <mergeCell ref="B1301:C1301"/>
    <mergeCell ref="G1301:H1302"/>
    <mergeCell ref="B1302:C1302"/>
    <mergeCell ref="A1308:G1308"/>
    <mergeCell ref="A1309:H1309"/>
    <mergeCell ref="B1311:G1311"/>
    <mergeCell ref="B1312:G1312"/>
    <mergeCell ref="A1313:A1314"/>
    <mergeCell ref="B1313:C1313"/>
    <mergeCell ref="G1313:H1314"/>
    <mergeCell ref="B1314:C1314"/>
    <mergeCell ref="A1322:G1322"/>
    <mergeCell ref="A1323:H1323"/>
    <mergeCell ref="B1325:G1325"/>
    <mergeCell ref="B1326:G1326"/>
    <mergeCell ref="B1265:G1265"/>
    <mergeCell ref="B1266:G1266"/>
    <mergeCell ref="A1267:A1268"/>
    <mergeCell ref="B1267:C1267"/>
    <mergeCell ref="G1267:H1268"/>
    <mergeCell ref="B1268:C1268"/>
    <mergeCell ref="A1282:G1282"/>
    <mergeCell ref="A1283:H1283"/>
    <mergeCell ref="B1285:G1285"/>
    <mergeCell ref="B1286:G1286"/>
    <mergeCell ref="A1287:A1288"/>
    <mergeCell ref="B1287:C1287"/>
    <mergeCell ref="G1287:H1288"/>
    <mergeCell ref="B1288:C1288"/>
    <mergeCell ref="A1296:G1296"/>
    <mergeCell ref="A1297:H1297"/>
    <mergeCell ref="B1299:G1299"/>
    <mergeCell ref="A1222:H1222"/>
    <mergeCell ref="B1224:G1224"/>
    <mergeCell ref="B1225:G1225"/>
    <mergeCell ref="A1226:A1227"/>
    <mergeCell ref="B1226:C1226"/>
    <mergeCell ref="G1226:H1227"/>
    <mergeCell ref="B1227:C1227"/>
    <mergeCell ref="A1241:G1241"/>
    <mergeCell ref="A1242:H1242"/>
    <mergeCell ref="B1244:G1244"/>
    <mergeCell ref="B1245:G1245"/>
    <mergeCell ref="A1246:A1247"/>
    <mergeCell ref="B1246:C1246"/>
    <mergeCell ref="G1246:H1247"/>
    <mergeCell ref="B1247:C1247"/>
    <mergeCell ref="A1262:G1262"/>
    <mergeCell ref="A1263:H1263"/>
    <mergeCell ref="A1185:G1185"/>
    <mergeCell ref="A1186:H1186"/>
    <mergeCell ref="B1188:G1188"/>
    <mergeCell ref="B1189:G1189"/>
    <mergeCell ref="A1190:A1191"/>
    <mergeCell ref="B1190:C1190"/>
    <mergeCell ref="G1190:H1191"/>
    <mergeCell ref="B1191:C1191"/>
    <mergeCell ref="A1203:G1203"/>
    <mergeCell ref="A1204:H1204"/>
    <mergeCell ref="B1206:G1206"/>
    <mergeCell ref="B1207:G1207"/>
    <mergeCell ref="A1208:A1209"/>
    <mergeCell ref="B1208:C1208"/>
    <mergeCell ref="G1208:H1209"/>
    <mergeCell ref="B1209:C1209"/>
    <mergeCell ref="A1221:G1221"/>
    <mergeCell ref="A1136:A1137"/>
    <mergeCell ref="B1136:C1136"/>
    <mergeCell ref="G1136:H1137"/>
    <mergeCell ref="B1137:C1137"/>
    <mergeCell ref="A1149:G1149"/>
    <mergeCell ref="A1150:H1150"/>
    <mergeCell ref="B1152:G1152"/>
    <mergeCell ref="B1153:G1153"/>
    <mergeCell ref="A1154:A1155"/>
    <mergeCell ref="B1154:C1154"/>
    <mergeCell ref="G1154:H1155"/>
    <mergeCell ref="B1155:C1155"/>
    <mergeCell ref="A1167:G1167"/>
    <mergeCell ref="A1168:H1168"/>
    <mergeCell ref="B1170:G1170"/>
    <mergeCell ref="B1171:G1171"/>
    <mergeCell ref="A1172:A1173"/>
    <mergeCell ref="B1172:C1172"/>
    <mergeCell ref="G1172:H1173"/>
    <mergeCell ref="B1173:C1173"/>
    <mergeCell ref="B1099:G1099"/>
    <mergeCell ref="A1100:A1101"/>
    <mergeCell ref="B1100:C1100"/>
    <mergeCell ref="G1100:H1101"/>
    <mergeCell ref="B1101:C1101"/>
    <mergeCell ref="A1113:G1113"/>
    <mergeCell ref="A1114:H1114"/>
    <mergeCell ref="B1116:G1116"/>
    <mergeCell ref="B1117:G1117"/>
    <mergeCell ref="A1118:A1119"/>
    <mergeCell ref="B1118:C1118"/>
    <mergeCell ref="G1118:H1119"/>
    <mergeCell ref="B1119:C1119"/>
    <mergeCell ref="A1131:G1131"/>
    <mergeCell ref="A1132:H1132"/>
    <mergeCell ref="B1134:G1134"/>
    <mergeCell ref="B1135:G1135"/>
    <mergeCell ref="B1072:G1072"/>
    <mergeCell ref="B1073:G1073"/>
    <mergeCell ref="A1074:A1075"/>
    <mergeCell ref="B1074:C1074"/>
    <mergeCell ref="G1074:H1075"/>
    <mergeCell ref="B1075:C1075"/>
    <mergeCell ref="A1082:G1082"/>
    <mergeCell ref="A1083:H1083"/>
    <mergeCell ref="B1085:G1085"/>
    <mergeCell ref="B1086:G1086"/>
    <mergeCell ref="A1087:A1088"/>
    <mergeCell ref="B1087:C1087"/>
    <mergeCell ref="G1087:H1088"/>
    <mergeCell ref="B1088:C1088"/>
    <mergeCell ref="A1095:G1095"/>
    <mergeCell ref="A1096:H1096"/>
    <mergeCell ref="B1098:G1098"/>
    <mergeCell ref="A1043:H1043"/>
    <mergeCell ref="B1045:G1045"/>
    <mergeCell ref="B1046:G1046"/>
    <mergeCell ref="A1047:A1048"/>
    <mergeCell ref="B1047:C1047"/>
    <mergeCell ref="G1047:H1048"/>
    <mergeCell ref="B1048:C1048"/>
    <mergeCell ref="A1056:G1056"/>
    <mergeCell ref="A1057:H1057"/>
    <mergeCell ref="B1059:G1059"/>
    <mergeCell ref="B1060:G1060"/>
    <mergeCell ref="A1061:A1062"/>
    <mergeCell ref="B1061:C1061"/>
    <mergeCell ref="G1061:H1062"/>
    <mergeCell ref="B1062:C1062"/>
    <mergeCell ref="A1069:G1069"/>
    <mergeCell ref="A1070:H1070"/>
    <mergeCell ref="A1014:G1014"/>
    <mergeCell ref="A1015:H1015"/>
    <mergeCell ref="B1017:G1017"/>
    <mergeCell ref="B1018:G1018"/>
    <mergeCell ref="A1019:A1020"/>
    <mergeCell ref="B1019:C1019"/>
    <mergeCell ref="G1019:H1020"/>
    <mergeCell ref="B1020:C1020"/>
    <mergeCell ref="A1028:G1028"/>
    <mergeCell ref="A1029:H1029"/>
    <mergeCell ref="B1031:G1031"/>
    <mergeCell ref="B1032:G1032"/>
    <mergeCell ref="A1033:A1034"/>
    <mergeCell ref="B1033:C1033"/>
    <mergeCell ref="G1033:H1034"/>
    <mergeCell ref="B1034:C1034"/>
    <mergeCell ref="A1042:G1042"/>
    <mergeCell ref="A980:A981"/>
    <mergeCell ref="B980:C980"/>
    <mergeCell ref="G980:H981"/>
    <mergeCell ref="B981:C981"/>
    <mergeCell ref="A989:G989"/>
    <mergeCell ref="A990:H990"/>
    <mergeCell ref="B992:G992"/>
    <mergeCell ref="B993:G993"/>
    <mergeCell ref="A994:A995"/>
    <mergeCell ref="B994:C994"/>
    <mergeCell ref="G994:H995"/>
    <mergeCell ref="B995:C995"/>
    <mergeCell ref="A1003:G1003"/>
    <mergeCell ref="A1004:H1004"/>
    <mergeCell ref="B1006:G1006"/>
    <mergeCell ref="B1007:G1007"/>
    <mergeCell ref="A1008:A1009"/>
    <mergeCell ref="B1008:C1008"/>
    <mergeCell ref="G1008:H1009"/>
    <mergeCell ref="B1009:C1009"/>
    <mergeCell ref="B951:G951"/>
    <mergeCell ref="A952:A953"/>
    <mergeCell ref="B952:C952"/>
    <mergeCell ref="G952:H953"/>
    <mergeCell ref="B953:C953"/>
    <mergeCell ref="A961:G961"/>
    <mergeCell ref="A962:H962"/>
    <mergeCell ref="B964:G964"/>
    <mergeCell ref="B965:G965"/>
    <mergeCell ref="A966:A967"/>
    <mergeCell ref="B966:C966"/>
    <mergeCell ref="G966:H967"/>
    <mergeCell ref="B967:C967"/>
    <mergeCell ref="A975:G975"/>
    <mergeCell ref="A976:H976"/>
    <mergeCell ref="B978:G978"/>
    <mergeCell ref="B979:G979"/>
    <mergeCell ref="A929:A930"/>
    <mergeCell ref="B929:C929"/>
    <mergeCell ref="G929:H930"/>
    <mergeCell ref="B930:C930"/>
    <mergeCell ref="A936:G936"/>
    <mergeCell ref="A937:H937"/>
    <mergeCell ref="A924:G924"/>
    <mergeCell ref="A925:H925"/>
    <mergeCell ref="B939:G939"/>
    <mergeCell ref="B940:G940"/>
    <mergeCell ref="A941:A942"/>
    <mergeCell ref="B941:C941"/>
    <mergeCell ref="G941:H942"/>
    <mergeCell ref="B942:C942"/>
    <mergeCell ref="A947:G947"/>
    <mergeCell ref="A948:H948"/>
    <mergeCell ref="B950:G950"/>
    <mergeCell ref="A901:H901"/>
    <mergeCell ref="B903:G903"/>
    <mergeCell ref="B915:G915"/>
    <mergeCell ref="B916:G916"/>
    <mergeCell ref="A917:A918"/>
    <mergeCell ref="B917:C917"/>
    <mergeCell ref="G917:H918"/>
    <mergeCell ref="B918:C918"/>
    <mergeCell ref="B904:G904"/>
    <mergeCell ref="A905:A906"/>
    <mergeCell ref="B905:C905"/>
    <mergeCell ref="G905:H906"/>
    <mergeCell ref="B906:C906"/>
    <mergeCell ref="A912:G912"/>
    <mergeCell ref="A913:H913"/>
    <mergeCell ref="B927:G927"/>
    <mergeCell ref="B928:G928"/>
    <mergeCell ref="A876:G876"/>
    <mergeCell ref="A877:H877"/>
    <mergeCell ref="B879:G879"/>
    <mergeCell ref="B880:G880"/>
    <mergeCell ref="A881:A882"/>
    <mergeCell ref="B881:C881"/>
    <mergeCell ref="G881:H882"/>
    <mergeCell ref="B882:C882"/>
    <mergeCell ref="A888:G888"/>
    <mergeCell ref="A889:H889"/>
    <mergeCell ref="B891:G891"/>
    <mergeCell ref="B892:G892"/>
    <mergeCell ref="A893:A894"/>
    <mergeCell ref="B893:C893"/>
    <mergeCell ref="G893:H894"/>
    <mergeCell ref="B894:C894"/>
    <mergeCell ref="A900:G900"/>
    <mergeCell ref="E848:F848"/>
    <mergeCell ref="E849:F849"/>
    <mergeCell ref="E850:F850"/>
    <mergeCell ref="A851:G851"/>
    <mergeCell ref="B853:G853"/>
    <mergeCell ref="B854:G854"/>
    <mergeCell ref="A855:A856"/>
    <mergeCell ref="B855:C855"/>
    <mergeCell ref="G855:H856"/>
    <mergeCell ref="B856:C856"/>
    <mergeCell ref="A863:G863"/>
    <mergeCell ref="A864:H864"/>
    <mergeCell ref="B866:G866"/>
    <mergeCell ref="B867:G867"/>
    <mergeCell ref="A868:A869"/>
    <mergeCell ref="B868:C868"/>
    <mergeCell ref="G868:H869"/>
    <mergeCell ref="B869:C869"/>
    <mergeCell ref="A823:A824"/>
    <mergeCell ref="B823:C823"/>
    <mergeCell ref="G823:H824"/>
    <mergeCell ref="B824:C824"/>
    <mergeCell ref="A832:G832"/>
    <mergeCell ref="A833:H833"/>
    <mergeCell ref="B835:G835"/>
    <mergeCell ref="B836:G836"/>
    <mergeCell ref="A837:A838"/>
    <mergeCell ref="B837:C837"/>
    <mergeCell ref="G837:H838"/>
    <mergeCell ref="B838:C838"/>
    <mergeCell ref="A843:G843"/>
    <mergeCell ref="A844:H844"/>
    <mergeCell ref="B845:G845"/>
    <mergeCell ref="B846:G846"/>
    <mergeCell ref="E847:F847"/>
    <mergeCell ref="B794:G794"/>
    <mergeCell ref="A795:A796"/>
    <mergeCell ref="B795:C795"/>
    <mergeCell ref="G795:H796"/>
    <mergeCell ref="B796:C796"/>
    <mergeCell ref="A804:G804"/>
    <mergeCell ref="A805:H805"/>
    <mergeCell ref="B807:G807"/>
    <mergeCell ref="B808:G808"/>
    <mergeCell ref="A809:A810"/>
    <mergeCell ref="B809:C809"/>
    <mergeCell ref="G809:H810"/>
    <mergeCell ref="B810:C810"/>
    <mergeCell ref="A818:G818"/>
    <mergeCell ref="A819:H819"/>
    <mergeCell ref="B821:G821"/>
    <mergeCell ref="B822:G822"/>
    <mergeCell ref="B767:G767"/>
    <mergeCell ref="B768:G768"/>
    <mergeCell ref="B779:G779"/>
    <mergeCell ref="B780:G780"/>
    <mergeCell ref="A781:A782"/>
    <mergeCell ref="B781:C781"/>
    <mergeCell ref="G781:H782"/>
    <mergeCell ref="B782:C782"/>
    <mergeCell ref="A790:G790"/>
    <mergeCell ref="A769:A770"/>
    <mergeCell ref="B769:C769"/>
    <mergeCell ref="G769:H770"/>
    <mergeCell ref="B770:C770"/>
    <mergeCell ref="A776:G776"/>
    <mergeCell ref="A777:H777"/>
    <mergeCell ref="A791:H791"/>
    <mergeCell ref="B793:G793"/>
    <mergeCell ref="A745:G745"/>
    <mergeCell ref="A746:H746"/>
    <mergeCell ref="B747:G747"/>
    <mergeCell ref="B748:G748"/>
    <mergeCell ref="E749:F749"/>
    <mergeCell ref="E750:F750"/>
    <mergeCell ref="E751:F751"/>
    <mergeCell ref="E752:F752"/>
    <mergeCell ref="A753:G753"/>
    <mergeCell ref="B755:G755"/>
    <mergeCell ref="B756:G756"/>
    <mergeCell ref="A757:A758"/>
    <mergeCell ref="B757:C757"/>
    <mergeCell ref="G757:H758"/>
    <mergeCell ref="B758:C758"/>
    <mergeCell ref="A764:G764"/>
    <mergeCell ref="A765:H765"/>
    <mergeCell ref="E719:F719"/>
    <mergeCell ref="E720:F720"/>
    <mergeCell ref="E721:F721"/>
    <mergeCell ref="A722:G722"/>
    <mergeCell ref="B724:G724"/>
    <mergeCell ref="B725:G725"/>
    <mergeCell ref="A726:A727"/>
    <mergeCell ref="B726:C726"/>
    <mergeCell ref="G726:H727"/>
    <mergeCell ref="B727:C727"/>
    <mergeCell ref="A733:G733"/>
    <mergeCell ref="A734:H734"/>
    <mergeCell ref="B736:G736"/>
    <mergeCell ref="B737:G737"/>
    <mergeCell ref="A738:A739"/>
    <mergeCell ref="B738:C738"/>
    <mergeCell ref="G738:H739"/>
    <mergeCell ref="B739:C739"/>
    <mergeCell ref="A695:A696"/>
    <mergeCell ref="B695:C695"/>
    <mergeCell ref="G695:H696"/>
    <mergeCell ref="B696:C696"/>
    <mergeCell ref="A702:G702"/>
    <mergeCell ref="A703:H703"/>
    <mergeCell ref="B705:G705"/>
    <mergeCell ref="B706:G706"/>
    <mergeCell ref="A707:A708"/>
    <mergeCell ref="B707:C707"/>
    <mergeCell ref="G707:H708"/>
    <mergeCell ref="B708:C708"/>
    <mergeCell ref="A714:G714"/>
    <mergeCell ref="A715:H715"/>
    <mergeCell ref="B716:G716"/>
    <mergeCell ref="B717:G717"/>
    <mergeCell ref="E718:F718"/>
    <mergeCell ref="B667:G667"/>
    <mergeCell ref="A668:A669"/>
    <mergeCell ref="B668:C668"/>
    <mergeCell ref="G668:H669"/>
    <mergeCell ref="B669:C669"/>
    <mergeCell ref="A679:G679"/>
    <mergeCell ref="A680:H680"/>
    <mergeCell ref="B682:G682"/>
    <mergeCell ref="B683:G683"/>
    <mergeCell ref="A684:A685"/>
    <mergeCell ref="B684:C684"/>
    <mergeCell ref="G684:H685"/>
    <mergeCell ref="B685:C685"/>
    <mergeCell ref="A690:G690"/>
    <mergeCell ref="A691:H691"/>
    <mergeCell ref="B693:G693"/>
    <mergeCell ref="B694:G694"/>
    <mergeCell ref="B644:G644"/>
    <mergeCell ref="B645:G645"/>
    <mergeCell ref="A646:A647"/>
    <mergeCell ref="B646:C646"/>
    <mergeCell ref="G646:H647"/>
    <mergeCell ref="B647:C647"/>
    <mergeCell ref="A650:G650"/>
    <mergeCell ref="A651:H651"/>
    <mergeCell ref="B653:G653"/>
    <mergeCell ref="B654:G654"/>
    <mergeCell ref="A655:A656"/>
    <mergeCell ref="B655:C655"/>
    <mergeCell ref="G655:H656"/>
    <mergeCell ref="B656:C656"/>
    <mergeCell ref="A663:G663"/>
    <mergeCell ref="A664:H664"/>
    <mergeCell ref="B666:G666"/>
    <mergeCell ref="A623:G623"/>
    <mergeCell ref="A624:H624"/>
    <mergeCell ref="B625:G625"/>
    <mergeCell ref="B626:G626"/>
    <mergeCell ref="E627:F627"/>
    <mergeCell ref="E628:F628"/>
    <mergeCell ref="E629:F629"/>
    <mergeCell ref="E630:F630"/>
    <mergeCell ref="A631:G631"/>
    <mergeCell ref="B633:G633"/>
    <mergeCell ref="B634:G634"/>
    <mergeCell ref="A635:A636"/>
    <mergeCell ref="B635:C635"/>
    <mergeCell ref="G635:H636"/>
    <mergeCell ref="B636:C636"/>
    <mergeCell ref="A641:G641"/>
    <mergeCell ref="A642:H642"/>
    <mergeCell ref="G598:H599"/>
    <mergeCell ref="B599:C599"/>
    <mergeCell ref="A603:G603"/>
    <mergeCell ref="A604:H604"/>
    <mergeCell ref="B606:G606"/>
    <mergeCell ref="B607:G607"/>
    <mergeCell ref="A608:A609"/>
    <mergeCell ref="B608:C608"/>
    <mergeCell ref="G608:H609"/>
    <mergeCell ref="B609:C609"/>
    <mergeCell ref="A613:G613"/>
    <mergeCell ref="A614:H614"/>
    <mergeCell ref="B616:G616"/>
    <mergeCell ref="B617:G617"/>
    <mergeCell ref="A618:A619"/>
    <mergeCell ref="B618:C618"/>
    <mergeCell ref="G618:H619"/>
    <mergeCell ref="B619:C619"/>
    <mergeCell ref="A180:G180"/>
    <mergeCell ref="A181:H181"/>
    <mergeCell ref="B182:G182"/>
    <mergeCell ref="B183:G183"/>
    <mergeCell ref="E184:F184"/>
    <mergeCell ref="E185:F185"/>
    <mergeCell ref="E186:F186"/>
    <mergeCell ref="E187:F187"/>
    <mergeCell ref="A188:G188"/>
    <mergeCell ref="E198:F198"/>
    <mergeCell ref="E199:F199"/>
    <mergeCell ref="A200:G200"/>
    <mergeCell ref="B189:G189"/>
    <mergeCell ref="E190:F190"/>
    <mergeCell ref="E191:F191"/>
    <mergeCell ref="E192:F192"/>
    <mergeCell ref="E193:F193"/>
    <mergeCell ref="A194:G194"/>
    <mergeCell ref="B195:G195"/>
    <mergeCell ref="E196:F196"/>
    <mergeCell ref="E197:F197"/>
    <mergeCell ref="B167:G167"/>
    <mergeCell ref="B168:G168"/>
    <mergeCell ref="A169:A170"/>
    <mergeCell ref="B169:C169"/>
    <mergeCell ref="G169:H170"/>
    <mergeCell ref="B170:C170"/>
    <mergeCell ref="A97:H97"/>
    <mergeCell ref="B99:G99"/>
    <mergeCell ref="A116:G116"/>
    <mergeCell ref="A131:A132"/>
    <mergeCell ref="B131:C131"/>
    <mergeCell ref="G131:H132"/>
    <mergeCell ref="B132:C132"/>
    <mergeCell ref="A136:G136"/>
    <mergeCell ref="A137:H137"/>
    <mergeCell ref="B154:G154"/>
    <mergeCell ref="A155:A156"/>
    <mergeCell ref="B155:C155"/>
    <mergeCell ref="G155:H156"/>
    <mergeCell ref="B156:C156"/>
    <mergeCell ref="A126:G126"/>
    <mergeCell ref="A37:H37"/>
    <mergeCell ref="B40:G40"/>
    <mergeCell ref="A56:G56"/>
    <mergeCell ref="A57:H57"/>
    <mergeCell ref="B42:C42"/>
    <mergeCell ref="A46:G46"/>
    <mergeCell ref="A96:G96"/>
    <mergeCell ref="B79:G79"/>
    <mergeCell ref="B68:G68"/>
    <mergeCell ref="B70:C70"/>
    <mergeCell ref="B89:G89"/>
    <mergeCell ref="B91:C91"/>
    <mergeCell ref="B61:C61"/>
    <mergeCell ref="A65:G65"/>
    <mergeCell ref="A66:H66"/>
    <mergeCell ref="B69:G69"/>
    <mergeCell ref="A70:A71"/>
    <mergeCell ref="G70:H71"/>
    <mergeCell ref="B1:E1"/>
    <mergeCell ref="B78:G78"/>
    <mergeCell ref="B80:C80"/>
    <mergeCell ref="A75:G75"/>
    <mergeCell ref="A76:H76"/>
    <mergeCell ref="A51:A52"/>
    <mergeCell ref="B51:C51"/>
    <mergeCell ref="G51:H52"/>
    <mergeCell ref="A47:H47"/>
    <mergeCell ref="B49:G49"/>
    <mergeCell ref="B7:G7"/>
    <mergeCell ref="A9:A10"/>
    <mergeCell ref="B9:C9"/>
    <mergeCell ref="G9:H10"/>
    <mergeCell ref="B19:G19"/>
    <mergeCell ref="B20:G20"/>
    <mergeCell ref="A21:A22"/>
    <mergeCell ref="B21:C21"/>
    <mergeCell ref="A41:A42"/>
    <mergeCell ref="G41:H42"/>
    <mergeCell ref="B50:G50"/>
    <mergeCell ref="B52:C52"/>
    <mergeCell ref="B22:C22"/>
    <mergeCell ref="A26:G26"/>
    <mergeCell ref="A27:H27"/>
    <mergeCell ref="A80:A81"/>
    <mergeCell ref="G80:H81"/>
    <mergeCell ref="B81:C81"/>
    <mergeCell ref="B29:G29"/>
    <mergeCell ref="A31:A32"/>
    <mergeCell ref="B31:C31"/>
    <mergeCell ref="G31:H32"/>
    <mergeCell ref="A164:G164"/>
    <mergeCell ref="A165:H165"/>
    <mergeCell ref="B139:G139"/>
    <mergeCell ref="B140:G140"/>
    <mergeCell ref="A141:A142"/>
    <mergeCell ref="B141:C141"/>
    <mergeCell ref="G141:H142"/>
    <mergeCell ref="B142:C142"/>
    <mergeCell ref="A150:G150"/>
    <mergeCell ref="A151:H151"/>
    <mergeCell ref="B153:G153"/>
    <mergeCell ref="B71:C71"/>
    <mergeCell ref="B120:G120"/>
    <mergeCell ref="A121:A122"/>
    <mergeCell ref="G121:H122"/>
    <mergeCell ref="B122:C122"/>
    <mergeCell ref="A117:H117"/>
    <mergeCell ref="B121:C121"/>
    <mergeCell ref="A101:A102"/>
    <mergeCell ref="B101:C101"/>
    <mergeCell ref="B119:G119"/>
    <mergeCell ref="G101:H102"/>
    <mergeCell ref="A106:G106"/>
    <mergeCell ref="A107:H107"/>
    <mergeCell ref="B8:G8"/>
    <mergeCell ref="B10:C10"/>
    <mergeCell ref="B100:G100"/>
    <mergeCell ref="B102:C102"/>
    <mergeCell ref="A61:A62"/>
    <mergeCell ref="G61:H62"/>
    <mergeCell ref="A127:H127"/>
    <mergeCell ref="B129:G129"/>
    <mergeCell ref="B130:G130"/>
    <mergeCell ref="A85:G85"/>
    <mergeCell ref="A86:H86"/>
    <mergeCell ref="B88:G88"/>
    <mergeCell ref="A90:A91"/>
    <mergeCell ref="B90:C90"/>
    <mergeCell ref="G90:H91"/>
    <mergeCell ref="B109:G109"/>
    <mergeCell ref="B110:G110"/>
    <mergeCell ref="A111:A112"/>
    <mergeCell ref="B111:C111"/>
    <mergeCell ref="G111:H112"/>
    <mergeCell ref="B112:C112"/>
    <mergeCell ref="B59:G59"/>
    <mergeCell ref="B60:G60"/>
    <mergeCell ref="B62:C62"/>
    <mergeCell ref="A16:G16"/>
    <mergeCell ref="A17:H17"/>
    <mergeCell ref="A36:G36"/>
    <mergeCell ref="B39:G39"/>
    <mergeCell ref="B41:C41"/>
    <mergeCell ref="B30:G30"/>
    <mergeCell ref="G21:H22"/>
    <mergeCell ref="B32:C32"/>
    <mergeCell ref="B218:G218"/>
    <mergeCell ref="E219:F219"/>
    <mergeCell ref="E220:F220"/>
    <mergeCell ref="E221:F221"/>
    <mergeCell ref="E222:F222"/>
    <mergeCell ref="A223:G223"/>
    <mergeCell ref="B224:G224"/>
    <mergeCell ref="E225:F225"/>
    <mergeCell ref="E226:F226"/>
    <mergeCell ref="B202:G202"/>
    <mergeCell ref="B203:G203"/>
    <mergeCell ref="A204:A205"/>
    <mergeCell ref="B204:C204"/>
    <mergeCell ref="G204:H205"/>
    <mergeCell ref="B205:C205"/>
    <mergeCell ref="A215:G215"/>
    <mergeCell ref="A216:H216"/>
    <mergeCell ref="B217:G217"/>
    <mergeCell ref="B237:G237"/>
    <mergeCell ref="B238:G238"/>
    <mergeCell ref="A239:A240"/>
    <mergeCell ref="B239:C239"/>
    <mergeCell ref="G239:H240"/>
    <mergeCell ref="B240:C240"/>
    <mergeCell ref="A246:G246"/>
    <mergeCell ref="A247:H247"/>
    <mergeCell ref="B248:G248"/>
    <mergeCell ref="E227:F227"/>
    <mergeCell ref="E228:F228"/>
    <mergeCell ref="A229:G229"/>
    <mergeCell ref="B230:G230"/>
    <mergeCell ref="E231:F231"/>
    <mergeCell ref="E232:F232"/>
    <mergeCell ref="E233:F233"/>
    <mergeCell ref="E234:F234"/>
    <mergeCell ref="A235:G235"/>
    <mergeCell ref="E258:F258"/>
    <mergeCell ref="E259:F259"/>
    <mergeCell ref="A260:G260"/>
    <mergeCell ref="B262:G262"/>
    <mergeCell ref="B263:G263"/>
    <mergeCell ref="A264:A265"/>
    <mergeCell ref="B264:C264"/>
    <mergeCell ref="G264:H265"/>
    <mergeCell ref="B265:C265"/>
    <mergeCell ref="B249:G249"/>
    <mergeCell ref="E250:F250"/>
    <mergeCell ref="E251:F251"/>
    <mergeCell ref="E252:F252"/>
    <mergeCell ref="E253:F253"/>
    <mergeCell ref="A254:G254"/>
    <mergeCell ref="B255:G255"/>
    <mergeCell ref="E256:F256"/>
    <mergeCell ref="E257:F257"/>
    <mergeCell ref="A283:H283"/>
    <mergeCell ref="B285:G285"/>
    <mergeCell ref="B286:G286"/>
    <mergeCell ref="A287:A288"/>
    <mergeCell ref="B287:C287"/>
    <mergeCell ref="G287:H288"/>
    <mergeCell ref="B288:C288"/>
    <mergeCell ref="A294:G294"/>
    <mergeCell ref="A295:H295"/>
    <mergeCell ref="A270:G270"/>
    <mergeCell ref="A271:H271"/>
    <mergeCell ref="B273:G273"/>
    <mergeCell ref="B274:G274"/>
    <mergeCell ref="A275:A276"/>
    <mergeCell ref="B275:C275"/>
    <mergeCell ref="G275:H276"/>
    <mergeCell ref="B276:C276"/>
    <mergeCell ref="A282:G282"/>
    <mergeCell ref="B309:G309"/>
    <mergeCell ref="E310:F310"/>
    <mergeCell ref="E311:F311"/>
    <mergeCell ref="E312:F312"/>
    <mergeCell ref="E313:F313"/>
    <mergeCell ref="A314:G314"/>
    <mergeCell ref="B316:G316"/>
    <mergeCell ref="B317:G317"/>
    <mergeCell ref="A318:A319"/>
    <mergeCell ref="B318:C318"/>
    <mergeCell ref="G318:H319"/>
    <mergeCell ref="B319:C319"/>
    <mergeCell ref="B297:G297"/>
    <mergeCell ref="B298:G298"/>
    <mergeCell ref="A299:A300"/>
    <mergeCell ref="B299:C299"/>
    <mergeCell ref="G299:H300"/>
    <mergeCell ref="B300:C300"/>
    <mergeCell ref="A306:G306"/>
    <mergeCell ref="A307:H307"/>
    <mergeCell ref="B308:G308"/>
    <mergeCell ref="B335:G335"/>
    <mergeCell ref="B336:G336"/>
    <mergeCell ref="A337:A338"/>
    <mergeCell ref="B337:C337"/>
    <mergeCell ref="G337:H338"/>
    <mergeCell ref="B338:C338"/>
    <mergeCell ref="A344:G344"/>
    <mergeCell ref="A345:H345"/>
    <mergeCell ref="B346:G346"/>
    <mergeCell ref="A325:G325"/>
    <mergeCell ref="A326:H326"/>
    <mergeCell ref="B327:G327"/>
    <mergeCell ref="B328:G328"/>
    <mergeCell ref="E329:F329"/>
    <mergeCell ref="E330:F330"/>
    <mergeCell ref="E331:F331"/>
    <mergeCell ref="E332:F332"/>
    <mergeCell ref="A333:G333"/>
    <mergeCell ref="A362:G362"/>
    <mergeCell ref="A363:H363"/>
    <mergeCell ref="B364:G364"/>
    <mergeCell ref="B365:G365"/>
    <mergeCell ref="E366:F366"/>
    <mergeCell ref="E367:F367"/>
    <mergeCell ref="E368:F368"/>
    <mergeCell ref="E369:F369"/>
    <mergeCell ref="A370:G370"/>
    <mergeCell ref="B347:G347"/>
    <mergeCell ref="E348:F348"/>
    <mergeCell ref="E349:F349"/>
    <mergeCell ref="E350:F350"/>
    <mergeCell ref="E351:F351"/>
    <mergeCell ref="A352:G352"/>
    <mergeCell ref="B354:G354"/>
    <mergeCell ref="B355:G355"/>
    <mergeCell ref="A356:A357"/>
    <mergeCell ref="B356:C356"/>
    <mergeCell ref="G356:H357"/>
    <mergeCell ref="B357:C357"/>
    <mergeCell ref="B383:G383"/>
    <mergeCell ref="A384:A385"/>
    <mergeCell ref="B384:C384"/>
    <mergeCell ref="G384:H385"/>
    <mergeCell ref="B385:C385"/>
    <mergeCell ref="A395:G395"/>
    <mergeCell ref="A396:H396"/>
    <mergeCell ref="B397:G397"/>
    <mergeCell ref="B398:G398"/>
    <mergeCell ref="B372:G372"/>
    <mergeCell ref="B373:G373"/>
    <mergeCell ref="A374:A375"/>
    <mergeCell ref="B374:C374"/>
    <mergeCell ref="G374:H375"/>
    <mergeCell ref="B375:C375"/>
    <mergeCell ref="A379:G379"/>
    <mergeCell ref="A380:H380"/>
    <mergeCell ref="B382:G382"/>
    <mergeCell ref="A417:G417"/>
    <mergeCell ref="A418:H418"/>
    <mergeCell ref="B420:G420"/>
    <mergeCell ref="B421:G421"/>
    <mergeCell ref="A422:A423"/>
    <mergeCell ref="B422:C422"/>
    <mergeCell ref="G422:H423"/>
    <mergeCell ref="B423:C423"/>
    <mergeCell ref="A434:G434"/>
    <mergeCell ref="E399:F399"/>
    <mergeCell ref="E400:F400"/>
    <mergeCell ref="A401:G401"/>
    <mergeCell ref="B403:G403"/>
    <mergeCell ref="B404:G404"/>
    <mergeCell ref="A405:A406"/>
    <mergeCell ref="B405:C405"/>
    <mergeCell ref="G405:H406"/>
    <mergeCell ref="B406:C406"/>
    <mergeCell ref="B454:G454"/>
    <mergeCell ref="B455:G455"/>
    <mergeCell ref="A456:A457"/>
    <mergeCell ref="B456:C456"/>
    <mergeCell ref="G456:H457"/>
    <mergeCell ref="B457:C457"/>
    <mergeCell ref="A468:G468"/>
    <mergeCell ref="A469:H469"/>
    <mergeCell ref="B471:G471"/>
    <mergeCell ref="A435:H435"/>
    <mergeCell ref="B437:G437"/>
    <mergeCell ref="B438:G438"/>
    <mergeCell ref="A439:A440"/>
    <mergeCell ref="B439:C439"/>
    <mergeCell ref="G439:H440"/>
    <mergeCell ref="B440:C440"/>
    <mergeCell ref="A451:G451"/>
    <mergeCell ref="A452:H452"/>
    <mergeCell ref="A488:A489"/>
    <mergeCell ref="B488:C488"/>
    <mergeCell ref="G488:H489"/>
    <mergeCell ref="B489:C489"/>
    <mergeCell ref="A498:G498"/>
    <mergeCell ref="A499:H499"/>
    <mergeCell ref="B501:G501"/>
    <mergeCell ref="B502:G502"/>
    <mergeCell ref="A503:A504"/>
    <mergeCell ref="B503:C503"/>
    <mergeCell ref="G503:H504"/>
    <mergeCell ref="B504:C504"/>
    <mergeCell ref="B472:G472"/>
    <mergeCell ref="A473:A474"/>
    <mergeCell ref="B473:C473"/>
    <mergeCell ref="G473:H474"/>
    <mergeCell ref="B474:C474"/>
    <mergeCell ref="A483:G483"/>
    <mergeCell ref="A484:H484"/>
    <mergeCell ref="B486:G486"/>
    <mergeCell ref="B487:G487"/>
    <mergeCell ref="B521:G521"/>
    <mergeCell ref="B522:G522"/>
    <mergeCell ref="A523:A524"/>
    <mergeCell ref="B523:C523"/>
    <mergeCell ref="G523:H524"/>
    <mergeCell ref="B524:C524"/>
    <mergeCell ref="A531:G531"/>
    <mergeCell ref="A532:H532"/>
    <mergeCell ref="B533:G533"/>
    <mergeCell ref="A511:G511"/>
    <mergeCell ref="A512:H512"/>
    <mergeCell ref="B513:G513"/>
    <mergeCell ref="B514:G514"/>
    <mergeCell ref="E515:F515"/>
    <mergeCell ref="E516:F516"/>
    <mergeCell ref="E517:F517"/>
    <mergeCell ref="E518:F518"/>
    <mergeCell ref="A519:G519"/>
    <mergeCell ref="A550:G550"/>
    <mergeCell ref="A551:H551"/>
    <mergeCell ref="B553:G553"/>
    <mergeCell ref="B554:G554"/>
    <mergeCell ref="A555:A556"/>
    <mergeCell ref="B555:C555"/>
    <mergeCell ref="G555:H556"/>
    <mergeCell ref="B556:C556"/>
    <mergeCell ref="A562:G562"/>
    <mergeCell ref="B534:G534"/>
    <mergeCell ref="E535:F535"/>
    <mergeCell ref="E536:F536"/>
    <mergeCell ref="E537:F537"/>
    <mergeCell ref="E538:F538"/>
    <mergeCell ref="A539:G539"/>
    <mergeCell ref="B541:G541"/>
    <mergeCell ref="B542:G542"/>
    <mergeCell ref="A543:A544"/>
    <mergeCell ref="B543:C543"/>
    <mergeCell ref="G543:H544"/>
    <mergeCell ref="B544:C544"/>
    <mergeCell ref="A563:H563"/>
    <mergeCell ref="B565:G565"/>
    <mergeCell ref="B566:G566"/>
    <mergeCell ref="A567:A568"/>
    <mergeCell ref="B567:C567"/>
    <mergeCell ref="G567:H568"/>
    <mergeCell ref="B568:C568"/>
    <mergeCell ref="A574:G574"/>
    <mergeCell ref="A575:H575"/>
    <mergeCell ref="B577:G577"/>
    <mergeCell ref="B578:G578"/>
    <mergeCell ref="A579:A580"/>
    <mergeCell ref="B579:C579"/>
    <mergeCell ref="G579:H580"/>
    <mergeCell ref="B580:C580"/>
    <mergeCell ref="A586:G586"/>
    <mergeCell ref="A587:H587"/>
    <mergeCell ref="B588:G588"/>
    <mergeCell ref="B589:G589"/>
    <mergeCell ref="E590:F590"/>
    <mergeCell ref="E591:F591"/>
    <mergeCell ref="E592:F592"/>
    <mergeCell ref="E593:F593"/>
    <mergeCell ref="A1400:A1401"/>
    <mergeCell ref="B1400:C1400"/>
    <mergeCell ref="G1400:H1401"/>
    <mergeCell ref="B1401:C1401"/>
    <mergeCell ref="A1405:G1405"/>
    <mergeCell ref="A1406:H1406"/>
    <mergeCell ref="B1408:G1408"/>
    <mergeCell ref="B1409:G1409"/>
    <mergeCell ref="A1410:A1411"/>
    <mergeCell ref="B1410:C1410"/>
    <mergeCell ref="G1410:H1411"/>
    <mergeCell ref="B1411:C1411"/>
    <mergeCell ref="B1387:G1387"/>
    <mergeCell ref="A1388:A1389"/>
    <mergeCell ref="B1388:C1388"/>
    <mergeCell ref="G1388:H1389"/>
    <mergeCell ref="B1389:C1389"/>
    <mergeCell ref="A1395:G1395"/>
    <mergeCell ref="A1396:H1396"/>
    <mergeCell ref="B1398:G1398"/>
    <mergeCell ref="B1399:G1399"/>
    <mergeCell ref="A594:G594"/>
    <mergeCell ref="B596:G596"/>
    <mergeCell ref="B597:G597"/>
    <mergeCell ref="A598:A599"/>
    <mergeCell ref="B598:C598"/>
    <mergeCell ref="E1433:F1433"/>
    <mergeCell ref="A1434:G1434"/>
    <mergeCell ref="B1436:G1436"/>
    <mergeCell ref="A1415:G1415"/>
    <mergeCell ref="A1416:H1416"/>
    <mergeCell ref="B1418:G1418"/>
    <mergeCell ref="B1419:G1419"/>
    <mergeCell ref="A1420:A1421"/>
    <mergeCell ref="B1420:C1420"/>
    <mergeCell ref="G1420:H1421"/>
    <mergeCell ref="B1421:C1421"/>
    <mergeCell ref="A1426:G1426"/>
    <mergeCell ref="E1448:F1448"/>
    <mergeCell ref="E1449:F1449"/>
    <mergeCell ref="E1450:F1450"/>
    <mergeCell ref="E1451:F1451"/>
    <mergeCell ref="A1452:G1452"/>
    <mergeCell ref="B1454:G1454"/>
    <mergeCell ref="B1455:G1455"/>
    <mergeCell ref="A1456:A1457"/>
    <mergeCell ref="B1456:C1456"/>
    <mergeCell ref="G1456:H1457"/>
    <mergeCell ref="B1457:C1457"/>
    <mergeCell ref="B1437:G1437"/>
    <mergeCell ref="A1438:A1439"/>
    <mergeCell ref="B1438:C1438"/>
    <mergeCell ref="G1438:H1439"/>
    <mergeCell ref="B1439:C1439"/>
    <mergeCell ref="A1444:G1444"/>
    <mergeCell ref="A1445:H1445"/>
    <mergeCell ref="B1446:G1446"/>
    <mergeCell ref="B1447:G1447"/>
    <mergeCell ref="B1472:G1472"/>
    <mergeCell ref="B1473:G1473"/>
    <mergeCell ref="A1474:A1475"/>
    <mergeCell ref="B1474:C1474"/>
    <mergeCell ref="G1474:H1475"/>
    <mergeCell ref="B1475:C1475"/>
    <mergeCell ref="A1481:G1481"/>
    <mergeCell ref="A1482:H1482"/>
    <mergeCell ref="B1483:G1483"/>
    <mergeCell ref="A1462:G1462"/>
    <mergeCell ref="A1463:H1463"/>
    <mergeCell ref="B1464:G1464"/>
    <mergeCell ref="B1465:G1465"/>
    <mergeCell ref="E1466:F1466"/>
    <mergeCell ref="E1467:F1467"/>
    <mergeCell ref="E1468:F1468"/>
    <mergeCell ref="E1469:F1469"/>
    <mergeCell ref="A1470:G1470"/>
    <mergeCell ref="A1502:G1502"/>
    <mergeCell ref="A1503:H1503"/>
    <mergeCell ref="B1504:G1504"/>
    <mergeCell ref="B1505:G1505"/>
    <mergeCell ref="E1506:F1506"/>
    <mergeCell ref="E1507:F1507"/>
    <mergeCell ref="E1508:F1508"/>
    <mergeCell ref="E1509:F1509"/>
    <mergeCell ref="A1510:G1510"/>
    <mergeCell ref="B1484:G1484"/>
    <mergeCell ref="E1485:F1485"/>
    <mergeCell ref="E1486:F1486"/>
    <mergeCell ref="E1487:F1487"/>
    <mergeCell ref="A1488:G1488"/>
    <mergeCell ref="B1490:G1490"/>
    <mergeCell ref="B1491:G1491"/>
    <mergeCell ref="A1492:A1493"/>
    <mergeCell ref="B1492:C1492"/>
    <mergeCell ref="G1492:H1493"/>
    <mergeCell ref="B1493:C1493"/>
    <mergeCell ref="E1520:F1520"/>
    <mergeCell ref="E1521:F1521"/>
    <mergeCell ref="A1522:G1522"/>
    <mergeCell ref="B1523:G1523"/>
    <mergeCell ref="E1524:F1524"/>
    <mergeCell ref="E1525:F1525"/>
    <mergeCell ref="E1526:F1526"/>
    <mergeCell ref="E1527:F1527"/>
    <mergeCell ref="A1528:G1528"/>
    <mergeCell ref="B1511:G1511"/>
    <mergeCell ref="E1512:F1512"/>
    <mergeCell ref="E1513:F1513"/>
    <mergeCell ref="E1514:F1514"/>
    <mergeCell ref="E1515:F1515"/>
    <mergeCell ref="A1516:G1516"/>
    <mergeCell ref="B1517:G1517"/>
    <mergeCell ref="E1518:F1518"/>
    <mergeCell ref="E1519:F1519"/>
    <mergeCell ref="B2222:G2222"/>
    <mergeCell ref="B2223:G2223"/>
    <mergeCell ref="A2224:A2225"/>
    <mergeCell ref="B2224:C2224"/>
    <mergeCell ref="G2224:H2225"/>
    <mergeCell ref="B2225:C2225"/>
    <mergeCell ref="A2237:G2237"/>
    <mergeCell ref="A2238:H2238"/>
    <mergeCell ref="B2240:G2240"/>
    <mergeCell ref="B2241:G2241"/>
    <mergeCell ref="A2242:A2243"/>
    <mergeCell ref="B2242:C2242"/>
    <mergeCell ref="G2242:H2243"/>
    <mergeCell ref="B2243:C2243"/>
    <mergeCell ref="A2247:G2247"/>
    <mergeCell ref="A2248:H2248"/>
    <mergeCell ref="B2250:G2250"/>
    <mergeCell ref="B2251:G2251"/>
    <mergeCell ref="A2252:A2253"/>
    <mergeCell ref="B2252:C2252"/>
    <mergeCell ref="G2252:H2253"/>
    <mergeCell ref="B2253:C2253"/>
    <mergeCell ref="A2260:G2260"/>
    <mergeCell ref="A2261:H2261"/>
    <mergeCell ref="B2262:G2262"/>
    <mergeCell ref="B2263:G2263"/>
    <mergeCell ref="E2264:F2264"/>
    <mergeCell ref="E2265:F2265"/>
    <mergeCell ref="E2266:F2266"/>
    <mergeCell ref="E2267:F2267"/>
    <mergeCell ref="A2268:G2268"/>
    <mergeCell ref="B2270:G2270"/>
    <mergeCell ref="B2271:G2271"/>
    <mergeCell ref="A2272:A2273"/>
    <mergeCell ref="B2272:C2272"/>
    <mergeCell ref="G2272:H2273"/>
    <mergeCell ref="B2273:C2273"/>
    <mergeCell ref="A2279:G2279"/>
    <mergeCell ref="A2280:H2280"/>
    <mergeCell ref="B2282:G2282"/>
    <mergeCell ref="B2283:G2283"/>
    <mergeCell ref="A2284:A2285"/>
    <mergeCell ref="B2284:C2284"/>
    <mergeCell ref="G2284:H2285"/>
    <mergeCell ref="B2285:C2285"/>
    <mergeCell ref="A2290:G2290"/>
    <mergeCell ref="A2291:H2291"/>
    <mergeCell ref="B2293:G2293"/>
    <mergeCell ref="B2294:G2294"/>
    <mergeCell ref="A2295:A2296"/>
    <mergeCell ref="B2295:C2295"/>
    <mergeCell ref="G2295:H2296"/>
    <mergeCell ref="B2296:C2296"/>
    <mergeCell ref="A2302:G2302"/>
    <mergeCell ref="A2303:H2303"/>
    <mergeCell ref="B2305:G2305"/>
    <mergeCell ref="B2306:G2306"/>
    <mergeCell ref="A2307:A2308"/>
    <mergeCell ref="B2307:C2307"/>
    <mergeCell ref="G2307:H2308"/>
    <mergeCell ref="B2308:C2308"/>
    <mergeCell ref="A2311:G2311"/>
    <mergeCell ref="A2312:H2312"/>
    <mergeCell ref="B2313:G2313"/>
    <mergeCell ref="B2314:G2314"/>
    <mergeCell ref="E2315:F2315"/>
    <mergeCell ref="E2316:F2316"/>
    <mergeCell ref="E2317:F2317"/>
    <mergeCell ref="E2318:F2318"/>
    <mergeCell ref="A2319:G2319"/>
    <mergeCell ref="B2321:G2321"/>
    <mergeCell ref="B2322:G2322"/>
    <mergeCell ref="A2323:A2324"/>
    <mergeCell ref="B2323:C2323"/>
    <mergeCell ref="G2323:H2324"/>
    <mergeCell ref="B2324:C2324"/>
    <mergeCell ref="A2330:G2330"/>
    <mergeCell ref="A2331:H2331"/>
    <mergeCell ref="B2332:G2332"/>
    <mergeCell ref="B2333:G2333"/>
    <mergeCell ref="E2334:F2334"/>
    <mergeCell ref="E2335:F2335"/>
    <mergeCell ref="E2336:F2336"/>
    <mergeCell ref="E2337:F2337"/>
    <mergeCell ref="A2338:G2338"/>
    <mergeCell ref="B2340:G2340"/>
    <mergeCell ref="B2341:G2341"/>
    <mergeCell ref="A2342:A2343"/>
    <mergeCell ref="B2342:C2342"/>
    <mergeCell ref="G2342:H2343"/>
    <mergeCell ref="B2343:C2343"/>
    <mergeCell ref="A2349:G2349"/>
    <mergeCell ref="A2350:H2350"/>
    <mergeCell ref="B2351:G2351"/>
    <mergeCell ref="B2352:G2352"/>
    <mergeCell ref="E2353:F2353"/>
    <mergeCell ref="E2354:F2354"/>
    <mergeCell ref="E2355:F2355"/>
    <mergeCell ref="E2356:F2356"/>
    <mergeCell ref="A2357:G2357"/>
    <mergeCell ref="B2359:G2359"/>
    <mergeCell ref="B2360:G2360"/>
    <mergeCell ref="A2361:A2362"/>
    <mergeCell ref="B2361:C2361"/>
    <mergeCell ref="G2361:H2362"/>
    <mergeCell ref="B2362:C2362"/>
    <mergeCell ref="A2368:G2368"/>
    <mergeCell ref="A2369:H2369"/>
    <mergeCell ref="B2370:G2370"/>
    <mergeCell ref="B2371:G2371"/>
    <mergeCell ref="E2372:F2372"/>
    <mergeCell ref="E2373:F2373"/>
    <mergeCell ref="E2374:F2374"/>
    <mergeCell ref="E2375:F2375"/>
    <mergeCell ref="A2376:G2376"/>
    <mergeCell ref="B2378:G2378"/>
    <mergeCell ref="B2379:G2379"/>
    <mergeCell ref="A2380:A2381"/>
    <mergeCell ref="B2380:C2380"/>
    <mergeCell ref="G2380:H2381"/>
    <mergeCell ref="B2381:C2381"/>
    <mergeCell ref="A2387:G2387"/>
    <mergeCell ref="A2388:H2388"/>
    <mergeCell ref="B2390:G2390"/>
    <mergeCell ref="B2391:G2391"/>
    <mergeCell ref="A2424:G2424"/>
    <mergeCell ref="A2425:H2425"/>
    <mergeCell ref="A2392:A2393"/>
    <mergeCell ref="B2392:C2392"/>
    <mergeCell ref="G2392:H2393"/>
    <mergeCell ref="B2393:C2393"/>
    <mergeCell ref="A2399:G2399"/>
    <mergeCell ref="A2400:H2400"/>
    <mergeCell ref="B2402:G2402"/>
    <mergeCell ref="B2403:G2403"/>
    <mergeCell ref="A2404:A2405"/>
    <mergeCell ref="B2404:C2404"/>
    <mergeCell ref="G2404:H2405"/>
    <mergeCell ref="B2405:C2405"/>
    <mergeCell ref="A2411:G2411"/>
    <mergeCell ref="A2412:H2412"/>
    <mergeCell ref="B2414:G2414"/>
    <mergeCell ref="B2415:G2415"/>
    <mergeCell ref="A2416:A2417"/>
    <mergeCell ref="B2416:C2416"/>
    <mergeCell ref="G2416:H2417"/>
    <mergeCell ref="B2417:C2417"/>
  </mergeCells>
  <hyperlinks>
    <hyperlink ref="D192" r:id="rId1" xr:uid="{B78E131D-006B-4335-8EFE-21238B7AF0A9}"/>
    <hyperlink ref="D193" r:id="rId2" xr:uid="{E3120F76-6A30-4AD7-B255-A40780298433}"/>
    <hyperlink ref="D191" r:id="rId3" xr:uid="{E1E6489E-B105-4702-A15B-1F983405BB20}"/>
    <hyperlink ref="D186" r:id="rId4" xr:uid="{56656649-E178-4DD5-8064-0269A5CF7420}"/>
    <hyperlink ref="D187" r:id="rId5" xr:uid="{168C918A-62A4-4AC6-82DF-6940169E2499}"/>
    <hyperlink ref="D185" r:id="rId6" xr:uid="{4E7FFD3F-8268-4B12-BD58-042513AF00AD}"/>
    <hyperlink ref="D199" r:id="rId7" xr:uid="{81341E04-7B2D-4C5E-AFAF-A14D46945427}"/>
    <hyperlink ref="D198" r:id="rId8" xr:uid="{C6C4C3C5-7CA8-4911-8128-E30863FF0DE7}"/>
    <hyperlink ref="D197" r:id="rId9" xr:uid="{853E5C23-32F3-4F43-A3A2-49539CBF5CDE}"/>
    <hyperlink ref="D222" r:id="rId10" xr:uid="{D4ECE018-D294-4917-B9CE-96C14A7E8CC9}"/>
    <hyperlink ref="D227" r:id="rId11" xr:uid="{0FD0875E-0273-49F2-B3B3-CD52AB5D6EE1}"/>
    <hyperlink ref="D228" r:id="rId12" xr:uid="{A2EC6A6D-4EB5-40D3-83D9-3A4DCAB9B8EB}"/>
    <hyperlink ref="D226" r:id="rId13" display="GRUPO TUDO PARA CASA E CONSTRUCAO LTDA" xr:uid="{8F91C5EE-F1C8-4F16-BD3F-6C8C3084266B}"/>
    <hyperlink ref="D221" r:id="rId14" xr:uid="{5BC82049-39DA-48E3-8AD3-84E6331E5C10}"/>
    <hyperlink ref="D220" r:id="rId15" xr:uid="{1CFD4ADD-158E-4254-A0C5-B3BFF268DBC3}"/>
    <hyperlink ref="D234" r:id="rId16" xr:uid="{1C71E640-D697-4796-8C5B-45D5D084DEB1}"/>
    <hyperlink ref="D233" r:id="rId17" xr:uid="{6C5BB221-F1D2-4364-94CC-90D3CB04AD5B}"/>
    <hyperlink ref="D232" r:id="rId18" xr:uid="{7EFE6CA1-CC48-4357-BA2E-5DDC26353FFA}"/>
    <hyperlink ref="D253" r:id="rId19" xr:uid="{80DEA5E9-5EE2-4F3E-9B9B-11272A39B03F}"/>
    <hyperlink ref="D259" r:id="rId20" xr:uid="{81908FB0-27FB-4D97-91D9-BFE8428ECA58}"/>
    <hyperlink ref="D257" r:id="rId21" xr:uid="{90AF6661-1F8B-4476-846E-537772342339}"/>
    <hyperlink ref="D252" r:id="rId22" xr:uid="{09B7CB6C-392D-4706-ACAB-9A7396DD3913}"/>
    <hyperlink ref="D251" r:id="rId23" xr:uid="{B495301D-77D6-433C-A138-28B2A8C66140}"/>
    <hyperlink ref="D258" r:id="rId24" xr:uid="{36167D0F-7558-4CE2-B1D0-84D98D1D85C7}"/>
    <hyperlink ref="D313" r:id="rId25" xr:uid="{FC77A46B-3E3A-48BE-98C8-D60659A77C63}"/>
    <hyperlink ref="D311" r:id="rId26" xr:uid="{FA0AC7E3-542E-4D3A-B6F2-806CC6335C84}"/>
    <hyperlink ref="D312" r:id="rId27" xr:uid="{9B88ADD6-6E66-4503-8D03-E64250B48A10}"/>
    <hyperlink ref="D330" r:id="rId28" xr:uid="{CA440B2E-B590-41C8-A372-B02BD2C87D12}"/>
    <hyperlink ref="D331" r:id="rId29" xr:uid="{35AFED6F-EEBC-4827-9231-05EAF36443C3}"/>
    <hyperlink ref="D332" r:id="rId30" xr:uid="{D1C8C50A-C178-4C77-8315-781CB1ACBCCD}"/>
    <hyperlink ref="D349" r:id="rId31" xr:uid="{0894425A-785B-4750-8CE5-9291768F2CBC}"/>
    <hyperlink ref="D351" r:id="rId32" xr:uid="{34DBCA69-6304-4008-ABFE-0CE69DD3C6FF}"/>
    <hyperlink ref="D367" r:id="rId33" xr:uid="{172313D9-9882-44AE-9144-5D14E84F0452}"/>
    <hyperlink ref="D368" r:id="rId34" xr:uid="{6AD6A5F9-9552-49BD-8A18-FF6E55CD4E76}"/>
    <hyperlink ref="D369" r:id="rId35" xr:uid="{CDCA01D7-1CB2-4B2F-9AF4-AD778712921F}"/>
    <hyperlink ref="D516" r:id="rId36" xr:uid="{2D50008F-2BF4-4C53-897D-D06FFF0BE205}"/>
    <hyperlink ref="D517" r:id="rId37" xr:uid="{3A12701E-4FF8-48BE-AE19-A5AEE8FD262F}"/>
    <hyperlink ref="D518" r:id="rId38" xr:uid="{9762CEF1-9EE3-4E8A-A21B-B0FD73598FBA}"/>
    <hyperlink ref="D536" r:id="rId39" xr:uid="{853A4DC4-263C-4A58-BD1B-C40CB96B82D3}"/>
    <hyperlink ref="D537" r:id="rId40" xr:uid="{D109BDC1-3F13-4A1C-A0A4-F673BD188F1B}"/>
    <hyperlink ref="D538" r:id="rId41" xr:uid="{DE0804D3-3A6F-46AD-8594-917DCE7B5AF4}"/>
    <hyperlink ref="D591" r:id="rId42" xr:uid="{AFC736C6-91A1-48F6-9884-58047EEABE7E}"/>
    <hyperlink ref="D592" r:id="rId43" xr:uid="{737A03CD-3CEB-4B84-AB1F-31C6954B5071}"/>
    <hyperlink ref="D593" r:id="rId44" xr:uid="{F35809E8-375F-480F-A3E6-9D2F35EDAF9B}"/>
    <hyperlink ref="D719" r:id="rId45" xr:uid="{B21A0BE1-5938-485B-BC0B-BAAA110E541A}"/>
    <hyperlink ref="D720" r:id="rId46" display="https://www.diba695.com.br/-caixa-4x2-estanque-cinza-aquatic-64221-6201/p" xr:uid="{20875A5C-0671-49DF-B6D3-93F42DBCB470}"/>
    <hyperlink ref="D721" r:id="rId47" xr:uid="{D6DC0BC6-2BD2-40B0-A049-231139F6D26D}"/>
    <hyperlink ref="D750" r:id="rId48" xr:uid="{7117A0F2-B4B6-4851-B020-6687EC6B9B81}"/>
    <hyperlink ref="D751" r:id="rId49" xr:uid="{62CB97FE-BAD3-4710-BBBA-D750B17C68EC}"/>
    <hyperlink ref="D752" r:id="rId50" xr:uid="{8A95E194-B3C9-4C7E-9C4F-4AC67B6415CB}"/>
    <hyperlink ref="D1432" r:id="rId51" xr:uid="{3804781A-4391-4715-A22E-FEB1F5061A86}"/>
    <hyperlink ref="D1431" r:id="rId52" xr:uid="{160D62BC-9E6B-4B15-B109-F8951DD7C870}"/>
    <hyperlink ref="D1433" r:id="rId53" xr:uid="{84B7B622-6D9E-40B5-8407-CE4897132DBC}"/>
    <hyperlink ref="D1450" r:id="rId54" xr:uid="{D168A3E6-0E59-440B-8EF8-115168AED9FB}"/>
    <hyperlink ref="D1451" r:id="rId55" xr:uid="{AB35A2C9-3356-4EA9-B811-6D13021394DC}"/>
    <hyperlink ref="D1449" r:id="rId56" xr:uid="{C79734BB-172D-439F-8175-91F6A22E6EA2}"/>
    <hyperlink ref="D1467" r:id="rId57" xr:uid="{AECFE5FC-4B97-48EB-9D49-01131E4AA0D4}"/>
    <hyperlink ref="D1468" r:id="rId58" xr:uid="{746DD254-8ED8-48E5-859B-5439F0EA9EF4}"/>
    <hyperlink ref="D1469" r:id="rId59" xr:uid="{B48214C5-E147-493D-9C05-C2C88419F7ED}"/>
    <hyperlink ref="D1486" r:id="rId60" xr:uid="{193D98DC-5BCA-401C-9655-53A799E61D5F}"/>
    <hyperlink ref="D1487" r:id="rId61" xr:uid="{58612690-B314-4F77-A836-017EC6B24399}"/>
    <hyperlink ref="D1791" r:id="rId62" xr:uid="{4579F1AC-5363-458E-A4DB-D6E576EA1C6A}"/>
    <hyperlink ref="D1792" r:id="rId63" xr:uid="{760EAFFD-BC56-4AF7-8F92-3CC1B77E979F}"/>
    <hyperlink ref="D1793" r:id="rId64" xr:uid="{90FE98FD-E73E-4FDB-9878-C7BC6F6E3066}"/>
    <hyperlink ref="D1849" r:id="rId65" xr:uid="{BA2D98D9-0155-436B-933F-9D7B6AB2450C}"/>
    <hyperlink ref="D1850" r:id="rId66" xr:uid="{F931FF0C-3AAB-472C-A2B2-5779789FB5DD}"/>
    <hyperlink ref="D1851" r:id="rId67" xr:uid="{AEBA3C11-2741-45C8-B1AB-59BF0FB43EF0}"/>
    <hyperlink ref="D2045" r:id="rId68" xr:uid="{AE795F72-422A-4F5C-93F4-BBBA46B017F6}"/>
    <hyperlink ref="D2046" r:id="rId69" xr:uid="{1DCFCF3C-D5C0-4D0D-8E92-73E837771073}"/>
    <hyperlink ref="D2044" r:id="rId70" xr:uid="{4732863E-5D1E-46FC-8E52-FE4D32C9CFBB}"/>
    <hyperlink ref="D2335" r:id="rId71" xr:uid="{48BD50CF-E780-41D2-9328-751B359A36CA}"/>
    <hyperlink ref="D2336" r:id="rId72" xr:uid="{80C15903-5C12-4106-8880-E2666F6AD911}"/>
    <hyperlink ref="D2337" r:id="rId73" xr:uid="{5C13CA6F-067E-4517-A97C-23BA797472D4}"/>
    <hyperlink ref="D2354" r:id="rId74" xr:uid="{12260BB2-D3DF-4254-BC6D-AFDF6BD6E91F}"/>
    <hyperlink ref="D2355" r:id="rId75" xr:uid="{229B3E69-8013-48E1-9D87-D16E8C7F8B4D}"/>
    <hyperlink ref="D2356" r:id="rId76" xr:uid="{24814F23-89E2-4023-95B5-548EA6D7574F}"/>
    <hyperlink ref="D2373" r:id="rId77" xr:uid="{5EC2F221-20C8-4C28-AB52-80D89A8DF626}"/>
    <hyperlink ref="D2374" r:id="rId78" xr:uid="{A59D2786-1230-48E1-82EA-9C8CBE6E55C6}"/>
    <hyperlink ref="D2375" r:id="rId79" xr:uid="{EA0CD695-6704-4E71-944E-28CC2F00C42E}"/>
    <hyperlink ref="D2602" r:id="rId80" xr:uid="{3FAAFDAB-5C19-4520-AD80-F80972E14BAF}"/>
    <hyperlink ref="D2603" r:id="rId81" xr:uid="{2E27F613-F276-4FE1-AB3A-73FC97AA0162}"/>
    <hyperlink ref="D2646" r:id="rId82" xr:uid="{AFD4A67C-77B3-45FF-9C51-B8F0EC42DA84}"/>
    <hyperlink ref="D2665" r:id="rId83" xr:uid="{64AFD6F9-09EC-4915-BE96-0F5B577B8052}"/>
    <hyperlink ref="D2722" r:id="rId84" display="LEBLON TECNOLOGIA E COMPUTADORES LTDA" xr:uid="{6ED96946-34DD-446B-B1FD-CE343F800D07}"/>
    <hyperlink ref="D2774" r:id="rId85" xr:uid="{F63AA8A1-1859-4258-894C-F6823671D457}"/>
    <hyperlink ref="D2773" r:id="rId86" xr:uid="{97FDF666-51B8-4D44-9AD5-362138A2EA34}"/>
    <hyperlink ref="D2775" r:id="rId87" xr:uid="{142F0FE4-6A29-4BD3-BFB6-AA7492880A74}"/>
    <hyperlink ref="D2821" r:id="rId88" xr:uid="{85F0F5B7-18A2-4F77-8418-766E33E9F001}"/>
    <hyperlink ref="D2970" r:id="rId89" xr:uid="{BABA5F94-34DD-4435-B565-0ABBE552BBC1}"/>
    <hyperlink ref="D2972" r:id="rId90" xr:uid="{BBDCE736-E867-4636-92C9-EB7B1BBE692A}"/>
    <hyperlink ref="D2971" r:id="rId91" xr:uid="{4FBBA0E6-A6DC-4BA8-AF68-E3DE8D3BDC02}"/>
    <hyperlink ref="D2999" r:id="rId92" xr:uid="{E47F19ED-1C95-4413-8936-1BE33F247BEE}"/>
    <hyperlink ref="D3003" r:id="rId93" xr:uid="{4F4F51D4-F6AF-47D9-B405-1C442FF7E675}"/>
    <hyperlink ref="D3007" r:id="rId94" xr:uid="{4833C650-59D0-47C4-8620-10DA8FAC4A0C}"/>
    <hyperlink ref="D3011" r:id="rId95" xr:uid="{1B1E5461-8865-4BB5-B0A8-46A4E5767BC9}"/>
    <hyperlink ref="D3039" r:id="rId96" xr:uid="{9ADCBBCE-5527-4C94-84D0-E2A1596FFE3F}"/>
    <hyperlink ref="D3040" r:id="rId97" xr:uid="{4C3747AF-5CAE-4CBA-9119-7A3F5A464CA5}"/>
    <hyperlink ref="D3041" r:id="rId98" xr:uid="{4C747E0A-0A63-4361-9AB7-F98BF18807D0}"/>
  </hyperlinks>
  <pageMargins left="0.51181102362204722" right="0.51181102362204722" top="0.87962962962962965" bottom="0.80555555555555558" header="0.31496062992125984" footer="0.31496062992125984"/>
  <pageSetup paperSize="9" scale="80" orientation="portrait" r:id="rId99"/>
  <headerFooter>
    <oddHeader>&amp;L&amp;G&amp;R&amp;"-,Negrito"&amp;8&amp;K01+033DEPARTAMENTO DE ENGENHARIA - DENGE&amp;"-,Regular"
(65) 3613-1609 | engenharia@mpmt.mp.br
&amp;"-,Negrito"GERENCIA DE LICITAÇÕES&amp;"-,Regular"
(65) 3613-1635 | licitacoes@mpmt.mp.br</oddHeader>
    <oddFooter>&amp;L&amp;"-,Negrito"&amp;8&amp;K01+048MINISTÉRIO PÚBLICO DO ESTADO DE MATO GROSSO&amp;"-,Regular"
PROCURADORIA GERAL DE JUSTIÇA, RUA 04, S/N,
CENTRO POLÍTICO ADMINISTRATIVO - CUIABÁ-MT&amp;C&amp;10&amp;K01+046&amp;P / &amp;N&amp;R&amp;"-,Negrito"&amp;8&amp;K01+046&amp;A</oddFooter>
  </headerFooter>
  <legacyDrawingHF r:id="rId1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33"/>
  <sheetViews>
    <sheetView showGridLines="0" view="pageLayout" zoomScaleNormal="100" workbookViewId="0">
      <selection sqref="A1:C1"/>
    </sheetView>
  </sheetViews>
  <sheetFormatPr defaultRowHeight="12.75" x14ac:dyDescent="0.2"/>
  <cols>
    <col min="1" max="1" width="32.7109375" style="131" customWidth="1"/>
    <col min="2" max="2" width="18.42578125" style="131" customWidth="1"/>
    <col min="3" max="3" width="19.5703125" style="131" customWidth="1"/>
    <col min="4" max="16384" width="9.140625" style="131"/>
  </cols>
  <sheetData>
    <row r="1" spans="1:3" x14ac:dyDescent="0.2">
      <c r="A1" s="322" t="s">
        <v>89</v>
      </c>
      <c r="B1" s="322"/>
      <c r="C1" s="322"/>
    </row>
    <row r="2" spans="1:3" x14ac:dyDescent="0.2">
      <c r="A2" s="323" t="s">
        <v>72</v>
      </c>
      <c r="B2" s="323"/>
      <c r="C2" s="180" t="s">
        <v>73</v>
      </c>
    </row>
    <row r="3" spans="1:3" x14ac:dyDescent="0.2">
      <c r="A3" s="132" t="s">
        <v>74</v>
      </c>
      <c r="B3" s="133"/>
      <c r="C3" s="134">
        <v>4.4999999999999998E-2</v>
      </c>
    </row>
    <row r="4" spans="1:3" x14ac:dyDescent="0.2">
      <c r="A4" s="132" t="s">
        <v>75</v>
      </c>
      <c r="B4" s="133"/>
      <c r="C4" s="134">
        <v>1.23E-2</v>
      </c>
    </row>
    <row r="5" spans="1:3" x14ac:dyDescent="0.2">
      <c r="A5" s="132" t="s">
        <v>86</v>
      </c>
      <c r="B5" s="133"/>
      <c r="C5" s="134">
        <v>1.2699999999999999E-2</v>
      </c>
    </row>
    <row r="6" spans="1:3" x14ac:dyDescent="0.2">
      <c r="A6" s="132" t="s">
        <v>87</v>
      </c>
      <c r="B6" s="324"/>
      <c r="C6" s="134">
        <v>8.0000000000000002E-3</v>
      </c>
    </row>
    <row r="7" spans="1:3" x14ac:dyDescent="0.2">
      <c r="A7" s="132" t="s">
        <v>85</v>
      </c>
      <c r="B7" s="324"/>
      <c r="C7" s="134">
        <v>0.08</v>
      </c>
    </row>
    <row r="8" spans="1:3" x14ac:dyDescent="0.2">
      <c r="A8" s="132"/>
      <c r="B8" s="135" t="s">
        <v>76</v>
      </c>
      <c r="C8" s="136">
        <f>SUM(C3:C7)</f>
        <v>0.15799999999999997</v>
      </c>
    </row>
    <row r="9" spans="1:3" x14ac:dyDescent="0.2">
      <c r="A9" s="323" t="s">
        <v>77</v>
      </c>
      <c r="B9" s="323"/>
      <c r="C9" s="180" t="s">
        <v>73</v>
      </c>
    </row>
    <row r="10" spans="1:3" x14ac:dyDescent="0.2">
      <c r="A10" s="137" t="s">
        <v>78</v>
      </c>
      <c r="B10" s="132"/>
      <c r="C10" s="138">
        <v>6.4999999999999997E-3</v>
      </c>
    </row>
    <row r="11" spans="1:3" x14ac:dyDescent="0.2">
      <c r="A11" s="137" t="s">
        <v>79</v>
      </c>
      <c r="B11" s="132"/>
      <c r="C11" s="138">
        <v>0.03</v>
      </c>
    </row>
    <row r="12" spans="1:3" x14ac:dyDescent="0.2">
      <c r="A12" s="137" t="s">
        <v>80</v>
      </c>
      <c r="B12" s="132"/>
      <c r="C12" s="138">
        <f>3%*60%</f>
        <v>1.7999999999999999E-2</v>
      </c>
    </row>
    <row r="13" spans="1:3" x14ac:dyDescent="0.2">
      <c r="A13" s="132" t="s">
        <v>88</v>
      </c>
      <c r="B13" s="132"/>
      <c r="C13" s="138">
        <v>4.4999999999999998E-2</v>
      </c>
    </row>
    <row r="14" spans="1:3" x14ac:dyDescent="0.2">
      <c r="A14" s="132"/>
      <c r="B14" s="135" t="s">
        <v>76</v>
      </c>
      <c r="C14" s="136">
        <f>SUM(C10:C13)</f>
        <v>9.9499999999999991E-2</v>
      </c>
    </row>
    <row r="15" spans="1:3" x14ac:dyDescent="0.2">
      <c r="A15" s="139" t="s">
        <v>81</v>
      </c>
      <c r="B15" s="140"/>
      <c r="C15" s="141">
        <f>((((1+C3+C5+C6)*(1+C4)*(1+C7))/(1-C14))-1)</f>
        <v>0.29385092593003881</v>
      </c>
    </row>
    <row r="16" spans="1:3" x14ac:dyDescent="0.2">
      <c r="A16" s="132"/>
      <c r="B16" s="132"/>
      <c r="C16" s="133"/>
    </row>
    <row r="17" spans="1:3" x14ac:dyDescent="0.2">
      <c r="A17" s="132"/>
      <c r="B17" s="132"/>
      <c r="C17" s="133"/>
    </row>
    <row r="18" spans="1:3" x14ac:dyDescent="0.2">
      <c r="A18" s="142"/>
      <c r="B18" s="142"/>
      <c r="C18" s="142"/>
    </row>
    <row r="19" spans="1:3" x14ac:dyDescent="0.2">
      <c r="A19" s="143"/>
      <c r="B19" s="132"/>
      <c r="C19" s="144"/>
    </row>
    <row r="20" spans="1:3" x14ac:dyDescent="0.2">
      <c r="A20" s="143"/>
      <c r="B20" s="132"/>
      <c r="C20" s="144"/>
    </row>
    <row r="21" spans="1:3" x14ac:dyDescent="0.2">
      <c r="A21" s="146" t="s">
        <v>82</v>
      </c>
      <c r="B21" s="325" t="s">
        <v>83</v>
      </c>
      <c r="C21" s="325"/>
    </row>
    <row r="22" spans="1:3" x14ac:dyDescent="0.2">
      <c r="A22" s="147" t="s">
        <v>13832</v>
      </c>
      <c r="B22" s="321" t="s">
        <v>84</v>
      </c>
      <c r="C22" s="321"/>
    </row>
    <row r="25" spans="1:3" ht="12" customHeight="1" x14ac:dyDescent="0.2"/>
    <row r="26" spans="1:3" ht="12" customHeight="1" x14ac:dyDescent="0.2"/>
    <row r="27" spans="1:3" ht="12" customHeight="1" x14ac:dyDescent="0.2"/>
    <row r="28" spans="1:3" ht="12" customHeight="1" x14ac:dyDescent="0.2"/>
    <row r="29" spans="1:3" ht="12" customHeight="1" x14ac:dyDescent="0.2"/>
    <row r="33" spans="1:3" ht="28.5" customHeight="1" x14ac:dyDescent="0.2">
      <c r="A33" s="320" t="s">
        <v>10524</v>
      </c>
      <c r="B33" s="320"/>
      <c r="C33" s="320"/>
    </row>
  </sheetData>
  <mergeCells count="7">
    <mergeCell ref="A33:C33"/>
    <mergeCell ref="B22:C22"/>
    <mergeCell ref="A1:C1"/>
    <mergeCell ref="A2:B2"/>
    <mergeCell ref="B6:B7"/>
    <mergeCell ref="A9:B9"/>
    <mergeCell ref="B21:C21"/>
  </mergeCells>
  <pageMargins left="0.511811024" right="0.511811024" top="1.2729166666666667" bottom="0.78740157499999996" header="0.31496062000000002" footer="0.31496062000000002"/>
  <pageSetup paperSize="9" scale="130" orientation="portrait" r:id="rId1"/>
  <headerFooter>
    <oddHeader>&amp;L&amp;G&amp;R&amp;"-,Negrito"&amp;8&amp;K01+033DEPARTAMENTO DE ENGENHARIA - DENGE&amp;"-,Regular"
(65) 3613-1609 | engenharia@mpmt.mp.br
&amp;"-,Negrito"GERENCIA DE LICITAÇÕES&amp;"-,Regular"
(65) 3613-1635 | licitacoes@mpmt.mp.br</oddHeader>
    <oddFooter>&amp;L&amp;"-,Negrito"&amp;8&amp;K01+042MINISTÉRIO PÚBLICO DO ESTADO DE MATO GROSSO&amp;"-,Regular"
PROCURADORIA GERAL DE JUSTIÇA, RUA 04, S/N,
CENTRO POLÍTICO ADMINISTRATIVO - CUIABÁ-MT&amp;C&amp;8&amp;K01+031&amp;P / &amp;N&amp;R&amp;8&amp;K01+041&amp;A</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2B589-4F40-4382-9D2D-BF4C36A94A5E}">
  <dimension ref="A1:C33"/>
  <sheetViews>
    <sheetView showGridLines="0" view="pageLayout" zoomScaleNormal="100" workbookViewId="0">
      <selection sqref="A1:C1"/>
    </sheetView>
  </sheetViews>
  <sheetFormatPr defaultRowHeight="12.75" x14ac:dyDescent="0.2"/>
  <cols>
    <col min="1" max="1" width="31.7109375" style="131" customWidth="1"/>
    <col min="2" max="2" width="18.42578125" style="131" customWidth="1"/>
    <col min="3" max="3" width="19.5703125" style="131" customWidth="1"/>
    <col min="4" max="16384" width="9.140625" style="131"/>
  </cols>
  <sheetData>
    <row r="1" spans="1:3" x14ac:dyDescent="0.2">
      <c r="A1" s="322" t="s">
        <v>10523</v>
      </c>
      <c r="B1" s="322"/>
      <c r="C1" s="322"/>
    </row>
    <row r="2" spans="1:3" x14ac:dyDescent="0.2">
      <c r="A2" s="323" t="s">
        <v>72</v>
      </c>
      <c r="B2" s="323"/>
      <c r="C2" s="180" t="s">
        <v>73</v>
      </c>
    </row>
    <row r="3" spans="1:3" x14ac:dyDescent="0.2">
      <c r="A3" s="132" t="s">
        <v>74</v>
      </c>
      <c r="B3" s="133"/>
      <c r="C3" s="134">
        <v>1.4999999999999999E-2</v>
      </c>
    </row>
    <row r="4" spans="1:3" x14ac:dyDescent="0.2">
      <c r="A4" s="132" t="s">
        <v>75</v>
      </c>
      <c r="B4" s="133"/>
      <c r="C4" s="134">
        <v>8.5000000000000006E-3</v>
      </c>
    </row>
    <row r="5" spans="1:3" x14ac:dyDescent="0.2">
      <c r="A5" s="132" t="s">
        <v>86</v>
      </c>
      <c r="B5" s="133"/>
      <c r="C5" s="134">
        <v>5.5999999999999999E-3</v>
      </c>
    </row>
    <row r="6" spans="1:3" x14ac:dyDescent="0.2">
      <c r="A6" s="132" t="s">
        <v>87</v>
      </c>
      <c r="B6" s="324"/>
      <c r="C6" s="134">
        <v>3.0000000000000001E-3</v>
      </c>
    </row>
    <row r="7" spans="1:3" x14ac:dyDescent="0.2">
      <c r="A7" s="132" t="s">
        <v>85</v>
      </c>
      <c r="B7" s="324"/>
      <c r="C7" s="134">
        <v>3.5000000000000003E-2</v>
      </c>
    </row>
    <row r="8" spans="1:3" x14ac:dyDescent="0.2">
      <c r="A8" s="132"/>
      <c r="B8" s="135" t="s">
        <v>76</v>
      </c>
      <c r="C8" s="136">
        <f>SUM(C3:C7)</f>
        <v>6.7100000000000007E-2</v>
      </c>
    </row>
    <row r="9" spans="1:3" x14ac:dyDescent="0.2">
      <c r="A9" s="323" t="s">
        <v>77</v>
      </c>
      <c r="B9" s="323"/>
      <c r="C9" s="180" t="s">
        <v>73</v>
      </c>
    </row>
    <row r="10" spans="1:3" x14ac:dyDescent="0.2">
      <c r="A10" s="137" t="s">
        <v>78</v>
      </c>
      <c r="B10" s="132"/>
      <c r="C10" s="138">
        <v>6.4999999999999997E-3</v>
      </c>
    </row>
    <row r="11" spans="1:3" x14ac:dyDescent="0.2">
      <c r="A11" s="137" t="s">
        <v>79</v>
      </c>
      <c r="B11" s="132"/>
      <c r="C11" s="138">
        <v>0.03</v>
      </c>
    </row>
    <row r="12" spans="1:3" x14ac:dyDescent="0.2">
      <c r="A12" s="137" t="s">
        <v>80</v>
      </c>
      <c r="B12" s="132"/>
      <c r="C12" s="138">
        <v>0</v>
      </c>
    </row>
    <row r="13" spans="1:3" x14ac:dyDescent="0.2">
      <c r="A13" s="132" t="s">
        <v>88</v>
      </c>
      <c r="B13" s="132"/>
      <c r="C13" s="138">
        <v>4.4999999999999998E-2</v>
      </c>
    </row>
    <row r="14" spans="1:3" x14ac:dyDescent="0.2">
      <c r="A14" s="132"/>
      <c r="B14" s="135" t="s">
        <v>76</v>
      </c>
      <c r="C14" s="136">
        <f>SUM(C10:C13)</f>
        <v>8.1499999999999989E-2</v>
      </c>
    </row>
    <row r="15" spans="1:3" x14ac:dyDescent="0.2">
      <c r="A15" s="139" t="s">
        <v>81</v>
      </c>
      <c r="B15" s="140"/>
      <c r="C15" s="141">
        <f>((((1+C3+C5+C6)*(1+C4)*(1+C7))/(1-C14))-1)</f>
        <v>0.16323475340228599</v>
      </c>
    </row>
    <row r="16" spans="1:3" x14ac:dyDescent="0.2">
      <c r="A16" s="132"/>
      <c r="B16" s="132"/>
      <c r="C16" s="133"/>
    </row>
    <row r="17" spans="1:3" x14ac:dyDescent="0.2">
      <c r="A17" s="132"/>
      <c r="B17" s="132"/>
      <c r="C17" s="133"/>
    </row>
    <row r="18" spans="1:3" x14ac:dyDescent="0.2">
      <c r="A18" s="142"/>
      <c r="B18" s="142"/>
      <c r="C18" s="142"/>
    </row>
    <row r="19" spans="1:3" x14ac:dyDescent="0.2">
      <c r="A19" s="143"/>
      <c r="B19" s="132"/>
      <c r="C19" s="144"/>
    </row>
    <row r="20" spans="1:3" x14ac:dyDescent="0.2">
      <c r="A20" s="145"/>
      <c r="B20" s="326"/>
      <c r="C20" s="326"/>
    </row>
    <row r="21" spans="1:3" x14ac:dyDescent="0.2">
      <c r="A21" s="146" t="s">
        <v>82</v>
      </c>
      <c r="B21" s="325" t="s">
        <v>83</v>
      </c>
      <c r="C21" s="325"/>
    </row>
    <row r="22" spans="1:3" x14ac:dyDescent="0.2">
      <c r="A22" s="147" t="s">
        <v>13833</v>
      </c>
      <c r="B22" s="321" t="s">
        <v>84</v>
      </c>
      <c r="C22" s="321"/>
    </row>
    <row r="33" spans="1:3" ht="34.5" customHeight="1" x14ac:dyDescent="0.2">
      <c r="A33" s="320" t="s">
        <v>10524</v>
      </c>
      <c r="B33" s="320"/>
      <c r="C33" s="320"/>
    </row>
  </sheetData>
  <mergeCells count="8">
    <mergeCell ref="B22:C22"/>
    <mergeCell ref="A33:C33"/>
    <mergeCell ref="A1:C1"/>
    <mergeCell ref="A2:B2"/>
    <mergeCell ref="B6:B7"/>
    <mergeCell ref="A9:B9"/>
    <mergeCell ref="B20:C20"/>
    <mergeCell ref="B21:C21"/>
  </mergeCells>
  <pageMargins left="0.511811024" right="0.511811024" top="1.3078125" bottom="0.78740157499999996" header="0.31496062000000002" footer="0.31496062000000002"/>
  <pageSetup paperSize="9" scale="135" orientation="portrait" r:id="rId1"/>
  <headerFooter>
    <oddHeader>&amp;L&amp;G&amp;R&amp;"-,Negrito"&amp;8&amp;K01+047DEPARTAMENTO DE ENGENHARIA - DENGE&amp;"-,Regular"
(65) 3613-1609 | engenharia@mpmt.mp.br
&amp;"-,Negrito"GERENCIA DE LICITAÇÕES&amp;"-,Regular"
(65) 3613-1635 | licitacoes@mpmt.mp.br</oddHeader>
    <oddFooter>&amp;L&amp;"-,Negrito"&amp;8&amp;K01+045MINISTÉRIO PÚBLICO DO ESTADO DE MATO GROSSO&amp;"-,Regular"
PROCURADORIA GERAL DE JUSTIÇA, RUA 04, S/N,
CENTRO POLÍTICO ADMINISTRATIVO - CUIABÁ-MT&amp;C&amp;8&amp;K01+049&amp;P / &amp;N&amp;R&amp;"-,Negrito"&amp;8&amp;K01+046&amp;A</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917E0-AAE1-44F0-A0AA-8FCBFE4C542A}">
  <dimension ref="A1:N15"/>
  <sheetViews>
    <sheetView showGridLines="0" view="pageLayout" zoomScaleNormal="100" workbookViewId="0">
      <selection activeCell="C1" sqref="C1:M1"/>
    </sheetView>
  </sheetViews>
  <sheetFormatPr defaultColWidth="9.140625" defaultRowHeight="12.75" x14ac:dyDescent="0.25"/>
  <cols>
    <col min="1" max="1" width="9.140625" style="156"/>
    <col min="2" max="2" width="29.85546875" style="156" customWidth="1"/>
    <col min="3" max="3" width="35.5703125" style="156" customWidth="1"/>
    <col min="4" max="4" width="12.42578125" style="8" bestFit="1" customWidth="1"/>
    <col min="5" max="5" width="8" style="156" bestFit="1" customWidth="1"/>
    <col min="6" max="6" width="8.140625" style="156" bestFit="1" customWidth="1"/>
    <col min="7" max="7" width="8.42578125" style="156" bestFit="1" customWidth="1"/>
    <col min="8" max="8" width="14.5703125" style="156" bestFit="1" customWidth="1"/>
    <col min="9" max="10" width="6.7109375" style="156" bestFit="1" customWidth="1"/>
    <col min="11" max="11" width="10.42578125" style="156" bestFit="1" customWidth="1"/>
    <col min="12" max="12" width="18" style="156" bestFit="1" customWidth="1"/>
    <col min="13" max="13" width="13.5703125" style="156" bestFit="1" customWidth="1"/>
    <col min="14" max="14" width="9.28515625" style="156" customWidth="1"/>
    <col min="15" max="16384" width="9.140625" style="156"/>
  </cols>
  <sheetData>
    <row r="1" spans="1:14" ht="13.5" thickBot="1" x14ac:dyDescent="0.3">
      <c r="A1" s="327" t="s">
        <v>90</v>
      </c>
      <c r="B1" s="328"/>
      <c r="C1" s="318" t="s">
        <v>91</v>
      </c>
      <c r="D1" s="318"/>
      <c r="E1" s="318"/>
      <c r="F1" s="318"/>
      <c r="G1" s="318"/>
      <c r="H1" s="318"/>
      <c r="I1" s="318"/>
      <c r="J1" s="318"/>
      <c r="K1" s="318"/>
      <c r="L1" s="318"/>
      <c r="M1" s="329"/>
      <c r="N1" s="155" t="s">
        <v>4</v>
      </c>
    </row>
    <row r="2" spans="1:14" ht="13.5" thickBot="1" x14ac:dyDescent="0.3">
      <c r="A2" s="330" t="s">
        <v>10525</v>
      </c>
      <c r="B2" s="331"/>
      <c r="C2" s="157" t="s">
        <v>10526</v>
      </c>
      <c r="D2" s="157"/>
      <c r="E2" s="157"/>
      <c r="F2" s="157"/>
      <c r="G2" s="157"/>
      <c r="H2" s="157"/>
      <c r="I2" s="157"/>
      <c r="J2" s="157"/>
      <c r="K2" s="157"/>
      <c r="L2" s="157"/>
      <c r="M2" s="158"/>
      <c r="N2" s="159" t="s">
        <v>4</v>
      </c>
    </row>
    <row r="3" spans="1:14" ht="12.75" customHeight="1" x14ac:dyDescent="0.25">
      <c r="A3" s="332" t="s">
        <v>10519</v>
      </c>
      <c r="B3" s="333"/>
      <c r="C3" s="153" t="s">
        <v>92</v>
      </c>
      <c r="D3" s="336" t="s">
        <v>398</v>
      </c>
      <c r="E3" s="336"/>
      <c r="F3" s="160"/>
      <c r="G3" s="25"/>
      <c r="H3" s="154" t="s">
        <v>93</v>
      </c>
      <c r="I3" s="337">
        <v>0</v>
      </c>
      <c r="J3" s="337"/>
      <c r="K3" s="25"/>
      <c r="L3" s="338" t="s">
        <v>10527</v>
      </c>
      <c r="M3" s="333"/>
      <c r="N3" s="339"/>
    </row>
    <row r="4" spans="1:14" ht="15.75" customHeight="1" thickBot="1" x14ac:dyDescent="0.3">
      <c r="A4" s="334"/>
      <c r="B4" s="335"/>
      <c r="C4" s="161" t="s">
        <v>95</v>
      </c>
      <c r="D4" s="342">
        <v>43486</v>
      </c>
      <c r="E4" s="342"/>
      <c r="F4" s="162"/>
      <c r="G4" s="163"/>
      <c r="H4" s="164" t="s">
        <v>96</v>
      </c>
      <c r="I4" s="343">
        <v>43486</v>
      </c>
      <c r="J4" s="343"/>
      <c r="K4" s="163"/>
      <c r="L4" s="340"/>
      <c r="M4" s="335"/>
      <c r="N4" s="341"/>
    </row>
    <row r="5" spans="1:14" s="1" customFormat="1" ht="25.5" x14ac:dyDescent="0.25">
      <c r="A5" s="165" t="s">
        <v>0</v>
      </c>
      <c r="B5" s="166" t="s">
        <v>3</v>
      </c>
      <c r="C5" s="166" t="s">
        <v>107</v>
      </c>
      <c r="D5" s="167" t="s">
        <v>118</v>
      </c>
      <c r="E5" s="166" t="s">
        <v>108</v>
      </c>
      <c r="F5" s="166" t="s">
        <v>109</v>
      </c>
      <c r="G5" s="166" t="s">
        <v>110</v>
      </c>
      <c r="H5" s="166" t="s">
        <v>111</v>
      </c>
      <c r="I5" s="166" t="s">
        <v>4</v>
      </c>
      <c r="J5" s="166" t="s">
        <v>117</v>
      </c>
      <c r="K5" s="166" t="s">
        <v>112</v>
      </c>
      <c r="L5" s="166" t="s">
        <v>113</v>
      </c>
      <c r="M5" s="166" t="s">
        <v>114</v>
      </c>
      <c r="N5" s="168" t="s">
        <v>2</v>
      </c>
    </row>
    <row r="6" spans="1:14" s="174" customFormat="1" ht="90" thickBot="1" x14ac:dyDescent="0.3">
      <c r="A6" s="169">
        <v>1</v>
      </c>
      <c r="B6" s="62" t="s">
        <v>120</v>
      </c>
      <c r="C6" s="62" t="s">
        <v>115</v>
      </c>
      <c r="D6" s="63" t="s">
        <v>119</v>
      </c>
      <c r="E6" s="61" t="s">
        <v>13826</v>
      </c>
      <c r="F6" s="61" t="s">
        <v>13826</v>
      </c>
      <c r="G6" s="61">
        <v>2</v>
      </c>
      <c r="H6" s="61">
        <v>30</v>
      </c>
      <c r="I6" s="61" t="s">
        <v>116</v>
      </c>
      <c r="J6" s="170">
        <v>10</v>
      </c>
      <c r="K6" s="171">
        <f>VLOOKUP(N6,'SINAPI_COMPOSIÇÕES 062020'!A:D,4,FALSE)</f>
        <v>0.45</v>
      </c>
      <c r="L6" s="172">
        <f>TRUNC((((J6*H6)*G6)*K6),2)</f>
        <v>270</v>
      </c>
      <c r="M6" s="61" t="s">
        <v>10528</v>
      </c>
      <c r="N6" s="173">
        <v>72840</v>
      </c>
    </row>
    <row r="7" spans="1:14" ht="14.25" thickTop="1" thickBot="1" x14ac:dyDescent="0.3">
      <c r="A7" s="344" t="s">
        <v>121</v>
      </c>
      <c r="B7" s="345"/>
      <c r="C7" s="345"/>
      <c r="D7" s="345"/>
      <c r="E7" s="345"/>
      <c r="F7" s="345"/>
      <c r="G7" s="345"/>
      <c r="H7" s="345"/>
      <c r="I7" s="345"/>
      <c r="J7" s="345"/>
      <c r="K7" s="345"/>
      <c r="L7" s="175">
        <f>TRUNC(SUM(L6:L6),2)</f>
        <v>270</v>
      </c>
      <c r="M7" s="176"/>
      <c r="N7" s="177"/>
    </row>
    <row r="8" spans="1:14" ht="13.5" thickBot="1" x14ac:dyDescent="0.3"/>
    <row r="9" spans="1:14" ht="13.5" thickBot="1" x14ac:dyDescent="0.3">
      <c r="A9" s="327" t="s">
        <v>90</v>
      </c>
      <c r="B9" s="328"/>
      <c r="C9" s="318" t="s">
        <v>91</v>
      </c>
      <c r="D9" s="318"/>
      <c r="E9" s="318"/>
      <c r="F9" s="318"/>
      <c r="G9" s="318"/>
      <c r="H9" s="318"/>
      <c r="I9" s="318"/>
      <c r="J9" s="318"/>
      <c r="K9" s="318"/>
      <c r="L9" s="318"/>
      <c r="M9" s="329"/>
      <c r="N9" s="155" t="s">
        <v>4</v>
      </c>
    </row>
    <row r="10" spans="1:14" ht="13.5" thickBot="1" x14ac:dyDescent="0.3">
      <c r="A10" s="330" t="s">
        <v>10529</v>
      </c>
      <c r="B10" s="331"/>
      <c r="C10" s="157" t="s">
        <v>10530</v>
      </c>
      <c r="D10" s="157"/>
      <c r="E10" s="157"/>
      <c r="F10" s="157"/>
      <c r="G10" s="157"/>
      <c r="H10" s="157"/>
      <c r="I10" s="157"/>
      <c r="J10" s="157"/>
      <c r="K10" s="157"/>
      <c r="L10" s="157"/>
      <c r="M10" s="158"/>
      <c r="N10" s="159" t="s">
        <v>4</v>
      </c>
    </row>
    <row r="11" spans="1:14" x14ac:dyDescent="0.25">
      <c r="A11" s="332" t="s">
        <v>10519</v>
      </c>
      <c r="B11" s="333"/>
      <c r="C11" s="153" t="s">
        <v>92</v>
      </c>
      <c r="D11" s="336" t="s">
        <v>398</v>
      </c>
      <c r="E11" s="336"/>
      <c r="F11" s="160"/>
      <c r="G11" s="25"/>
      <c r="H11" s="154" t="s">
        <v>93</v>
      </c>
      <c r="I11" s="337">
        <v>0</v>
      </c>
      <c r="J11" s="337"/>
      <c r="K11" s="25"/>
      <c r="L11" s="338" t="s">
        <v>10527</v>
      </c>
      <c r="M11" s="333"/>
      <c r="N11" s="339"/>
    </row>
    <row r="12" spans="1:14" ht="13.5" thickBot="1" x14ac:dyDescent="0.3">
      <c r="A12" s="334"/>
      <c r="B12" s="335"/>
      <c r="C12" s="161" t="s">
        <v>95</v>
      </c>
      <c r="D12" s="342">
        <v>43486</v>
      </c>
      <c r="E12" s="342"/>
      <c r="F12" s="162"/>
      <c r="G12" s="163"/>
      <c r="H12" s="164" t="s">
        <v>96</v>
      </c>
      <c r="I12" s="343">
        <v>43486</v>
      </c>
      <c r="J12" s="343"/>
      <c r="K12" s="163"/>
      <c r="L12" s="340"/>
      <c r="M12" s="335"/>
      <c r="N12" s="341"/>
    </row>
    <row r="13" spans="1:14" ht="25.5" x14ac:dyDescent="0.25">
      <c r="A13" s="165" t="s">
        <v>0</v>
      </c>
      <c r="B13" s="166" t="s">
        <v>3</v>
      </c>
      <c r="C13" s="166" t="s">
        <v>107</v>
      </c>
      <c r="D13" s="167" t="s">
        <v>118</v>
      </c>
      <c r="E13" s="166" t="s">
        <v>108</v>
      </c>
      <c r="F13" s="166" t="s">
        <v>109</v>
      </c>
      <c r="G13" s="166" t="s">
        <v>110</v>
      </c>
      <c r="H13" s="166" t="s">
        <v>111</v>
      </c>
      <c r="I13" s="166" t="s">
        <v>4</v>
      </c>
      <c r="J13" s="166" t="s">
        <v>117</v>
      </c>
      <c r="K13" s="166" t="s">
        <v>112</v>
      </c>
      <c r="L13" s="166" t="s">
        <v>113</v>
      </c>
      <c r="M13" s="166" t="s">
        <v>114</v>
      </c>
      <c r="N13" s="168" t="s">
        <v>2</v>
      </c>
    </row>
    <row r="14" spans="1:14" ht="90" thickBot="1" x14ac:dyDescent="0.3">
      <c r="A14" s="169">
        <v>1</v>
      </c>
      <c r="B14" s="62" t="s">
        <v>120</v>
      </c>
      <c r="C14" s="62" t="s">
        <v>115</v>
      </c>
      <c r="D14" s="63" t="s">
        <v>119</v>
      </c>
      <c r="E14" s="61" t="s">
        <v>13826</v>
      </c>
      <c r="F14" s="61" t="s">
        <v>13826</v>
      </c>
      <c r="G14" s="61">
        <v>2</v>
      </c>
      <c r="H14" s="61">
        <v>30</v>
      </c>
      <c r="I14" s="61" t="s">
        <v>116</v>
      </c>
      <c r="J14" s="170">
        <v>10</v>
      </c>
      <c r="K14" s="171">
        <f>VLOOKUP(N14,'SINAPI_COMPOSIÇÕES 062020'!A:D,4,FALSE)</f>
        <v>0.45</v>
      </c>
      <c r="L14" s="172">
        <f>TRUNC((((J14*H14)*G14)*K14),2)</f>
        <v>270</v>
      </c>
      <c r="M14" s="61" t="s">
        <v>10528</v>
      </c>
      <c r="N14" s="173">
        <v>72840</v>
      </c>
    </row>
    <row r="15" spans="1:14" ht="14.25" thickTop="1" thickBot="1" x14ac:dyDescent="0.3">
      <c r="A15" s="344" t="s">
        <v>10531</v>
      </c>
      <c r="B15" s="345"/>
      <c r="C15" s="345"/>
      <c r="D15" s="345"/>
      <c r="E15" s="345"/>
      <c r="F15" s="345"/>
      <c r="G15" s="345"/>
      <c r="H15" s="345"/>
      <c r="I15" s="345"/>
      <c r="J15" s="345"/>
      <c r="K15" s="345"/>
      <c r="L15" s="175">
        <f>TRUNC(SUM(L14:L14),2)</f>
        <v>270</v>
      </c>
      <c r="M15" s="176"/>
      <c r="N15" s="177"/>
    </row>
  </sheetData>
  <mergeCells count="20">
    <mergeCell ref="A15:K15"/>
    <mergeCell ref="A7:K7"/>
    <mergeCell ref="A9:B9"/>
    <mergeCell ref="C9:M9"/>
    <mergeCell ref="A10:B10"/>
    <mergeCell ref="A11:B12"/>
    <mergeCell ref="D11:E11"/>
    <mergeCell ref="I11:J11"/>
    <mergeCell ref="L11:N12"/>
    <mergeCell ref="D12:E12"/>
    <mergeCell ref="I12:J12"/>
    <mergeCell ref="A1:B1"/>
    <mergeCell ref="C1:M1"/>
    <mergeCell ref="A2:B2"/>
    <mergeCell ref="A3:B4"/>
    <mergeCell ref="D3:E3"/>
    <mergeCell ref="I3:J3"/>
    <mergeCell ref="L3:N4"/>
    <mergeCell ref="D4:E4"/>
    <mergeCell ref="I4:J4"/>
  </mergeCells>
  <pageMargins left="0.511811024" right="0.511811024" top="0.8705357142857143" bottom="0.78740157499999996" header="0.31496062000000002" footer="0.31496062000000002"/>
  <pageSetup paperSize="9" scale="70" orientation="landscape" r:id="rId1"/>
  <headerFooter>
    <oddHeader>&amp;L&amp;G&amp;R&amp;"-,Negrito"&amp;8&amp;K01+048DEPARTAMENTO DE ENGENHARIA - DENGE&amp;"-,Regular"
(65) 3613-1609 | engenharia@mpmt.mp.br
&amp;"-,Negrito"GERENCIA DE LICITAÇÕES&amp;"-,Regular"
(65) 3613-1635 | licitacoes@mpmt.mp.br</oddHeader>
    <oddFooter>&amp;L&amp;"-,Negrito"&amp;8&amp;K01+047MINISTÉRIO PÚBLICO DO ESTADO DE MATO GROSSO&amp;"-,Regular"
PROCURADORIA GERAL DE JUSTIÇA, RUA 04, S/N,
CENTRO POLÍTICO ADMINISTRATIVO - CUIABÁ-MT&amp;C&amp;8&amp;K01+047&amp;P / &amp;N&amp;R&amp;"-,Negrito"&amp;8&amp;K01+047&amp;A</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1D521-BD7F-47B0-92BF-A866E74F86D6}">
  <dimension ref="A1:D6485"/>
  <sheetViews>
    <sheetView showGridLines="0" showWhiteSpace="0" view="pageLayout" zoomScaleNormal="100" workbookViewId="0">
      <selection activeCell="B1" sqref="B1"/>
    </sheetView>
  </sheetViews>
  <sheetFormatPr defaultRowHeight="12.75" x14ac:dyDescent="0.25"/>
  <cols>
    <col min="1" max="1" width="13.28515625" style="106" customWidth="1"/>
    <col min="2" max="2" width="56.85546875" style="108" customWidth="1"/>
    <col min="3" max="3" width="8.28515625" style="106" bestFit="1" customWidth="1"/>
    <col min="4" max="4" width="12.140625" style="108" bestFit="1" customWidth="1"/>
    <col min="5" max="257" width="14.140625" style="108" customWidth="1"/>
    <col min="258" max="258" width="55.85546875" style="108" customWidth="1"/>
    <col min="259" max="259" width="9" style="108" bestFit="1" customWidth="1"/>
    <col min="260" max="260" width="20.140625" style="108" customWidth="1"/>
    <col min="261" max="513" width="14.140625" style="108" customWidth="1"/>
    <col min="514" max="514" width="55.85546875" style="108" customWidth="1"/>
    <col min="515" max="515" width="9" style="108" bestFit="1" customWidth="1"/>
    <col min="516" max="516" width="20.140625" style="108" customWidth="1"/>
    <col min="517" max="769" width="14.140625" style="108" customWidth="1"/>
    <col min="770" max="770" width="55.85546875" style="108" customWidth="1"/>
    <col min="771" max="771" width="9" style="108" bestFit="1" customWidth="1"/>
    <col min="772" max="772" width="20.140625" style="108" customWidth="1"/>
    <col min="773" max="1025" width="14.140625" style="108" customWidth="1"/>
    <col min="1026" max="1026" width="55.85546875" style="108" customWidth="1"/>
    <col min="1027" max="1027" width="9" style="108" bestFit="1" customWidth="1"/>
    <col min="1028" max="1028" width="20.140625" style="108" customWidth="1"/>
    <col min="1029" max="1281" width="14.140625" style="108" customWidth="1"/>
    <col min="1282" max="1282" width="55.85546875" style="108" customWidth="1"/>
    <col min="1283" max="1283" width="9" style="108" bestFit="1" customWidth="1"/>
    <col min="1284" max="1284" width="20.140625" style="108" customWidth="1"/>
    <col min="1285" max="1537" width="14.140625" style="108" customWidth="1"/>
    <col min="1538" max="1538" width="55.85546875" style="108" customWidth="1"/>
    <col min="1539" max="1539" width="9" style="108" bestFit="1" customWidth="1"/>
    <col min="1540" max="1540" width="20.140625" style="108" customWidth="1"/>
    <col min="1541" max="1793" width="14.140625" style="108" customWidth="1"/>
    <col min="1794" max="1794" width="55.85546875" style="108" customWidth="1"/>
    <col min="1795" max="1795" width="9" style="108" bestFit="1" customWidth="1"/>
    <col min="1796" max="1796" width="20.140625" style="108" customWidth="1"/>
    <col min="1797" max="2049" width="14.140625" style="108" customWidth="1"/>
    <col min="2050" max="2050" width="55.85546875" style="108" customWidth="1"/>
    <col min="2051" max="2051" width="9" style="108" bestFit="1" customWidth="1"/>
    <col min="2052" max="2052" width="20.140625" style="108" customWidth="1"/>
    <col min="2053" max="2305" width="14.140625" style="108" customWidth="1"/>
    <col min="2306" max="2306" width="55.85546875" style="108" customWidth="1"/>
    <col min="2307" max="2307" width="9" style="108" bestFit="1" customWidth="1"/>
    <col min="2308" max="2308" width="20.140625" style="108" customWidth="1"/>
    <col min="2309" max="2561" width="14.140625" style="108" customWidth="1"/>
    <col min="2562" max="2562" width="55.85546875" style="108" customWidth="1"/>
    <col min="2563" max="2563" width="9" style="108" bestFit="1" customWidth="1"/>
    <col min="2564" max="2564" width="20.140625" style="108" customWidth="1"/>
    <col min="2565" max="2817" width="14.140625" style="108" customWidth="1"/>
    <col min="2818" max="2818" width="55.85546875" style="108" customWidth="1"/>
    <col min="2819" max="2819" width="9" style="108" bestFit="1" customWidth="1"/>
    <col min="2820" max="2820" width="20.140625" style="108" customWidth="1"/>
    <col min="2821" max="3073" width="14.140625" style="108" customWidth="1"/>
    <col min="3074" max="3074" width="55.85546875" style="108" customWidth="1"/>
    <col min="3075" max="3075" width="9" style="108" bestFit="1" customWidth="1"/>
    <col min="3076" max="3076" width="20.140625" style="108" customWidth="1"/>
    <col min="3077" max="3329" width="14.140625" style="108" customWidth="1"/>
    <col min="3330" max="3330" width="55.85546875" style="108" customWidth="1"/>
    <col min="3331" max="3331" width="9" style="108" bestFit="1" customWidth="1"/>
    <col min="3332" max="3332" width="20.140625" style="108" customWidth="1"/>
    <col min="3333" max="3585" width="14.140625" style="108" customWidth="1"/>
    <col min="3586" max="3586" width="55.85546875" style="108" customWidth="1"/>
    <col min="3587" max="3587" width="9" style="108" bestFit="1" customWidth="1"/>
    <col min="3588" max="3588" width="20.140625" style="108" customWidth="1"/>
    <col min="3589" max="3841" width="14.140625" style="108" customWidth="1"/>
    <col min="3842" max="3842" width="55.85546875" style="108" customWidth="1"/>
    <col min="3843" max="3843" width="9" style="108" bestFit="1" customWidth="1"/>
    <col min="3844" max="3844" width="20.140625" style="108" customWidth="1"/>
    <col min="3845" max="4097" width="14.140625" style="108" customWidth="1"/>
    <col min="4098" max="4098" width="55.85546875" style="108" customWidth="1"/>
    <col min="4099" max="4099" width="9" style="108" bestFit="1" customWidth="1"/>
    <col min="4100" max="4100" width="20.140625" style="108" customWidth="1"/>
    <col min="4101" max="4353" width="14.140625" style="108" customWidth="1"/>
    <col min="4354" max="4354" width="55.85546875" style="108" customWidth="1"/>
    <col min="4355" max="4355" width="9" style="108" bestFit="1" customWidth="1"/>
    <col min="4356" max="4356" width="20.140625" style="108" customWidth="1"/>
    <col min="4357" max="4609" width="14.140625" style="108" customWidth="1"/>
    <col min="4610" max="4610" width="55.85546875" style="108" customWidth="1"/>
    <col min="4611" max="4611" width="9" style="108" bestFit="1" customWidth="1"/>
    <col min="4612" max="4612" width="20.140625" style="108" customWidth="1"/>
    <col min="4613" max="4865" width="14.140625" style="108" customWidth="1"/>
    <col min="4866" max="4866" width="55.85546875" style="108" customWidth="1"/>
    <col min="4867" max="4867" width="9" style="108" bestFit="1" customWidth="1"/>
    <col min="4868" max="4868" width="20.140625" style="108" customWidth="1"/>
    <col min="4869" max="5121" width="14.140625" style="108" customWidth="1"/>
    <col min="5122" max="5122" width="55.85546875" style="108" customWidth="1"/>
    <col min="5123" max="5123" width="9" style="108" bestFit="1" customWidth="1"/>
    <col min="5124" max="5124" width="20.140625" style="108" customWidth="1"/>
    <col min="5125" max="5377" width="14.140625" style="108" customWidth="1"/>
    <col min="5378" max="5378" width="55.85546875" style="108" customWidth="1"/>
    <col min="5379" max="5379" width="9" style="108" bestFit="1" customWidth="1"/>
    <col min="5380" max="5380" width="20.140625" style="108" customWidth="1"/>
    <col min="5381" max="5633" width="14.140625" style="108" customWidth="1"/>
    <col min="5634" max="5634" width="55.85546875" style="108" customWidth="1"/>
    <col min="5635" max="5635" width="9" style="108" bestFit="1" customWidth="1"/>
    <col min="5636" max="5636" width="20.140625" style="108" customWidth="1"/>
    <col min="5637" max="5889" width="14.140625" style="108" customWidth="1"/>
    <col min="5890" max="5890" width="55.85546875" style="108" customWidth="1"/>
    <col min="5891" max="5891" width="9" style="108" bestFit="1" customWidth="1"/>
    <col min="5892" max="5892" width="20.140625" style="108" customWidth="1"/>
    <col min="5893" max="6145" width="14.140625" style="108" customWidth="1"/>
    <col min="6146" max="6146" width="55.85546875" style="108" customWidth="1"/>
    <col min="6147" max="6147" width="9" style="108" bestFit="1" customWidth="1"/>
    <col min="6148" max="6148" width="20.140625" style="108" customWidth="1"/>
    <col min="6149" max="6401" width="14.140625" style="108" customWidth="1"/>
    <col min="6402" max="6402" width="55.85546875" style="108" customWidth="1"/>
    <col min="6403" max="6403" width="9" style="108" bestFit="1" customWidth="1"/>
    <col min="6404" max="6404" width="20.140625" style="108" customWidth="1"/>
    <col min="6405" max="6657" width="14.140625" style="108" customWidth="1"/>
    <col min="6658" max="6658" width="55.85546875" style="108" customWidth="1"/>
    <col min="6659" max="6659" width="9" style="108" bestFit="1" customWidth="1"/>
    <col min="6660" max="6660" width="20.140625" style="108" customWidth="1"/>
    <col min="6661" max="6913" width="14.140625" style="108" customWidth="1"/>
    <col min="6914" max="6914" width="55.85546875" style="108" customWidth="1"/>
    <col min="6915" max="6915" width="9" style="108" bestFit="1" customWidth="1"/>
    <col min="6916" max="6916" width="20.140625" style="108" customWidth="1"/>
    <col min="6917" max="7169" width="14.140625" style="108" customWidth="1"/>
    <col min="7170" max="7170" width="55.85546875" style="108" customWidth="1"/>
    <col min="7171" max="7171" width="9" style="108" bestFit="1" customWidth="1"/>
    <col min="7172" max="7172" width="20.140625" style="108" customWidth="1"/>
    <col min="7173" max="7425" width="14.140625" style="108" customWidth="1"/>
    <col min="7426" max="7426" width="55.85546875" style="108" customWidth="1"/>
    <col min="7427" max="7427" width="9" style="108" bestFit="1" customWidth="1"/>
    <col min="7428" max="7428" width="20.140625" style="108" customWidth="1"/>
    <col min="7429" max="7681" width="14.140625" style="108" customWidth="1"/>
    <col min="7682" max="7682" width="55.85546875" style="108" customWidth="1"/>
    <col min="7683" max="7683" width="9" style="108" bestFit="1" customWidth="1"/>
    <col min="7684" max="7684" width="20.140625" style="108" customWidth="1"/>
    <col min="7685" max="7937" width="14.140625" style="108" customWidth="1"/>
    <col min="7938" max="7938" width="55.85546875" style="108" customWidth="1"/>
    <col min="7939" max="7939" width="9" style="108" bestFit="1" customWidth="1"/>
    <col min="7940" max="7940" width="20.140625" style="108" customWidth="1"/>
    <col min="7941" max="8193" width="14.140625" style="108" customWidth="1"/>
    <col min="8194" max="8194" width="55.85546875" style="108" customWidth="1"/>
    <col min="8195" max="8195" width="9" style="108" bestFit="1" customWidth="1"/>
    <col min="8196" max="8196" width="20.140625" style="108" customWidth="1"/>
    <col min="8197" max="8449" width="14.140625" style="108" customWidth="1"/>
    <col min="8450" max="8450" width="55.85546875" style="108" customWidth="1"/>
    <col min="8451" max="8451" width="9" style="108" bestFit="1" customWidth="1"/>
    <col min="8452" max="8452" width="20.140625" style="108" customWidth="1"/>
    <col min="8453" max="8705" width="14.140625" style="108" customWidth="1"/>
    <col min="8706" max="8706" width="55.85546875" style="108" customWidth="1"/>
    <col min="8707" max="8707" width="9" style="108" bestFit="1" customWidth="1"/>
    <col min="8708" max="8708" width="20.140625" style="108" customWidth="1"/>
    <col min="8709" max="8961" width="14.140625" style="108" customWidth="1"/>
    <col min="8962" max="8962" width="55.85546875" style="108" customWidth="1"/>
    <col min="8963" max="8963" width="9" style="108" bestFit="1" customWidth="1"/>
    <col min="8964" max="8964" width="20.140625" style="108" customWidth="1"/>
    <col min="8965" max="9217" width="14.140625" style="108" customWidth="1"/>
    <col min="9218" max="9218" width="55.85546875" style="108" customWidth="1"/>
    <col min="9219" max="9219" width="9" style="108" bestFit="1" customWidth="1"/>
    <col min="9220" max="9220" width="20.140625" style="108" customWidth="1"/>
    <col min="9221" max="9473" width="14.140625" style="108" customWidth="1"/>
    <col min="9474" max="9474" width="55.85546875" style="108" customWidth="1"/>
    <col min="9475" max="9475" width="9" style="108" bestFit="1" customWidth="1"/>
    <col min="9476" max="9476" width="20.140625" style="108" customWidth="1"/>
    <col min="9477" max="9729" width="14.140625" style="108" customWidth="1"/>
    <col min="9730" max="9730" width="55.85546875" style="108" customWidth="1"/>
    <col min="9731" max="9731" width="9" style="108" bestFit="1" customWidth="1"/>
    <col min="9732" max="9732" width="20.140625" style="108" customWidth="1"/>
    <col min="9733" max="9985" width="14.140625" style="108" customWidth="1"/>
    <col min="9986" max="9986" width="55.85546875" style="108" customWidth="1"/>
    <col min="9987" max="9987" width="9" style="108" bestFit="1" customWidth="1"/>
    <col min="9988" max="9988" width="20.140625" style="108" customWidth="1"/>
    <col min="9989" max="10241" width="14.140625" style="108" customWidth="1"/>
    <col min="10242" max="10242" width="55.85546875" style="108" customWidth="1"/>
    <col min="10243" max="10243" width="9" style="108" bestFit="1" customWidth="1"/>
    <col min="10244" max="10244" width="20.140625" style="108" customWidth="1"/>
    <col min="10245" max="10497" width="14.140625" style="108" customWidth="1"/>
    <col min="10498" max="10498" width="55.85546875" style="108" customWidth="1"/>
    <col min="10499" max="10499" width="9" style="108" bestFit="1" customWidth="1"/>
    <col min="10500" max="10500" width="20.140625" style="108" customWidth="1"/>
    <col min="10501" max="10753" width="14.140625" style="108" customWidth="1"/>
    <col min="10754" max="10754" width="55.85546875" style="108" customWidth="1"/>
    <col min="10755" max="10755" width="9" style="108" bestFit="1" customWidth="1"/>
    <col min="10756" max="10756" width="20.140625" style="108" customWidth="1"/>
    <col min="10757" max="11009" width="14.140625" style="108" customWidth="1"/>
    <col min="11010" max="11010" width="55.85546875" style="108" customWidth="1"/>
    <col min="11011" max="11011" width="9" style="108" bestFit="1" customWidth="1"/>
    <col min="11012" max="11012" width="20.140625" style="108" customWidth="1"/>
    <col min="11013" max="11265" width="14.140625" style="108" customWidth="1"/>
    <col min="11266" max="11266" width="55.85546875" style="108" customWidth="1"/>
    <col min="11267" max="11267" width="9" style="108" bestFit="1" customWidth="1"/>
    <col min="11268" max="11268" width="20.140625" style="108" customWidth="1"/>
    <col min="11269" max="11521" width="14.140625" style="108" customWidth="1"/>
    <col min="11522" max="11522" width="55.85546875" style="108" customWidth="1"/>
    <col min="11523" max="11523" width="9" style="108" bestFit="1" customWidth="1"/>
    <col min="11524" max="11524" width="20.140625" style="108" customWidth="1"/>
    <col min="11525" max="11777" width="14.140625" style="108" customWidth="1"/>
    <col min="11778" max="11778" width="55.85546875" style="108" customWidth="1"/>
    <col min="11779" max="11779" width="9" style="108" bestFit="1" customWidth="1"/>
    <col min="11780" max="11780" width="20.140625" style="108" customWidth="1"/>
    <col min="11781" max="12033" width="14.140625" style="108" customWidth="1"/>
    <col min="12034" max="12034" width="55.85546875" style="108" customWidth="1"/>
    <col min="12035" max="12035" width="9" style="108" bestFit="1" customWidth="1"/>
    <col min="12036" max="12036" width="20.140625" style="108" customWidth="1"/>
    <col min="12037" max="12289" width="14.140625" style="108" customWidth="1"/>
    <col min="12290" max="12290" width="55.85546875" style="108" customWidth="1"/>
    <col min="12291" max="12291" width="9" style="108" bestFit="1" customWidth="1"/>
    <col min="12292" max="12292" width="20.140625" style="108" customWidth="1"/>
    <col min="12293" max="12545" width="14.140625" style="108" customWidth="1"/>
    <col min="12546" max="12546" width="55.85546875" style="108" customWidth="1"/>
    <col min="12547" max="12547" width="9" style="108" bestFit="1" customWidth="1"/>
    <col min="12548" max="12548" width="20.140625" style="108" customWidth="1"/>
    <col min="12549" max="12801" width="14.140625" style="108" customWidth="1"/>
    <col min="12802" max="12802" width="55.85546875" style="108" customWidth="1"/>
    <col min="12803" max="12803" width="9" style="108" bestFit="1" customWidth="1"/>
    <col min="12804" max="12804" width="20.140625" style="108" customWidth="1"/>
    <col min="12805" max="13057" width="14.140625" style="108" customWidth="1"/>
    <col min="13058" max="13058" width="55.85546875" style="108" customWidth="1"/>
    <col min="13059" max="13059" width="9" style="108" bestFit="1" customWidth="1"/>
    <col min="13060" max="13060" width="20.140625" style="108" customWidth="1"/>
    <col min="13061" max="13313" width="14.140625" style="108" customWidth="1"/>
    <col min="13314" max="13314" width="55.85546875" style="108" customWidth="1"/>
    <col min="13315" max="13315" width="9" style="108" bestFit="1" customWidth="1"/>
    <col min="13316" max="13316" width="20.140625" style="108" customWidth="1"/>
    <col min="13317" max="13569" width="14.140625" style="108" customWidth="1"/>
    <col min="13570" max="13570" width="55.85546875" style="108" customWidth="1"/>
    <col min="13571" max="13571" width="9" style="108" bestFit="1" customWidth="1"/>
    <col min="13572" max="13572" width="20.140625" style="108" customWidth="1"/>
    <col min="13573" max="13825" width="14.140625" style="108" customWidth="1"/>
    <col min="13826" max="13826" width="55.85546875" style="108" customWidth="1"/>
    <col min="13827" max="13827" width="9" style="108" bestFit="1" customWidth="1"/>
    <col min="13828" max="13828" width="20.140625" style="108" customWidth="1"/>
    <col min="13829" max="14081" width="14.140625" style="108" customWidth="1"/>
    <col min="14082" max="14082" width="55.85546875" style="108" customWidth="1"/>
    <col min="14083" max="14083" width="9" style="108" bestFit="1" customWidth="1"/>
    <col min="14084" max="14084" width="20.140625" style="108" customWidth="1"/>
    <col min="14085" max="14337" width="14.140625" style="108" customWidth="1"/>
    <col min="14338" max="14338" width="55.85546875" style="108" customWidth="1"/>
    <col min="14339" max="14339" width="9" style="108" bestFit="1" customWidth="1"/>
    <col min="14340" max="14340" width="20.140625" style="108" customWidth="1"/>
    <col min="14341" max="14593" width="14.140625" style="108" customWidth="1"/>
    <col min="14594" max="14594" width="55.85546875" style="108" customWidth="1"/>
    <col min="14595" max="14595" width="9" style="108" bestFit="1" customWidth="1"/>
    <col min="14596" max="14596" width="20.140625" style="108" customWidth="1"/>
    <col min="14597" max="14849" width="14.140625" style="108" customWidth="1"/>
    <col min="14850" max="14850" width="55.85546875" style="108" customWidth="1"/>
    <col min="14851" max="14851" width="9" style="108" bestFit="1" customWidth="1"/>
    <col min="14852" max="14852" width="20.140625" style="108" customWidth="1"/>
    <col min="14853" max="15105" width="14.140625" style="108" customWidth="1"/>
    <col min="15106" max="15106" width="55.85546875" style="108" customWidth="1"/>
    <col min="15107" max="15107" width="9" style="108" bestFit="1" customWidth="1"/>
    <col min="15108" max="15108" width="20.140625" style="108" customWidth="1"/>
    <col min="15109" max="15361" width="14.140625" style="108" customWidth="1"/>
    <col min="15362" max="15362" width="55.85546875" style="108" customWidth="1"/>
    <col min="15363" max="15363" width="9" style="108" bestFit="1" customWidth="1"/>
    <col min="15364" max="15364" width="20.140625" style="108" customWidth="1"/>
    <col min="15365" max="15617" width="14.140625" style="108" customWidth="1"/>
    <col min="15618" max="15618" width="55.85546875" style="108" customWidth="1"/>
    <col min="15619" max="15619" width="9" style="108" bestFit="1" customWidth="1"/>
    <col min="15620" max="15620" width="20.140625" style="108" customWidth="1"/>
    <col min="15621" max="15873" width="14.140625" style="108" customWidth="1"/>
    <col min="15874" max="15874" width="55.85546875" style="108" customWidth="1"/>
    <col min="15875" max="15875" width="9" style="108" bestFit="1" customWidth="1"/>
    <col min="15876" max="15876" width="20.140625" style="108" customWidth="1"/>
    <col min="15877" max="16129" width="14.140625" style="108" customWidth="1"/>
    <col min="16130" max="16130" width="55.85546875" style="108" customWidth="1"/>
    <col min="16131" max="16131" width="9" style="108" bestFit="1" customWidth="1"/>
    <col min="16132" max="16132" width="20.140625" style="108" customWidth="1"/>
    <col min="16133" max="16384" width="14.140625" style="108" customWidth="1"/>
  </cols>
  <sheetData>
    <row r="1" spans="1:4" s="103" customFormat="1" ht="25.5" x14ac:dyDescent="0.25">
      <c r="A1" s="102" t="s">
        <v>10520</v>
      </c>
      <c r="B1" s="102" t="s">
        <v>10521</v>
      </c>
      <c r="C1" s="102" t="s">
        <v>719</v>
      </c>
      <c r="D1" s="102" t="s">
        <v>101</v>
      </c>
    </row>
    <row r="2" spans="1:4" ht="38.25" x14ac:dyDescent="0.25">
      <c r="A2" s="104">
        <v>97141</v>
      </c>
      <c r="B2" s="105" t="s">
        <v>720</v>
      </c>
      <c r="C2" s="106" t="s">
        <v>16</v>
      </c>
      <c r="D2" s="107">
        <v>5.0999999999999996</v>
      </c>
    </row>
    <row r="3" spans="1:4" ht="38.25" x14ac:dyDescent="0.25">
      <c r="A3" s="104">
        <v>97142</v>
      </c>
      <c r="B3" s="105" t="s">
        <v>721</v>
      </c>
      <c r="C3" s="106" t="s">
        <v>16</v>
      </c>
      <c r="D3" s="107">
        <v>5.7</v>
      </c>
    </row>
    <row r="4" spans="1:4" ht="38.25" x14ac:dyDescent="0.25">
      <c r="A4" s="104">
        <v>97143</v>
      </c>
      <c r="B4" s="105" t="s">
        <v>722</v>
      </c>
      <c r="C4" s="106" t="s">
        <v>16</v>
      </c>
      <c r="D4" s="107">
        <v>7.19</v>
      </c>
    </row>
    <row r="5" spans="1:4" ht="38.25" x14ac:dyDescent="0.25">
      <c r="A5" s="104">
        <v>97144</v>
      </c>
      <c r="B5" s="105" t="s">
        <v>723</v>
      </c>
      <c r="C5" s="106" t="s">
        <v>16</v>
      </c>
      <c r="D5" s="107">
        <v>8.69</v>
      </c>
    </row>
    <row r="6" spans="1:4" ht="38.25" x14ac:dyDescent="0.25">
      <c r="A6" s="104">
        <v>97145</v>
      </c>
      <c r="B6" s="105" t="s">
        <v>724</v>
      </c>
      <c r="C6" s="106" t="s">
        <v>16</v>
      </c>
      <c r="D6" s="107">
        <v>10.19</v>
      </c>
    </row>
    <row r="7" spans="1:4" ht="38.25" x14ac:dyDescent="0.25">
      <c r="A7" s="104">
        <v>97146</v>
      </c>
      <c r="B7" s="105" t="s">
        <v>725</v>
      </c>
      <c r="C7" s="106" t="s">
        <v>16</v>
      </c>
      <c r="D7" s="107">
        <v>11.69</v>
      </c>
    </row>
    <row r="8" spans="1:4" ht="38.25" x14ac:dyDescent="0.25">
      <c r="A8" s="104">
        <v>97147</v>
      </c>
      <c r="B8" s="105" t="s">
        <v>726</v>
      </c>
      <c r="C8" s="106" t="s">
        <v>16</v>
      </c>
      <c r="D8" s="107">
        <v>13.23</v>
      </c>
    </row>
    <row r="9" spans="1:4" ht="38.25" x14ac:dyDescent="0.25">
      <c r="A9" s="104">
        <v>97148</v>
      </c>
      <c r="B9" s="105" t="s">
        <v>727</v>
      </c>
      <c r="C9" s="106" t="s">
        <v>16</v>
      </c>
      <c r="D9" s="107">
        <v>14.72</v>
      </c>
    </row>
    <row r="10" spans="1:4" ht="38.25" x14ac:dyDescent="0.25">
      <c r="A10" s="104">
        <v>97149</v>
      </c>
      <c r="B10" s="105" t="s">
        <v>728</v>
      </c>
      <c r="C10" s="106" t="s">
        <v>16</v>
      </c>
      <c r="D10" s="107">
        <v>16.260000000000002</v>
      </c>
    </row>
    <row r="11" spans="1:4" ht="38.25" x14ac:dyDescent="0.25">
      <c r="A11" s="104">
        <v>97150</v>
      </c>
      <c r="B11" s="105" t="s">
        <v>729</v>
      </c>
      <c r="C11" s="106" t="s">
        <v>16</v>
      </c>
      <c r="D11" s="107">
        <v>20.04</v>
      </c>
    </row>
    <row r="12" spans="1:4" ht="38.25" x14ac:dyDescent="0.25">
      <c r="A12" s="104">
        <v>97151</v>
      </c>
      <c r="B12" s="105" t="s">
        <v>730</v>
      </c>
      <c r="C12" s="106" t="s">
        <v>16</v>
      </c>
      <c r="D12" s="107">
        <v>23.44</v>
      </c>
    </row>
    <row r="13" spans="1:4" ht="38.25" x14ac:dyDescent="0.25">
      <c r="A13" s="104">
        <v>97152</v>
      </c>
      <c r="B13" s="105" t="s">
        <v>731</v>
      </c>
      <c r="C13" s="106" t="s">
        <v>16</v>
      </c>
      <c r="D13" s="107">
        <v>26.55</v>
      </c>
    </row>
    <row r="14" spans="1:4" ht="38.25" x14ac:dyDescent="0.25">
      <c r="A14" s="104">
        <v>97153</v>
      </c>
      <c r="B14" s="105" t="s">
        <v>732</v>
      </c>
      <c r="C14" s="106" t="s">
        <v>16</v>
      </c>
      <c r="D14" s="107">
        <v>29.82</v>
      </c>
    </row>
    <row r="15" spans="1:4" ht="38.25" x14ac:dyDescent="0.25">
      <c r="A15" s="104">
        <v>97154</v>
      </c>
      <c r="B15" s="105" t="s">
        <v>733</v>
      </c>
      <c r="C15" s="106" t="s">
        <v>16</v>
      </c>
      <c r="D15" s="107">
        <v>33.159999999999997</v>
      </c>
    </row>
    <row r="16" spans="1:4" ht="38.25" x14ac:dyDescent="0.25">
      <c r="A16" s="104">
        <v>97155</v>
      </c>
      <c r="B16" s="105" t="s">
        <v>734</v>
      </c>
      <c r="C16" s="106" t="s">
        <v>16</v>
      </c>
      <c r="D16" s="107">
        <v>36.49</v>
      </c>
    </row>
    <row r="17" spans="1:4" ht="38.25" x14ac:dyDescent="0.25">
      <c r="A17" s="104">
        <v>97156</v>
      </c>
      <c r="B17" s="105" t="s">
        <v>735</v>
      </c>
      <c r="C17" s="106" t="s">
        <v>16</v>
      </c>
      <c r="D17" s="107">
        <v>43.63</v>
      </c>
    </row>
    <row r="18" spans="1:4" ht="38.25" x14ac:dyDescent="0.25">
      <c r="A18" s="104">
        <v>97157</v>
      </c>
      <c r="B18" s="105" t="s">
        <v>736</v>
      </c>
      <c r="C18" s="106" t="s">
        <v>16</v>
      </c>
      <c r="D18" s="107">
        <v>3.11</v>
      </c>
    </row>
    <row r="19" spans="1:4" ht="38.25" x14ac:dyDescent="0.25">
      <c r="A19" s="104">
        <v>97158</v>
      </c>
      <c r="B19" s="105" t="s">
        <v>737</v>
      </c>
      <c r="C19" s="106" t="s">
        <v>16</v>
      </c>
      <c r="D19" s="107">
        <v>3.49</v>
      </c>
    </row>
    <row r="20" spans="1:4" ht="38.25" x14ac:dyDescent="0.25">
      <c r="A20" s="104">
        <v>97159</v>
      </c>
      <c r="B20" s="105" t="s">
        <v>738</v>
      </c>
      <c r="C20" s="106" t="s">
        <v>16</v>
      </c>
      <c r="D20" s="107">
        <v>4.42</v>
      </c>
    </row>
    <row r="21" spans="1:4" ht="38.25" x14ac:dyDescent="0.25">
      <c r="A21" s="104">
        <v>97160</v>
      </c>
      <c r="B21" s="105" t="s">
        <v>739</v>
      </c>
      <c r="C21" s="106" t="s">
        <v>16</v>
      </c>
      <c r="D21" s="107">
        <v>5.33</v>
      </c>
    </row>
    <row r="22" spans="1:4" ht="38.25" x14ac:dyDescent="0.25">
      <c r="A22" s="104">
        <v>97161</v>
      </c>
      <c r="B22" s="105" t="s">
        <v>740</v>
      </c>
      <c r="C22" s="106" t="s">
        <v>16</v>
      </c>
      <c r="D22" s="107">
        <v>6.29</v>
      </c>
    </row>
    <row r="23" spans="1:4" ht="38.25" x14ac:dyDescent="0.25">
      <c r="A23" s="104">
        <v>97162</v>
      </c>
      <c r="B23" s="105" t="s">
        <v>741</v>
      </c>
      <c r="C23" s="106" t="s">
        <v>16</v>
      </c>
      <c r="D23" s="107">
        <v>7.2</v>
      </c>
    </row>
    <row r="24" spans="1:4" ht="38.25" x14ac:dyDescent="0.25">
      <c r="A24" s="104">
        <v>97163</v>
      </c>
      <c r="B24" s="105" t="s">
        <v>742</v>
      </c>
      <c r="C24" s="106" t="s">
        <v>16</v>
      </c>
      <c r="D24" s="107">
        <v>8.17</v>
      </c>
    </row>
    <row r="25" spans="1:4" ht="38.25" x14ac:dyDescent="0.25">
      <c r="A25" s="104">
        <v>97164</v>
      </c>
      <c r="B25" s="105" t="s">
        <v>743</v>
      </c>
      <c r="C25" s="106" t="s">
        <v>16</v>
      </c>
      <c r="D25" s="107">
        <v>9.1</v>
      </c>
    </row>
    <row r="26" spans="1:4" ht="38.25" x14ac:dyDescent="0.25">
      <c r="A26" s="104">
        <v>97165</v>
      </c>
      <c r="B26" s="105" t="s">
        <v>744</v>
      </c>
      <c r="C26" s="106" t="s">
        <v>16</v>
      </c>
      <c r="D26" s="107">
        <v>10.07</v>
      </c>
    </row>
    <row r="27" spans="1:4" ht="38.25" x14ac:dyDescent="0.25">
      <c r="A27" s="104">
        <v>97166</v>
      </c>
      <c r="B27" s="105" t="s">
        <v>745</v>
      </c>
      <c r="C27" s="106" t="s">
        <v>16</v>
      </c>
      <c r="D27" s="107">
        <v>12.39</v>
      </c>
    </row>
    <row r="28" spans="1:4" ht="38.25" x14ac:dyDescent="0.25">
      <c r="A28" s="104">
        <v>97167</v>
      </c>
      <c r="B28" s="105" t="s">
        <v>746</v>
      </c>
      <c r="C28" s="106" t="s">
        <v>16</v>
      </c>
      <c r="D28" s="107">
        <v>14.53</v>
      </c>
    </row>
    <row r="29" spans="1:4" ht="38.25" x14ac:dyDescent="0.25">
      <c r="A29" s="104">
        <v>97168</v>
      </c>
      <c r="B29" s="105" t="s">
        <v>747</v>
      </c>
      <c r="C29" s="106" t="s">
        <v>16</v>
      </c>
      <c r="D29" s="107">
        <v>16.37</v>
      </c>
    </row>
    <row r="30" spans="1:4" ht="38.25" x14ac:dyDescent="0.25">
      <c r="A30" s="104">
        <v>97169</v>
      </c>
      <c r="B30" s="105" t="s">
        <v>748</v>
      </c>
      <c r="C30" s="106" t="s">
        <v>16</v>
      </c>
      <c r="D30" s="107">
        <v>18.39</v>
      </c>
    </row>
    <row r="31" spans="1:4" ht="38.25" x14ac:dyDescent="0.25">
      <c r="A31" s="104">
        <v>97170</v>
      </c>
      <c r="B31" s="105" t="s">
        <v>749</v>
      </c>
      <c r="C31" s="106" t="s">
        <v>16</v>
      </c>
      <c r="D31" s="107">
        <v>20.47</v>
      </c>
    </row>
    <row r="32" spans="1:4" ht="38.25" x14ac:dyDescent="0.25">
      <c r="A32" s="104">
        <v>97171</v>
      </c>
      <c r="B32" s="105" t="s">
        <v>750</v>
      </c>
      <c r="C32" s="106" t="s">
        <v>16</v>
      </c>
      <c r="D32" s="107">
        <v>22.54</v>
      </c>
    </row>
    <row r="33" spans="1:4" ht="38.25" x14ac:dyDescent="0.25">
      <c r="A33" s="104">
        <v>97172</v>
      </c>
      <c r="B33" s="105" t="s">
        <v>751</v>
      </c>
      <c r="C33" s="106" t="s">
        <v>16</v>
      </c>
      <c r="D33" s="107">
        <v>27.14</v>
      </c>
    </row>
    <row r="34" spans="1:4" ht="38.25" x14ac:dyDescent="0.25">
      <c r="A34" s="104">
        <v>97173</v>
      </c>
      <c r="B34" s="105" t="s">
        <v>752</v>
      </c>
      <c r="C34" s="106" t="s">
        <v>16</v>
      </c>
      <c r="D34" s="107">
        <v>21.13</v>
      </c>
    </row>
    <row r="35" spans="1:4" ht="38.25" x14ac:dyDescent="0.25">
      <c r="A35" s="104">
        <v>97174</v>
      </c>
      <c r="B35" s="105" t="s">
        <v>753</v>
      </c>
      <c r="C35" s="106" t="s">
        <v>16</v>
      </c>
      <c r="D35" s="107">
        <v>24.44</v>
      </c>
    </row>
    <row r="36" spans="1:4" ht="38.25" x14ac:dyDescent="0.25">
      <c r="A36" s="104">
        <v>97175</v>
      </c>
      <c r="B36" s="105" t="s">
        <v>754</v>
      </c>
      <c r="C36" s="106" t="s">
        <v>16</v>
      </c>
      <c r="D36" s="107">
        <v>27.75</v>
      </c>
    </row>
    <row r="37" spans="1:4" ht="38.25" x14ac:dyDescent="0.25">
      <c r="A37" s="104">
        <v>97176</v>
      </c>
      <c r="B37" s="105" t="s">
        <v>755</v>
      </c>
      <c r="C37" s="106" t="s">
        <v>16</v>
      </c>
      <c r="D37" s="107">
        <v>31.05</v>
      </c>
    </row>
    <row r="38" spans="1:4" ht="51" x14ac:dyDescent="0.25">
      <c r="A38" s="104">
        <v>97177</v>
      </c>
      <c r="B38" s="105" t="s">
        <v>756</v>
      </c>
      <c r="C38" s="106" t="s">
        <v>16</v>
      </c>
      <c r="D38" s="107">
        <v>37.659999999999997</v>
      </c>
    </row>
    <row r="39" spans="1:4" ht="51" x14ac:dyDescent="0.25">
      <c r="A39" s="104">
        <v>97178</v>
      </c>
      <c r="B39" s="105" t="s">
        <v>757</v>
      </c>
      <c r="C39" s="106" t="s">
        <v>16</v>
      </c>
      <c r="D39" s="107">
        <v>44.28</v>
      </c>
    </row>
    <row r="40" spans="1:4" ht="51" x14ac:dyDescent="0.25">
      <c r="A40" s="104">
        <v>97179</v>
      </c>
      <c r="B40" s="105" t="s">
        <v>758</v>
      </c>
      <c r="C40" s="106" t="s">
        <v>16</v>
      </c>
      <c r="D40" s="107">
        <v>50.88</v>
      </c>
    </row>
    <row r="41" spans="1:4" ht="51" x14ac:dyDescent="0.25">
      <c r="A41" s="104">
        <v>97180</v>
      </c>
      <c r="B41" s="105" t="s">
        <v>759</v>
      </c>
      <c r="C41" s="106" t="s">
        <v>16</v>
      </c>
      <c r="D41" s="107">
        <v>57.51</v>
      </c>
    </row>
    <row r="42" spans="1:4" ht="51" x14ac:dyDescent="0.25">
      <c r="A42" s="104">
        <v>97181</v>
      </c>
      <c r="B42" s="105" t="s">
        <v>760</v>
      </c>
      <c r="C42" s="106" t="s">
        <v>16</v>
      </c>
      <c r="D42" s="107">
        <v>66.5</v>
      </c>
    </row>
    <row r="43" spans="1:4" ht="51" x14ac:dyDescent="0.25">
      <c r="A43" s="104">
        <v>97182</v>
      </c>
      <c r="B43" s="105" t="s">
        <v>761</v>
      </c>
      <c r="C43" s="106" t="s">
        <v>16</v>
      </c>
      <c r="D43" s="107">
        <v>73.36</v>
      </c>
    </row>
    <row r="44" spans="1:4" ht="38.25" x14ac:dyDescent="0.25">
      <c r="A44" s="104">
        <v>97183</v>
      </c>
      <c r="B44" s="105" t="s">
        <v>762</v>
      </c>
      <c r="C44" s="106" t="s">
        <v>16</v>
      </c>
      <c r="D44" s="107">
        <v>17.149999999999999</v>
      </c>
    </row>
    <row r="45" spans="1:4" ht="38.25" x14ac:dyDescent="0.25">
      <c r="A45" s="104">
        <v>97184</v>
      </c>
      <c r="B45" s="105" t="s">
        <v>763</v>
      </c>
      <c r="C45" s="106" t="s">
        <v>16</v>
      </c>
      <c r="D45" s="107">
        <v>19.87</v>
      </c>
    </row>
    <row r="46" spans="1:4" ht="38.25" x14ac:dyDescent="0.25">
      <c r="A46" s="104">
        <v>97185</v>
      </c>
      <c r="B46" s="105" t="s">
        <v>764</v>
      </c>
      <c r="C46" s="106" t="s">
        <v>16</v>
      </c>
      <c r="D46" s="107">
        <v>22.6</v>
      </c>
    </row>
    <row r="47" spans="1:4" ht="38.25" x14ac:dyDescent="0.25">
      <c r="A47" s="104">
        <v>97186</v>
      </c>
      <c r="B47" s="105" t="s">
        <v>765</v>
      </c>
      <c r="C47" s="106" t="s">
        <v>16</v>
      </c>
      <c r="D47" s="107">
        <v>25.33</v>
      </c>
    </row>
    <row r="48" spans="1:4" ht="51" x14ac:dyDescent="0.25">
      <c r="A48" s="104">
        <v>97187</v>
      </c>
      <c r="B48" s="105" t="s">
        <v>766</v>
      </c>
      <c r="C48" s="106" t="s">
        <v>16</v>
      </c>
      <c r="D48" s="107">
        <v>30.79</v>
      </c>
    </row>
    <row r="49" spans="1:4" ht="51" x14ac:dyDescent="0.25">
      <c r="A49" s="104">
        <v>97188</v>
      </c>
      <c r="B49" s="105" t="s">
        <v>767</v>
      </c>
      <c r="C49" s="106" t="s">
        <v>16</v>
      </c>
      <c r="D49" s="107">
        <v>36.25</v>
      </c>
    </row>
    <row r="50" spans="1:4" ht="51" x14ac:dyDescent="0.25">
      <c r="A50" s="104">
        <v>97189</v>
      </c>
      <c r="B50" s="105" t="s">
        <v>768</v>
      </c>
      <c r="C50" s="106" t="s">
        <v>16</v>
      </c>
      <c r="D50" s="107">
        <v>41.7</v>
      </c>
    </row>
    <row r="51" spans="1:4" ht="51" x14ac:dyDescent="0.25">
      <c r="A51" s="104">
        <v>97190</v>
      </c>
      <c r="B51" s="105" t="s">
        <v>769</v>
      </c>
      <c r="C51" s="106" t="s">
        <v>16</v>
      </c>
      <c r="D51" s="107">
        <v>47.16</v>
      </c>
    </row>
    <row r="52" spans="1:4" ht="51" x14ac:dyDescent="0.25">
      <c r="A52" s="104">
        <v>97191</v>
      </c>
      <c r="B52" s="105" t="s">
        <v>770</v>
      </c>
      <c r="C52" s="106" t="s">
        <v>16</v>
      </c>
      <c r="D52" s="107">
        <v>54.39</v>
      </c>
    </row>
    <row r="53" spans="1:4" ht="51" x14ac:dyDescent="0.25">
      <c r="A53" s="104">
        <v>97192</v>
      </c>
      <c r="B53" s="105" t="s">
        <v>771</v>
      </c>
      <c r="C53" s="106" t="s">
        <v>16</v>
      </c>
      <c r="D53" s="107">
        <v>60.04</v>
      </c>
    </row>
    <row r="54" spans="1:4" ht="38.25" x14ac:dyDescent="0.25">
      <c r="A54" s="104">
        <v>90694</v>
      </c>
      <c r="B54" s="105" t="s">
        <v>772</v>
      </c>
      <c r="C54" s="106" t="s">
        <v>16</v>
      </c>
      <c r="D54" s="107">
        <v>20.72</v>
      </c>
    </row>
    <row r="55" spans="1:4" ht="38.25" x14ac:dyDescent="0.25">
      <c r="A55" s="104">
        <v>90695</v>
      </c>
      <c r="B55" s="105" t="s">
        <v>773</v>
      </c>
      <c r="C55" s="106" t="s">
        <v>16</v>
      </c>
      <c r="D55" s="107">
        <v>42.83</v>
      </c>
    </row>
    <row r="56" spans="1:4" ht="38.25" x14ac:dyDescent="0.25">
      <c r="A56" s="104">
        <v>90696</v>
      </c>
      <c r="B56" s="105" t="s">
        <v>774</v>
      </c>
      <c r="C56" s="106" t="s">
        <v>16</v>
      </c>
      <c r="D56" s="107">
        <v>63.48</v>
      </c>
    </row>
    <row r="57" spans="1:4" ht="38.25" x14ac:dyDescent="0.25">
      <c r="A57" s="104">
        <v>90697</v>
      </c>
      <c r="B57" s="105" t="s">
        <v>775</v>
      </c>
      <c r="C57" s="106" t="s">
        <v>16</v>
      </c>
      <c r="D57" s="107">
        <v>106.64</v>
      </c>
    </row>
    <row r="58" spans="1:4" ht="38.25" x14ac:dyDescent="0.25">
      <c r="A58" s="104">
        <v>90698</v>
      </c>
      <c r="B58" s="105" t="s">
        <v>776</v>
      </c>
      <c r="C58" s="106" t="s">
        <v>16</v>
      </c>
      <c r="D58" s="107">
        <v>170.59</v>
      </c>
    </row>
    <row r="59" spans="1:4" ht="38.25" x14ac:dyDescent="0.25">
      <c r="A59" s="104">
        <v>90699</v>
      </c>
      <c r="B59" s="105" t="s">
        <v>777</v>
      </c>
      <c r="C59" s="106" t="s">
        <v>16</v>
      </c>
      <c r="D59" s="107">
        <v>210.83</v>
      </c>
    </row>
    <row r="60" spans="1:4" ht="38.25" x14ac:dyDescent="0.25">
      <c r="A60" s="104">
        <v>90700</v>
      </c>
      <c r="B60" s="105" t="s">
        <v>778</v>
      </c>
      <c r="C60" s="106" t="s">
        <v>16</v>
      </c>
      <c r="D60" s="107">
        <v>276.75</v>
      </c>
    </row>
    <row r="61" spans="1:4" ht="51" x14ac:dyDescent="0.25">
      <c r="A61" s="104">
        <v>90701</v>
      </c>
      <c r="B61" s="105" t="s">
        <v>779</v>
      </c>
      <c r="C61" s="106" t="s">
        <v>16</v>
      </c>
      <c r="D61" s="107">
        <v>37.49</v>
      </c>
    </row>
    <row r="62" spans="1:4" ht="51" x14ac:dyDescent="0.25">
      <c r="A62" s="104">
        <v>90702</v>
      </c>
      <c r="B62" s="105" t="s">
        <v>780</v>
      </c>
      <c r="C62" s="106" t="s">
        <v>16</v>
      </c>
      <c r="D62" s="107">
        <v>58.22</v>
      </c>
    </row>
    <row r="63" spans="1:4" ht="51" x14ac:dyDescent="0.25">
      <c r="A63" s="104">
        <v>90703</v>
      </c>
      <c r="B63" s="105" t="s">
        <v>781</v>
      </c>
      <c r="C63" s="106" t="s">
        <v>16</v>
      </c>
      <c r="D63" s="107">
        <v>94.4</v>
      </c>
    </row>
    <row r="64" spans="1:4" ht="51" x14ac:dyDescent="0.25">
      <c r="A64" s="104">
        <v>90704</v>
      </c>
      <c r="B64" s="105" t="s">
        <v>782</v>
      </c>
      <c r="C64" s="106" t="s">
        <v>16</v>
      </c>
      <c r="D64" s="107">
        <v>129.68</v>
      </c>
    </row>
    <row r="65" spans="1:4" ht="51" x14ac:dyDescent="0.25">
      <c r="A65" s="104">
        <v>90705</v>
      </c>
      <c r="B65" s="105" t="s">
        <v>783</v>
      </c>
      <c r="C65" s="106" t="s">
        <v>16</v>
      </c>
      <c r="D65" s="107">
        <v>181.87</v>
      </c>
    </row>
    <row r="66" spans="1:4" ht="51" x14ac:dyDescent="0.25">
      <c r="A66" s="104">
        <v>90706</v>
      </c>
      <c r="B66" s="105" t="s">
        <v>784</v>
      </c>
      <c r="C66" s="106" t="s">
        <v>16</v>
      </c>
      <c r="D66" s="107">
        <v>217.83</v>
      </c>
    </row>
    <row r="67" spans="1:4" ht="51" x14ac:dyDescent="0.25">
      <c r="A67" s="104">
        <v>90708</v>
      </c>
      <c r="B67" s="105" t="s">
        <v>785</v>
      </c>
      <c r="C67" s="106" t="s">
        <v>16</v>
      </c>
      <c r="D67" s="107">
        <v>579.53</v>
      </c>
    </row>
    <row r="68" spans="1:4" ht="38.25" x14ac:dyDescent="0.25">
      <c r="A68" s="104">
        <v>90709</v>
      </c>
      <c r="B68" s="105" t="s">
        <v>786</v>
      </c>
      <c r="C68" s="106" t="s">
        <v>16</v>
      </c>
      <c r="D68" s="107">
        <v>22.11</v>
      </c>
    </row>
    <row r="69" spans="1:4" ht="38.25" x14ac:dyDescent="0.25">
      <c r="A69" s="104">
        <v>90710</v>
      </c>
      <c r="B69" s="105" t="s">
        <v>787</v>
      </c>
      <c r="C69" s="106" t="s">
        <v>16</v>
      </c>
      <c r="D69" s="107">
        <v>44.22</v>
      </c>
    </row>
    <row r="70" spans="1:4" ht="38.25" x14ac:dyDescent="0.25">
      <c r="A70" s="104">
        <v>90711</v>
      </c>
      <c r="B70" s="105" t="s">
        <v>788</v>
      </c>
      <c r="C70" s="106" t="s">
        <v>16</v>
      </c>
      <c r="D70" s="107">
        <v>64.86</v>
      </c>
    </row>
    <row r="71" spans="1:4" ht="38.25" x14ac:dyDescent="0.25">
      <c r="A71" s="104">
        <v>90712</v>
      </c>
      <c r="B71" s="105" t="s">
        <v>789</v>
      </c>
      <c r="C71" s="106" t="s">
        <v>16</v>
      </c>
      <c r="D71" s="107">
        <v>108.02</v>
      </c>
    </row>
    <row r="72" spans="1:4" ht="38.25" x14ac:dyDescent="0.25">
      <c r="A72" s="104">
        <v>90713</v>
      </c>
      <c r="B72" s="105" t="s">
        <v>790</v>
      </c>
      <c r="C72" s="106" t="s">
        <v>16</v>
      </c>
      <c r="D72" s="107">
        <v>171.97</v>
      </c>
    </row>
    <row r="73" spans="1:4" ht="38.25" x14ac:dyDescent="0.25">
      <c r="A73" s="104">
        <v>90714</v>
      </c>
      <c r="B73" s="105" t="s">
        <v>791</v>
      </c>
      <c r="C73" s="106" t="s">
        <v>16</v>
      </c>
      <c r="D73" s="107">
        <v>212.22</v>
      </c>
    </row>
    <row r="74" spans="1:4" ht="38.25" x14ac:dyDescent="0.25">
      <c r="A74" s="104">
        <v>90715</v>
      </c>
      <c r="B74" s="105" t="s">
        <v>792</v>
      </c>
      <c r="C74" s="106" t="s">
        <v>16</v>
      </c>
      <c r="D74" s="107">
        <v>279.68</v>
      </c>
    </row>
    <row r="75" spans="1:4" ht="51" x14ac:dyDescent="0.25">
      <c r="A75" s="104">
        <v>90716</v>
      </c>
      <c r="B75" s="105" t="s">
        <v>793</v>
      </c>
      <c r="C75" s="106" t="s">
        <v>16</v>
      </c>
      <c r="D75" s="107">
        <v>38.880000000000003</v>
      </c>
    </row>
    <row r="76" spans="1:4" ht="51" x14ac:dyDescent="0.25">
      <c r="A76" s="104">
        <v>90717</v>
      </c>
      <c r="B76" s="105" t="s">
        <v>794</v>
      </c>
      <c r="C76" s="106" t="s">
        <v>16</v>
      </c>
      <c r="D76" s="107">
        <v>59.6</v>
      </c>
    </row>
    <row r="77" spans="1:4" ht="51" x14ac:dyDescent="0.25">
      <c r="A77" s="104">
        <v>90718</v>
      </c>
      <c r="B77" s="105" t="s">
        <v>795</v>
      </c>
      <c r="C77" s="106" t="s">
        <v>16</v>
      </c>
      <c r="D77" s="107">
        <v>95.78</v>
      </c>
    </row>
    <row r="78" spans="1:4" ht="51" x14ac:dyDescent="0.25">
      <c r="A78" s="104">
        <v>90719</v>
      </c>
      <c r="B78" s="105" t="s">
        <v>796</v>
      </c>
      <c r="C78" s="106" t="s">
        <v>16</v>
      </c>
      <c r="D78" s="107">
        <v>131.06</v>
      </c>
    </row>
    <row r="79" spans="1:4" ht="51" x14ac:dyDescent="0.25">
      <c r="A79" s="104">
        <v>90720</v>
      </c>
      <c r="B79" s="105" t="s">
        <v>797</v>
      </c>
      <c r="C79" s="106" t="s">
        <v>16</v>
      </c>
      <c r="D79" s="107">
        <v>183.25</v>
      </c>
    </row>
    <row r="80" spans="1:4" ht="51" x14ac:dyDescent="0.25">
      <c r="A80" s="104">
        <v>90721</v>
      </c>
      <c r="B80" s="105" t="s">
        <v>798</v>
      </c>
      <c r="C80" s="106" t="s">
        <v>16</v>
      </c>
      <c r="D80" s="107">
        <v>220.75</v>
      </c>
    </row>
    <row r="81" spans="1:4" ht="51" x14ac:dyDescent="0.25">
      <c r="A81" s="104">
        <v>90723</v>
      </c>
      <c r="B81" s="105" t="s">
        <v>799</v>
      </c>
      <c r="C81" s="106" t="s">
        <v>16</v>
      </c>
      <c r="D81" s="107">
        <v>581.37</v>
      </c>
    </row>
    <row r="82" spans="1:4" ht="38.25" x14ac:dyDescent="0.25">
      <c r="A82" s="104">
        <v>90724</v>
      </c>
      <c r="B82" s="105" t="s">
        <v>800</v>
      </c>
      <c r="C82" s="106" t="s">
        <v>801</v>
      </c>
      <c r="D82" s="107">
        <v>16.41</v>
      </c>
    </row>
    <row r="83" spans="1:4" ht="38.25" x14ac:dyDescent="0.25">
      <c r="A83" s="104">
        <v>90725</v>
      </c>
      <c r="B83" s="105" t="s">
        <v>802</v>
      </c>
      <c r="C83" s="106" t="s">
        <v>801</v>
      </c>
      <c r="D83" s="107">
        <v>20.309999999999999</v>
      </c>
    </row>
    <row r="84" spans="1:4" ht="25.5" x14ac:dyDescent="0.25">
      <c r="A84" s="104">
        <v>90726</v>
      </c>
      <c r="B84" s="105" t="s">
        <v>803</v>
      </c>
      <c r="C84" s="106" t="s">
        <v>801</v>
      </c>
      <c r="D84" s="107">
        <v>24.21</v>
      </c>
    </row>
    <row r="85" spans="1:4" ht="38.25" x14ac:dyDescent="0.25">
      <c r="A85" s="104">
        <v>90727</v>
      </c>
      <c r="B85" s="105" t="s">
        <v>804</v>
      </c>
      <c r="C85" s="106" t="s">
        <v>801</v>
      </c>
      <c r="D85" s="107">
        <v>28.12</v>
      </c>
    </row>
    <row r="86" spans="1:4" ht="38.25" x14ac:dyDescent="0.25">
      <c r="A86" s="104">
        <v>90728</v>
      </c>
      <c r="B86" s="105" t="s">
        <v>805</v>
      </c>
      <c r="C86" s="106" t="s">
        <v>801</v>
      </c>
      <c r="D86" s="107">
        <v>32.01</v>
      </c>
    </row>
    <row r="87" spans="1:4" ht="38.25" x14ac:dyDescent="0.25">
      <c r="A87" s="104">
        <v>90729</v>
      </c>
      <c r="B87" s="105" t="s">
        <v>806</v>
      </c>
      <c r="C87" s="106" t="s">
        <v>801</v>
      </c>
      <c r="D87" s="107">
        <v>35.909999999999997</v>
      </c>
    </row>
    <row r="88" spans="1:4" ht="38.25" x14ac:dyDescent="0.25">
      <c r="A88" s="104">
        <v>90730</v>
      </c>
      <c r="B88" s="105" t="s">
        <v>807</v>
      </c>
      <c r="C88" s="106" t="s">
        <v>801</v>
      </c>
      <c r="D88" s="107">
        <v>39.86</v>
      </c>
    </row>
    <row r="89" spans="1:4" ht="38.25" x14ac:dyDescent="0.25">
      <c r="A89" s="104">
        <v>90731</v>
      </c>
      <c r="B89" s="105" t="s">
        <v>808</v>
      </c>
      <c r="C89" s="106" t="s">
        <v>801</v>
      </c>
      <c r="D89" s="107">
        <v>43.76</v>
      </c>
    </row>
    <row r="90" spans="1:4" ht="38.25" x14ac:dyDescent="0.25">
      <c r="A90" s="104">
        <v>90732</v>
      </c>
      <c r="B90" s="105" t="s">
        <v>809</v>
      </c>
      <c r="C90" s="106" t="s">
        <v>801</v>
      </c>
      <c r="D90" s="107">
        <v>55.46</v>
      </c>
    </row>
    <row r="91" spans="1:4" ht="51" x14ac:dyDescent="0.25">
      <c r="A91" s="104">
        <v>90733</v>
      </c>
      <c r="B91" s="105" t="s">
        <v>810</v>
      </c>
      <c r="C91" s="106" t="s">
        <v>16</v>
      </c>
      <c r="D91" s="107">
        <v>1.74</v>
      </c>
    </row>
    <row r="92" spans="1:4" ht="51" x14ac:dyDescent="0.25">
      <c r="A92" s="104">
        <v>90734</v>
      </c>
      <c r="B92" s="105" t="s">
        <v>811</v>
      </c>
      <c r="C92" s="106" t="s">
        <v>16</v>
      </c>
      <c r="D92" s="107">
        <v>2.12</v>
      </c>
    </row>
    <row r="93" spans="1:4" ht="51" x14ac:dyDescent="0.25">
      <c r="A93" s="104">
        <v>90735</v>
      </c>
      <c r="B93" s="105" t="s">
        <v>812</v>
      </c>
      <c r="C93" s="106" t="s">
        <v>16</v>
      </c>
      <c r="D93" s="107">
        <v>2.52</v>
      </c>
    </row>
    <row r="94" spans="1:4" ht="51" x14ac:dyDescent="0.25">
      <c r="A94" s="104">
        <v>90736</v>
      </c>
      <c r="B94" s="105" t="s">
        <v>813</v>
      </c>
      <c r="C94" s="106" t="s">
        <v>16</v>
      </c>
      <c r="D94" s="107">
        <v>2.91</v>
      </c>
    </row>
    <row r="95" spans="1:4" ht="51" x14ac:dyDescent="0.25">
      <c r="A95" s="104">
        <v>90737</v>
      </c>
      <c r="B95" s="105" t="s">
        <v>814</v>
      </c>
      <c r="C95" s="106" t="s">
        <v>16</v>
      </c>
      <c r="D95" s="107">
        <v>3.3</v>
      </c>
    </row>
    <row r="96" spans="1:4" ht="51" x14ac:dyDescent="0.25">
      <c r="A96" s="104">
        <v>90738</v>
      </c>
      <c r="B96" s="105" t="s">
        <v>815</v>
      </c>
      <c r="C96" s="106" t="s">
        <v>16</v>
      </c>
      <c r="D96" s="107">
        <v>3.69</v>
      </c>
    </row>
    <row r="97" spans="1:4" ht="51" x14ac:dyDescent="0.25">
      <c r="A97" s="104">
        <v>90739</v>
      </c>
      <c r="B97" s="105" t="s">
        <v>816</v>
      </c>
      <c r="C97" s="106" t="s">
        <v>16</v>
      </c>
      <c r="D97" s="107">
        <v>8.59</v>
      </c>
    </row>
    <row r="98" spans="1:4" ht="51" x14ac:dyDescent="0.25">
      <c r="A98" s="104">
        <v>90740</v>
      </c>
      <c r="B98" s="105" t="s">
        <v>817</v>
      </c>
      <c r="C98" s="106" t="s">
        <v>16</v>
      </c>
      <c r="D98" s="107">
        <v>3.88</v>
      </c>
    </row>
    <row r="99" spans="1:4" ht="51" x14ac:dyDescent="0.25">
      <c r="A99" s="104">
        <v>90741</v>
      </c>
      <c r="B99" s="105" t="s">
        <v>818</v>
      </c>
      <c r="C99" s="106" t="s">
        <v>16</v>
      </c>
      <c r="D99" s="107">
        <v>4.28</v>
      </c>
    </row>
    <row r="100" spans="1:4" ht="51" x14ac:dyDescent="0.25">
      <c r="A100" s="104">
        <v>90742</v>
      </c>
      <c r="B100" s="105" t="s">
        <v>819</v>
      </c>
      <c r="C100" s="106" t="s">
        <v>16</v>
      </c>
      <c r="D100" s="107">
        <v>4.67</v>
      </c>
    </row>
    <row r="101" spans="1:4" ht="51" x14ac:dyDescent="0.25">
      <c r="A101" s="104">
        <v>90743</v>
      </c>
      <c r="B101" s="105" t="s">
        <v>820</v>
      </c>
      <c r="C101" s="106" t="s">
        <v>16</v>
      </c>
      <c r="D101" s="107">
        <v>5.0599999999999996</v>
      </c>
    </row>
    <row r="102" spans="1:4" ht="51" x14ac:dyDescent="0.25">
      <c r="A102" s="104">
        <v>90744</v>
      </c>
      <c r="B102" s="105" t="s">
        <v>821</v>
      </c>
      <c r="C102" s="106" t="s">
        <v>16</v>
      </c>
      <c r="D102" s="107">
        <v>5.45</v>
      </c>
    </row>
    <row r="103" spans="1:4" ht="51" x14ac:dyDescent="0.25">
      <c r="A103" s="104">
        <v>90745</v>
      </c>
      <c r="B103" s="105" t="s">
        <v>822</v>
      </c>
      <c r="C103" s="106" t="s">
        <v>16</v>
      </c>
      <c r="D103" s="107">
        <v>12.29</v>
      </c>
    </row>
    <row r="104" spans="1:4" ht="51" x14ac:dyDescent="0.25">
      <c r="A104" s="104">
        <v>90746</v>
      </c>
      <c r="B104" s="105" t="s">
        <v>823</v>
      </c>
      <c r="C104" s="106" t="s">
        <v>16</v>
      </c>
      <c r="D104" s="107">
        <v>2.36</v>
      </c>
    </row>
    <row r="105" spans="1:4" ht="51" x14ac:dyDescent="0.25">
      <c r="A105" s="104">
        <v>90747</v>
      </c>
      <c r="B105" s="105" t="s">
        <v>824</v>
      </c>
      <c r="C105" s="106" t="s">
        <v>16</v>
      </c>
      <c r="D105" s="107">
        <v>9.67</v>
      </c>
    </row>
    <row r="106" spans="1:4" ht="51" x14ac:dyDescent="0.25">
      <c r="A106" s="104">
        <v>90748</v>
      </c>
      <c r="B106" s="105" t="s">
        <v>825</v>
      </c>
      <c r="C106" s="106" t="s">
        <v>16</v>
      </c>
      <c r="D106" s="107">
        <v>3.13</v>
      </c>
    </row>
    <row r="107" spans="1:4" ht="51" x14ac:dyDescent="0.25">
      <c r="A107" s="104">
        <v>90749</v>
      </c>
      <c r="B107" s="105" t="s">
        <v>826</v>
      </c>
      <c r="C107" s="106" t="s">
        <v>16</v>
      </c>
      <c r="D107" s="107">
        <v>3.51</v>
      </c>
    </row>
    <row r="108" spans="1:4" ht="51" x14ac:dyDescent="0.25">
      <c r="A108" s="104">
        <v>90750</v>
      </c>
      <c r="B108" s="105" t="s">
        <v>827</v>
      </c>
      <c r="C108" s="106" t="s">
        <v>16</v>
      </c>
      <c r="D108" s="107">
        <v>3.9</v>
      </c>
    </row>
    <row r="109" spans="1:4" ht="51" x14ac:dyDescent="0.25">
      <c r="A109" s="104">
        <v>90751</v>
      </c>
      <c r="B109" s="105" t="s">
        <v>828</v>
      </c>
      <c r="C109" s="106" t="s">
        <v>16</v>
      </c>
      <c r="D109" s="107">
        <v>4.29</v>
      </c>
    </row>
    <row r="110" spans="1:4" ht="51" x14ac:dyDescent="0.25">
      <c r="A110" s="104">
        <v>90752</v>
      </c>
      <c r="B110" s="105" t="s">
        <v>829</v>
      </c>
      <c r="C110" s="106" t="s">
        <v>16</v>
      </c>
      <c r="D110" s="107">
        <v>4.68</v>
      </c>
    </row>
    <row r="111" spans="1:4" ht="51" x14ac:dyDescent="0.25">
      <c r="A111" s="104">
        <v>90753</v>
      </c>
      <c r="B111" s="105" t="s">
        <v>830</v>
      </c>
      <c r="C111" s="106" t="s">
        <v>16</v>
      </c>
      <c r="D111" s="107">
        <v>5.08</v>
      </c>
    </row>
    <row r="112" spans="1:4" ht="51" x14ac:dyDescent="0.25">
      <c r="A112" s="104">
        <v>90754</v>
      </c>
      <c r="B112" s="105" t="s">
        <v>831</v>
      </c>
      <c r="C112" s="106" t="s">
        <v>16</v>
      </c>
      <c r="D112" s="107">
        <v>11.52</v>
      </c>
    </row>
    <row r="113" spans="1:4" ht="51" x14ac:dyDescent="0.25">
      <c r="A113" s="104">
        <v>90755</v>
      </c>
      <c r="B113" s="105" t="s">
        <v>832</v>
      </c>
      <c r="C113" s="106" t="s">
        <v>16</v>
      </c>
      <c r="D113" s="107">
        <v>5.27</v>
      </c>
    </row>
    <row r="114" spans="1:4" ht="51" x14ac:dyDescent="0.25">
      <c r="A114" s="104">
        <v>90756</v>
      </c>
      <c r="B114" s="105" t="s">
        <v>833</v>
      </c>
      <c r="C114" s="106" t="s">
        <v>16</v>
      </c>
      <c r="D114" s="107">
        <v>5.66</v>
      </c>
    </row>
    <row r="115" spans="1:4" ht="51" x14ac:dyDescent="0.25">
      <c r="A115" s="104">
        <v>90757</v>
      </c>
      <c r="B115" s="105" t="s">
        <v>834</v>
      </c>
      <c r="C115" s="106" t="s">
        <v>16</v>
      </c>
      <c r="D115" s="107">
        <v>6.05</v>
      </c>
    </row>
    <row r="116" spans="1:4" ht="51" x14ac:dyDescent="0.25">
      <c r="A116" s="104">
        <v>90758</v>
      </c>
      <c r="B116" s="105" t="s">
        <v>835</v>
      </c>
      <c r="C116" s="106" t="s">
        <v>16</v>
      </c>
      <c r="D116" s="107">
        <v>6.44</v>
      </c>
    </row>
    <row r="117" spans="1:4" ht="51" x14ac:dyDescent="0.25">
      <c r="A117" s="104">
        <v>90759</v>
      </c>
      <c r="B117" s="105" t="s">
        <v>836</v>
      </c>
      <c r="C117" s="106" t="s">
        <v>16</v>
      </c>
      <c r="D117" s="107">
        <v>6.83</v>
      </c>
    </row>
    <row r="118" spans="1:4" ht="51" x14ac:dyDescent="0.25">
      <c r="A118" s="104">
        <v>90760</v>
      </c>
      <c r="B118" s="105" t="s">
        <v>837</v>
      </c>
      <c r="C118" s="106" t="s">
        <v>16</v>
      </c>
      <c r="D118" s="107">
        <v>15.21</v>
      </c>
    </row>
    <row r="119" spans="1:4" ht="51" x14ac:dyDescent="0.25">
      <c r="A119" s="104">
        <v>90761</v>
      </c>
      <c r="B119" s="105" t="s">
        <v>838</v>
      </c>
      <c r="C119" s="106" t="s">
        <v>16</v>
      </c>
      <c r="D119" s="107">
        <v>2.9</v>
      </c>
    </row>
    <row r="120" spans="1:4" ht="51" x14ac:dyDescent="0.25">
      <c r="A120" s="104">
        <v>90762</v>
      </c>
      <c r="B120" s="105" t="s">
        <v>839</v>
      </c>
      <c r="C120" s="106" t="s">
        <v>16</v>
      </c>
      <c r="D120" s="107">
        <v>11.51</v>
      </c>
    </row>
    <row r="121" spans="1:4" ht="51" x14ac:dyDescent="0.25">
      <c r="A121" s="104">
        <v>94869</v>
      </c>
      <c r="B121" s="105" t="s">
        <v>840</v>
      </c>
      <c r="C121" s="106" t="s">
        <v>16</v>
      </c>
      <c r="D121" s="107">
        <v>118.16</v>
      </c>
    </row>
    <row r="122" spans="1:4" ht="51" x14ac:dyDescent="0.25">
      <c r="A122" s="104">
        <v>94870</v>
      </c>
      <c r="B122" s="105" t="s">
        <v>841</v>
      </c>
      <c r="C122" s="106" t="s">
        <v>16</v>
      </c>
      <c r="D122" s="107">
        <v>0.56999999999999995</v>
      </c>
    </row>
    <row r="123" spans="1:4" ht="51" x14ac:dyDescent="0.25">
      <c r="A123" s="104">
        <v>94871</v>
      </c>
      <c r="B123" s="105" t="s">
        <v>842</v>
      </c>
      <c r="C123" s="106" t="s">
        <v>16</v>
      </c>
      <c r="D123" s="107">
        <v>139.97999999999999</v>
      </c>
    </row>
    <row r="124" spans="1:4" ht="51" x14ac:dyDescent="0.25">
      <c r="A124" s="104">
        <v>94872</v>
      </c>
      <c r="B124" s="105" t="s">
        <v>843</v>
      </c>
      <c r="C124" s="106" t="s">
        <v>16</v>
      </c>
      <c r="D124" s="107">
        <v>1.01</v>
      </c>
    </row>
    <row r="125" spans="1:4" ht="51" x14ac:dyDescent="0.25">
      <c r="A125" s="104">
        <v>94875</v>
      </c>
      <c r="B125" s="105" t="s">
        <v>844</v>
      </c>
      <c r="C125" s="106" t="s">
        <v>16</v>
      </c>
      <c r="D125" s="107">
        <v>819.03</v>
      </c>
    </row>
    <row r="126" spans="1:4" ht="51" x14ac:dyDescent="0.25">
      <c r="A126" s="104">
        <v>94876</v>
      </c>
      <c r="B126" s="105" t="s">
        <v>845</v>
      </c>
      <c r="C126" s="106" t="s">
        <v>16</v>
      </c>
      <c r="D126" s="107">
        <v>14.65</v>
      </c>
    </row>
    <row r="127" spans="1:4" ht="51" x14ac:dyDescent="0.25">
      <c r="A127" s="104">
        <v>94878</v>
      </c>
      <c r="B127" s="105" t="s">
        <v>846</v>
      </c>
      <c r="C127" s="106" t="s">
        <v>16</v>
      </c>
      <c r="D127" s="107">
        <v>17.2</v>
      </c>
    </row>
    <row r="128" spans="1:4" ht="51" x14ac:dyDescent="0.25">
      <c r="A128" s="104">
        <v>94879</v>
      </c>
      <c r="B128" s="105" t="s">
        <v>847</v>
      </c>
      <c r="C128" s="106" t="s">
        <v>16</v>
      </c>
      <c r="D128" s="109">
        <v>1092.33</v>
      </c>
    </row>
    <row r="129" spans="1:4" ht="51" x14ac:dyDescent="0.25">
      <c r="A129" s="104">
        <v>94880</v>
      </c>
      <c r="B129" s="105" t="s">
        <v>848</v>
      </c>
      <c r="C129" s="106" t="s">
        <v>16</v>
      </c>
      <c r="D129" s="107">
        <v>21.05</v>
      </c>
    </row>
    <row r="130" spans="1:4" ht="51" x14ac:dyDescent="0.25">
      <c r="A130" s="104">
        <v>94881</v>
      </c>
      <c r="B130" s="105" t="s">
        <v>849</v>
      </c>
      <c r="C130" s="106" t="s">
        <v>16</v>
      </c>
      <c r="D130" s="109">
        <v>1702.76</v>
      </c>
    </row>
    <row r="131" spans="1:4" ht="51" x14ac:dyDescent="0.25">
      <c r="A131" s="104">
        <v>94882</v>
      </c>
      <c r="B131" s="105" t="s">
        <v>850</v>
      </c>
      <c r="C131" s="106" t="s">
        <v>16</v>
      </c>
      <c r="D131" s="107">
        <v>24.98</v>
      </c>
    </row>
    <row r="132" spans="1:4" ht="51" x14ac:dyDescent="0.25">
      <c r="A132" s="104">
        <v>94884</v>
      </c>
      <c r="B132" s="105" t="s">
        <v>851</v>
      </c>
      <c r="C132" s="106" t="s">
        <v>16</v>
      </c>
      <c r="D132" s="107">
        <v>32.93</v>
      </c>
    </row>
    <row r="133" spans="1:4" ht="51" x14ac:dyDescent="0.25">
      <c r="A133" s="104">
        <v>94885</v>
      </c>
      <c r="B133" s="105" t="s">
        <v>852</v>
      </c>
      <c r="C133" s="106" t="s">
        <v>16</v>
      </c>
      <c r="D133" s="107">
        <v>118.34</v>
      </c>
    </row>
    <row r="134" spans="1:4" ht="51" x14ac:dyDescent="0.25">
      <c r="A134" s="104">
        <v>94886</v>
      </c>
      <c r="B134" s="105" t="s">
        <v>853</v>
      </c>
      <c r="C134" s="106" t="s">
        <v>16</v>
      </c>
      <c r="D134" s="107">
        <v>0.75</v>
      </c>
    </row>
    <row r="135" spans="1:4" ht="51" x14ac:dyDescent="0.25">
      <c r="A135" s="104">
        <v>94887</v>
      </c>
      <c r="B135" s="105" t="s">
        <v>854</v>
      </c>
      <c r="C135" s="106" t="s">
        <v>16</v>
      </c>
      <c r="D135" s="107">
        <v>140.25</v>
      </c>
    </row>
    <row r="136" spans="1:4" ht="51" x14ac:dyDescent="0.25">
      <c r="A136" s="104">
        <v>94888</v>
      </c>
      <c r="B136" s="105" t="s">
        <v>855</v>
      </c>
      <c r="C136" s="106" t="s">
        <v>16</v>
      </c>
      <c r="D136" s="107">
        <v>1.28</v>
      </c>
    </row>
    <row r="137" spans="1:4" ht="51" x14ac:dyDescent="0.25">
      <c r="A137" s="104">
        <v>94891</v>
      </c>
      <c r="B137" s="105" t="s">
        <v>856</v>
      </c>
      <c r="C137" s="106" t="s">
        <v>16</v>
      </c>
      <c r="D137" s="107">
        <v>821.39</v>
      </c>
    </row>
    <row r="138" spans="1:4" ht="51" x14ac:dyDescent="0.25">
      <c r="A138" s="104">
        <v>94892</v>
      </c>
      <c r="B138" s="105" t="s">
        <v>857</v>
      </c>
      <c r="C138" s="106" t="s">
        <v>16</v>
      </c>
      <c r="D138" s="107">
        <v>17.010000000000002</v>
      </c>
    </row>
    <row r="139" spans="1:4" ht="51" x14ac:dyDescent="0.25">
      <c r="A139" s="104">
        <v>94894</v>
      </c>
      <c r="B139" s="105" t="s">
        <v>858</v>
      </c>
      <c r="C139" s="106" t="s">
        <v>16</v>
      </c>
      <c r="D139" s="107">
        <v>19.760000000000002</v>
      </c>
    </row>
    <row r="140" spans="1:4" ht="51" x14ac:dyDescent="0.25">
      <c r="A140" s="104">
        <v>94895</v>
      </c>
      <c r="B140" s="105" t="s">
        <v>859</v>
      </c>
      <c r="C140" s="106" t="s">
        <v>16</v>
      </c>
      <c r="D140" s="109">
        <v>1095.1500000000001</v>
      </c>
    </row>
    <row r="141" spans="1:4" ht="51" x14ac:dyDescent="0.25">
      <c r="A141" s="104">
        <v>94896</v>
      </c>
      <c r="B141" s="105" t="s">
        <v>860</v>
      </c>
      <c r="C141" s="106" t="s">
        <v>16</v>
      </c>
      <c r="D141" s="107">
        <v>23.87</v>
      </c>
    </row>
    <row r="142" spans="1:4" ht="51" x14ac:dyDescent="0.25">
      <c r="A142" s="104">
        <v>94897</v>
      </c>
      <c r="B142" s="105" t="s">
        <v>861</v>
      </c>
      <c r="C142" s="106" t="s">
        <v>16</v>
      </c>
      <c r="D142" s="109">
        <v>1705.77</v>
      </c>
    </row>
    <row r="143" spans="1:4" ht="51" x14ac:dyDescent="0.25">
      <c r="A143" s="104">
        <v>94898</v>
      </c>
      <c r="B143" s="105" t="s">
        <v>862</v>
      </c>
      <c r="C143" s="106" t="s">
        <v>16</v>
      </c>
      <c r="D143" s="107">
        <v>27.99</v>
      </c>
    </row>
    <row r="144" spans="1:4" ht="51" x14ac:dyDescent="0.25">
      <c r="A144" s="104">
        <v>94900</v>
      </c>
      <c r="B144" s="105" t="s">
        <v>863</v>
      </c>
      <c r="C144" s="106" t="s">
        <v>16</v>
      </c>
      <c r="D144" s="107">
        <v>36.24</v>
      </c>
    </row>
    <row r="145" spans="1:4" ht="38.25" x14ac:dyDescent="0.25">
      <c r="A145" s="104">
        <v>97121</v>
      </c>
      <c r="B145" s="105" t="s">
        <v>864</v>
      </c>
      <c r="C145" s="106" t="s">
        <v>16</v>
      </c>
      <c r="D145" s="107">
        <v>1.36</v>
      </c>
    </row>
    <row r="146" spans="1:4" ht="38.25" x14ac:dyDescent="0.25">
      <c r="A146" s="104">
        <v>97122</v>
      </c>
      <c r="B146" s="105" t="s">
        <v>865</v>
      </c>
      <c r="C146" s="106" t="s">
        <v>16</v>
      </c>
      <c r="D146" s="107">
        <v>1.91</v>
      </c>
    </row>
    <row r="147" spans="1:4" ht="38.25" x14ac:dyDescent="0.25">
      <c r="A147" s="104">
        <v>97123</v>
      </c>
      <c r="B147" s="105" t="s">
        <v>866</v>
      </c>
      <c r="C147" s="106" t="s">
        <v>16</v>
      </c>
      <c r="D147" s="107">
        <v>2.42</v>
      </c>
    </row>
    <row r="148" spans="1:4" ht="38.25" x14ac:dyDescent="0.25">
      <c r="A148" s="104">
        <v>97124</v>
      </c>
      <c r="B148" s="105" t="s">
        <v>867</v>
      </c>
      <c r="C148" s="106" t="s">
        <v>16</v>
      </c>
      <c r="D148" s="107">
        <v>0.63</v>
      </c>
    </row>
    <row r="149" spans="1:4" ht="38.25" x14ac:dyDescent="0.25">
      <c r="A149" s="104">
        <v>97125</v>
      </c>
      <c r="B149" s="105" t="s">
        <v>868</v>
      </c>
      <c r="C149" s="106" t="s">
        <v>16</v>
      </c>
      <c r="D149" s="107">
        <v>0.91</v>
      </c>
    </row>
    <row r="150" spans="1:4" ht="38.25" x14ac:dyDescent="0.25">
      <c r="A150" s="104">
        <v>97126</v>
      </c>
      <c r="B150" s="105" t="s">
        <v>869</v>
      </c>
      <c r="C150" s="106" t="s">
        <v>16</v>
      </c>
      <c r="D150" s="107">
        <v>1.1599999999999999</v>
      </c>
    </row>
    <row r="151" spans="1:4" ht="51" x14ac:dyDescent="0.25">
      <c r="A151" s="104">
        <v>92833</v>
      </c>
      <c r="B151" s="105" t="s">
        <v>870</v>
      </c>
      <c r="C151" s="106" t="s">
        <v>16</v>
      </c>
      <c r="D151" s="107">
        <v>144.93</v>
      </c>
    </row>
    <row r="152" spans="1:4" ht="51" x14ac:dyDescent="0.25">
      <c r="A152" s="104">
        <v>92834</v>
      </c>
      <c r="B152" s="105" t="s">
        <v>871</v>
      </c>
      <c r="C152" s="106" t="s">
        <v>16</v>
      </c>
      <c r="D152" s="107">
        <v>5.37</v>
      </c>
    </row>
    <row r="153" spans="1:4" ht="51" x14ac:dyDescent="0.25">
      <c r="A153" s="104">
        <v>92835</v>
      </c>
      <c r="B153" s="105" t="s">
        <v>872</v>
      </c>
      <c r="C153" s="106" t="s">
        <v>16</v>
      </c>
      <c r="D153" s="107">
        <v>189.41</v>
      </c>
    </row>
    <row r="154" spans="1:4" ht="51" x14ac:dyDescent="0.25">
      <c r="A154" s="104">
        <v>92836</v>
      </c>
      <c r="B154" s="105" t="s">
        <v>873</v>
      </c>
      <c r="C154" s="106" t="s">
        <v>16</v>
      </c>
      <c r="D154" s="107">
        <v>6.85</v>
      </c>
    </row>
    <row r="155" spans="1:4" ht="51" x14ac:dyDescent="0.25">
      <c r="A155" s="104">
        <v>92837</v>
      </c>
      <c r="B155" s="105" t="s">
        <v>874</v>
      </c>
      <c r="C155" s="106" t="s">
        <v>16</v>
      </c>
      <c r="D155" s="107">
        <v>238.93</v>
      </c>
    </row>
    <row r="156" spans="1:4" ht="51" x14ac:dyDescent="0.25">
      <c r="A156" s="104">
        <v>92838</v>
      </c>
      <c r="B156" s="105" t="s">
        <v>875</v>
      </c>
      <c r="C156" s="106" t="s">
        <v>16</v>
      </c>
      <c r="D156" s="107">
        <v>8.23</v>
      </c>
    </row>
    <row r="157" spans="1:4" ht="51" x14ac:dyDescent="0.25">
      <c r="A157" s="104">
        <v>92839</v>
      </c>
      <c r="B157" s="105" t="s">
        <v>296</v>
      </c>
      <c r="C157" s="106" t="s">
        <v>16</v>
      </c>
      <c r="D157" s="107">
        <v>312.5</v>
      </c>
    </row>
    <row r="158" spans="1:4" ht="51" x14ac:dyDescent="0.25">
      <c r="A158" s="104">
        <v>92840</v>
      </c>
      <c r="B158" s="105" t="s">
        <v>876</v>
      </c>
      <c r="C158" s="106" t="s">
        <v>16</v>
      </c>
      <c r="D158" s="107">
        <v>9.76</v>
      </c>
    </row>
    <row r="159" spans="1:4" ht="51" x14ac:dyDescent="0.25">
      <c r="A159" s="104">
        <v>92841</v>
      </c>
      <c r="B159" s="105" t="s">
        <v>877</v>
      </c>
      <c r="C159" s="106" t="s">
        <v>16</v>
      </c>
      <c r="D159" s="107">
        <v>352.44</v>
      </c>
    </row>
    <row r="160" spans="1:4" ht="51" x14ac:dyDescent="0.25">
      <c r="A160" s="104">
        <v>92842</v>
      </c>
      <c r="B160" s="105" t="s">
        <v>878</v>
      </c>
      <c r="C160" s="106" t="s">
        <v>16</v>
      </c>
      <c r="D160" s="107">
        <v>11.13</v>
      </c>
    </row>
    <row r="161" spans="1:4" ht="51" x14ac:dyDescent="0.25">
      <c r="A161" s="104">
        <v>92844</v>
      </c>
      <c r="B161" s="105" t="s">
        <v>879</v>
      </c>
      <c r="C161" s="106" t="s">
        <v>16</v>
      </c>
      <c r="D161" s="107">
        <v>12.66</v>
      </c>
    </row>
    <row r="162" spans="1:4" ht="51" x14ac:dyDescent="0.25">
      <c r="A162" s="104">
        <v>92846</v>
      </c>
      <c r="B162" s="105" t="s">
        <v>880</v>
      </c>
      <c r="C162" s="106" t="s">
        <v>16</v>
      </c>
      <c r="D162" s="107">
        <v>14.03</v>
      </c>
    </row>
    <row r="163" spans="1:4" ht="51" x14ac:dyDescent="0.25">
      <c r="A163" s="104">
        <v>92847</v>
      </c>
      <c r="B163" s="105" t="s">
        <v>881</v>
      </c>
      <c r="C163" s="106" t="s">
        <v>16</v>
      </c>
      <c r="D163" s="107">
        <v>610.03</v>
      </c>
    </row>
    <row r="164" spans="1:4" ht="51" x14ac:dyDescent="0.25">
      <c r="A164" s="104">
        <v>92848</v>
      </c>
      <c r="B164" s="105" t="s">
        <v>882</v>
      </c>
      <c r="C164" s="106" t="s">
        <v>16</v>
      </c>
      <c r="D164" s="107">
        <v>15.57</v>
      </c>
    </row>
    <row r="165" spans="1:4" ht="51" x14ac:dyDescent="0.25">
      <c r="A165" s="104">
        <v>92849</v>
      </c>
      <c r="B165" s="105" t="s">
        <v>883</v>
      </c>
      <c r="C165" s="106" t="s">
        <v>16</v>
      </c>
      <c r="D165" s="107">
        <v>149.65</v>
      </c>
    </row>
    <row r="166" spans="1:4" ht="51" x14ac:dyDescent="0.25">
      <c r="A166" s="104">
        <v>92850</v>
      </c>
      <c r="B166" s="105" t="s">
        <v>884</v>
      </c>
      <c r="C166" s="106" t="s">
        <v>16</v>
      </c>
      <c r="D166" s="107">
        <v>10.16</v>
      </c>
    </row>
    <row r="167" spans="1:4" ht="51" x14ac:dyDescent="0.25">
      <c r="A167" s="104">
        <v>92851</v>
      </c>
      <c r="B167" s="105" t="s">
        <v>885</v>
      </c>
      <c r="C167" s="106" t="s">
        <v>16</v>
      </c>
      <c r="D167" s="107">
        <v>195.31</v>
      </c>
    </row>
    <row r="168" spans="1:4" ht="51" x14ac:dyDescent="0.25">
      <c r="A168" s="104">
        <v>92852</v>
      </c>
      <c r="B168" s="105" t="s">
        <v>886</v>
      </c>
      <c r="C168" s="106" t="s">
        <v>16</v>
      </c>
      <c r="D168" s="107">
        <v>12.84</v>
      </c>
    </row>
    <row r="169" spans="1:4" ht="51" x14ac:dyDescent="0.25">
      <c r="A169" s="104">
        <v>92853</v>
      </c>
      <c r="B169" s="105" t="s">
        <v>887</v>
      </c>
      <c r="C169" s="106" t="s">
        <v>16</v>
      </c>
      <c r="D169" s="107">
        <v>246.22</v>
      </c>
    </row>
    <row r="170" spans="1:4" ht="51" x14ac:dyDescent="0.25">
      <c r="A170" s="104">
        <v>92854</v>
      </c>
      <c r="B170" s="105" t="s">
        <v>888</v>
      </c>
      <c r="C170" s="106" t="s">
        <v>16</v>
      </c>
      <c r="D170" s="107">
        <v>15.63</v>
      </c>
    </row>
    <row r="171" spans="1:4" ht="51" x14ac:dyDescent="0.25">
      <c r="A171" s="104">
        <v>92855</v>
      </c>
      <c r="B171" s="105" t="s">
        <v>889</v>
      </c>
      <c r="C171" s="106" t="s">
        <v>16</v>
      </c>
      <c r="D171" s="107">
        <v>321.02999999999997</v>
      </c>
    </row>
    <row r="172" spans="1:4" ht="51" x14ac:dyDescent="0.25">
      <c r="A172" s="104">
        <v>92856</v>
      </c>
      <c r="B172" s="105" t="s">
        <v>890</v>
      </c>
      <c r="C172" s="106" t="s">
        <v>16</v>
      </c>
      <c r="D172" s="107">
        <v>18.41</v>
      </c>
    </row>
    <row r="173" spans="1:4" ht="51" x14ac:dyDescent="0.25">
      <c r="A173" s="104">
        <v>92857</v>
      </c>
      <c r="B173" s="105" t="s">
        <v>891</v>
      </c>
      <c r="C173" s="106" t="s">
        <v>16</v>
      </c>
      <c r="D173" s="107">
        <v>362.25</v>
      </c>
    </row>
    <row r="174" spans="1:4" ht="51" x14ac:dyDescent="0.25">
      <c r="A174" s="104">
        <v>92858</v>
      </c>
      <c r="B174" s="105" t="s">
        <v>892</v>
      </c>
      <c r="C174" s="106" t="s">
        <v>16</v>
      </c>
      <c r="D174" s="107">
        <v>21.08</v>
      </c>
    </row>
    <row r="175" spans="1:4" ht="51" x14ac:dyDescent="0.25">
      <c r="A175" s="104">
        <v>92860</v>
      </c>
      <c r="B175" s="105" t="s">
        <v>893</v>
      </c>
      <c r="C175" s="106" t="s">
        <v>16</v>
      </c>
      <c r="D175" s="107">
        <v>23.94</v>
      </c>
    </row>
    <row r="176" spans="1:4" ht="51" x14ac:dyDescent="0.25">
      <c r="A176" s="104">
        <v>92862</v>
      </c>
      <c r="B176" s="105" t="s">
        <v>894</v>
      </c>
      <c r="C176" s="106" t="s">
        <v>16</v>
      </c>
      <c r="D176" s="107">
        <v>26.72</v>
      </c>
    </row>
    <row r="177" spans="1:4" ht="51" x14ac:dyDescent="0.25">
      <c r="A177" s="104">
        <v>92863</v>
      </c>
      <c r="B177" s="105" t="s">
        <v>895</v>
      </c>
      <c r="C177" s="106" t="s">
        <v>16</v>
      </c>
      <c r="D177" s="107">
        <v>623.77</v>
      </c>
    </row>
    <row r="178" spans="1:4" ht="51" x14ac:dyDescent="0.25">
      <c r="A178" s="104">
        <v>92864</v>
      </c>
      <c r="B178" s="105" t="s">
        <v>896</v>
      </c>
      <c r="C178" s="106" t="s">
        <v>16</v>
      </c>
      <c r="D178" s="107">
        <v>29.51</v>
      </c>
    </row>
    <row r="179" spans="1:4" ht="51" x14ac:dyDescent="0.25">
      <c r="A179" s="104">
        <v>92210</v>
      </c>
      <c r="B179" s="105" t="s">
        <v>897</v>
      </c>
      <c r="C179" s="106" t="s">
        <v>16</v>
      </c>
      <c r="D179" s="107">
        <v>103.38</v>
      </c>
    </row>
    <row r="180" spans="1:4" ht="51" x14ac:dyDescent="0.25">
      <c r="A180" s="104">
        <v>92211</v>
      </c>
      <c r="B180" s="105" t="s">
        <v>898</v>
      </c>
      <c r="C180" s="106" t="s">
        <v>16</v>
      </c>
      <c r="D180" s="107">
        <v>133.32</v>
      </c>
    </row>
    <row r="181" spans="1:4" ht="51" x14ac:dyDescent="0.25">
      <c r="A181" s="104">
        <v>92212</v>
      </c>
      <c r="B181" s="105" t="s">
        <v>899</v>
      </c>
      <c r="C181" s="106" t="s">
        <v>16</v>
      </c>
      <c r="D181" s="107">
        <v>171.45</v>
      </c>
    </row>
    <row r="182" spans="1:4" ht="51" x14ac:dyDescent="0.25">
      <c r="A182" s="104">
        <v>92213</v>
      </c>
      <c r="B182" s="105" t="s">
        <v>900</v>
      </c>
      <c r="C182" s="106" t="s">
        <v>16</v>
      </c>
      <c r="D182" s="107">
        <v>229.59</v>
      </c>
    </row>
    <row r="183" spans="1:4" ht="51" x14ac:dyDescent="0.25">
      <c r="A183" s="104">
        <v>92214</v>
      </c>
      <c r="B183" s="105" t="s">
        <v>901</v>
      </c>
      <c r="C183" s="106" t="s">
        <v>16</v>
      </c>
      <c r="D183" s="107">
        <v>261.93</v>
      </c>
    </row>
    <row r="184" spans="1:4" ht="51" x14ac:dyDescent="0.25">
      <c r="A184" s="104">
        <v>92215</v>
      </c>
      <c r="B184" s="105" t="s">
        <v>902</v>
      </c>
      <c r="C184" s="106" t="s">
        <v>16</v>
      </c>
      <c r="D184" s="107">
        <v>318.08999999999997</v>
      </c>
    </row>
    <row r="185" spans="1:4" ht="51" x14ac:dyDescent="0.25">
      <c r="A185" s="104">
        <v>92216</v>
      </c>
      <c r="B185" s="105" t="s">
        <v>903</v>
      </c>
      <c r="C185" s="106" t="s">
        <v>16</v>
      </c>
      <c r="D185" s="107">
        <v>356.39</v>
      </c>
    </row>
    <row r="186" spans="1:4" ht="51" x14ac:dyDescent="0.25">
      <c r="A186" s="104">
        <v>92219</v>
      </c>
      <c r="B186" s="105" t="s">
        <v>904</v>
      </c>
      <c r="C186" s="106" t="s">
        <v>16</v>
      </c>
      <c r="D186" s="107">
        <v>109.36</v>
      </c>
    </row>
    <row r="187" spans="1:4" ht="51" x14ac:dyDescent="0.25">
      <c r="A187" s="104">
        <v>92220</v>
      </c>
      <c r="B187" s="105" t="s">
        <v>905</v>
      </c>
      <c r="C187" s="106" t="s">
        <v>16</v>
      </c>
      <c r="D187" s="107">
        <v>140.72</v>
      </c>
    </row>
    <row r="188" spans="1:4" ht="51" x14ac:dyDescent="0.25">
      <c r="A188" s="104">
        <v>92221</v>
      </c>
      <c r="B188" s="105" t="s">
        <v>906</v>
      </c>
      <c r="C188" s="106" t="s">
        <v>16</v>
      </c>
      <c r="D188" s="107">
        <v>180.12</v>
      </c>
    </row>
    <row r="189" spans="1:4" ht="51" x14ac:dyDescent="0.25">
      <c r="A189" s="104">
        <v>92222</v>
      </c>
      <c r="B189" s="105" t="s">
        <v>907</v>
      </c>
      <c r="C189" s="106" t="s">
        <v>16</v>
      </c>
      <c r="D189" s="107">
        <v>239.66</v>
      </c>
    </row>
    <row r="190" spans="1:4" ht="51" x14ac:dyDescent="0.25">
      <c r="A190" s="104">
        <v>92223</v>
      </c>
      <c r="B190" s="105" t="s">
        <v>908</v>
      </c>
      <c r="C190" s="106" t="s">
        <v>16</v>
      </c>
      <c r="D190" s="107">
        <v>273.2</v>
      </c>
    </row>
    <row r="191" spans="1:4" ht="51" x14ac:dyDescent="0.25">
      <c r="A191" s="104">
        <v>92224</v>
      </c>
      <c r="B191" s="105" t="s">
        <v>909</v>
      </c>
      <c r="C191" s="106" t="s">
        <v>16</v>
      </c>
      <c r="D191" s="107">
        <v>330.61</v>
      </c>
    </row>
    <row r="192" spans="1:4" ht="51" x14ac:dyDescent="0.25">
      <c r="A192" s="104">
        <v>92226</v>
      </c>
      <c r="B192" s="105" t="s">
        <v>910</v>
      </c>
      <c r="C192" s="106" t="s">
        <v>16</v>
      </c>
      <c r="D192" s="107">
        <v>370.38</v>
      </c>
    </row>
    <row r="193" spans="1:4" ht="51" x14ac:dyDescent="0.25">
      <c r="A193" s="104">
        <v>92808</v>
      </c>
      <c r="B193" s="105" t="s">
        <v>911</v>
      </c>
      <c r="C193" s="106" t="s">
        <v>16</v>
      </c>
      <c r="D193" s="107">
        <v>24.25</v>
      </c>
    </row>
    <row r="194" spans="1:4" ht="51" x14ac:dyDescent="0.25">
      <c r="A194" s="104">
        <v>92809</v>
      </c>
      <c r="B194" s="105" t="s">
        <v>912</v>
      </c>
      <c r="C194" s="106" t="s">
        <v>16</v>
      </c>
      <c r="D194" s="107">
        <v>31.16</v>
      </c>
    </row>
    <row r="195" spans="1:4" ht="51" x14ac:dyDescent="0.25">
      <c r="A195" s="104">
        <v>92810</v>
      </c>
      <c r="B195" s="105" t="s">
        <v>913</v>
      </c>
      <c r="C195" s="106" t="s">
        <v>16</v>
      </c>
      <c r="D195" s="107">
        <v>37.950000000000003</v>
      </c>
    </row>
    <row r="196" spans="1:4" ht="51" x14ac:dyDescent="0.25">
      <c r="A196" s="104">
        <v>92811</v>
      </c>
      <c r="B196" s="105" t="s">
        <v>914</v>
      </c>
      <c r="C196" s="106" t="s">
        <v>16</v>
      </c>
      <c r="D196" s="107">
        <v>45.28</v>
      </c>
    </row>
    <row r="197" spans="1:4" ht="51" x14ac:dyDescent="0.25">
      <c r="A197" s="104">
        <v>92812</v>
      </c>
      <c r="B197" s="105" t="s">
        <v>915</v>
      </c>
      <c r="C197" s="106" t="s">
        <v>16</v>
      </c>
      <c r="D197" s="107">
        <v>52.5</v>
      </c>
    </row>
    <row r="198" spans="1:4" ht="51" x14ac:dyDescent="0.25">
      <c r="A198" s="104">
        <v>92813</v>
      </c>
      <c r="B198" s="105" t="s">
        <v>916</v>
      </c>
      <c r="C198" s="106" t="s">
        <v>16</v>
      </c>
      <c r="D198" s="107">
        <v>61.11</v>
      </c>
    </row>
    <row r="199" spans="1:4" ht="51" x14ac:dyDescent="0.25">
      <c r="A199" s="104">
        <v>92814</v>
      </c>
      <c r="B199" s="105" t="s">
        <v>917</v>
      </c>
      <c r="C199" s="106" t="s">
        <v>16</v>
      </c>
      <c r="D199" s="107">
        <v>70.150000000000006</v>
      </c>
    </row>
    <row r="200" spans="1:4" ht="51" x14ac:dyDescent="0.25">
      <c r="A200" s="104">
        <v>92815</v>
      </c>
      <c r="B200" s="105" t="s">
        <v>918</v>
      </c>
      <c r="C200" s="106" t="s">
        <v>16</v>
      </c>
      <c r="D200" s="107">
        <v>80.73</v>
      </c>
    </row>
    <row r="201" spans="1:4" ht="51" x14ac:dyDescent="0.25">
      <c r="A201" s="104">
        <v>92816</v>
      </c>
      <c r="B201" s="105" t="s">
        <v>919</v>
      </c>
      <c r="C201" s="106" t="s">
        <v>16</v>
      </c>
      <c r="D201" s="107">
        <v>491.69</v>
      </c>
    </row>
    <row r="202" spans="1:4" ht="51" x14ac:dyDescent="0.25">
      <c r="A202" s="104">
        <v>92817</v>
      </c>
      <c r="B202" s="105" t="s">
        <v>920</v>
      </c>
      <c r="C202" s="106" t="s">
        <v>16</v>
      </c>
      <c r="D202" s="107">
        <v>101.02</v>
      </c>
    </row>
    <row r="203" spans="1:4" ht="51" x14ac:dyDescent="0.25">
      <c r="A203" s="104">
        <v>92818</v>
      </c>
      <c r="B203" s="105" t="s">
        <v>921</v>
      </c>
      <c r="C203" s="106" t="s">
        <v>16</v>
      </c>
      <c r="D203" s="107">
        <v>717.07</v>
      </c>
    </row>
    <row r="204" spans="1:4" ht="51" x14ac:dyDescent="0.25">
      <c r="A204" s="104">
        <v>92819</v>
      </c>
      <c r="B204" s="105" t="s">
        <v>922</v>
      </c>
      <c r="C204" s="106" t="s">
        <v>16</v>
      </c>
      <c r="D204" s="107">
        <v>135.97999999999999</v>
      </c>
    </row>
    <row r="205" spans="1:4" ht="51" x14ac:dyDescent="0.25">
      <c r="A205" s="104">
        <v>92820</v>
      </c>
      <c r="B205" s="105" t="s">
        <v>923</v>
      </c>
      <c r="C205" s="106" t="s">
        <v>16</v>
      </c>
      <c r="D205" s="107">
        <v>28.93</v>
      </c>
    </row>
    <row r="206" spans="1:4" ht="51" x14ac:dyDescent="0.25">
      <c r="A206" s="104">
        <v>92821</v>
      </c>
      <c r="B206" s="105" t="s">
        <v>924</v>
      </c>
      <c r="C206" s="106" t="s">
        <v>16</v>
      </c>
      <c r="D206" s="107">
        <v>37.14</v>
      </c>
    </row>
    <row r="207" spans="1:4" ht="51" x14ac:dyDescent="0.25">
      <c r="A207" s="104">
        <v>92822</v>
      </c>
      <c r="B207" s="105" t="s">
        <v>925</v>
      </c>
      <c r="C207" s="106" t="s">
        <v>16</v>
      </c>
      <c r="D207" s="107">
        <v>45.35</v>
      </c>
    </row>
    <row r="208" spans="1:4" ht="51" x14ac:dyDescent="0.25">
      <c r="A208" s="104">
        <v>92824</v>
      </c>
      <c r="B208" s="105" t="s">
        <v>926</v>
      </c>
      <c r="C208" s="106" t="s">
        <v>16</v>
      </c>
      <c r="D208" s="107">
        <v>53.95</v>
      </c>
    </row>
    <row r="209" spans="1:4" ht="51" x14ac:dyDescent="0.25">
      <c r="A209" s="104">
        <v>92825</v>
      </c>
      <c r="B209" s="105" t="s">
        <v>927</v>
      </c>
      <c r="C209" s="106" t="s">
        <v>16</v>
      </c>
      <c r="D209" s="107">
        <v>62.57</v>
      </c>
    </row>
    <row r="210" spans="1:4" ht="51" x14ac:dyDescent="0.25">
      <c r="A210" s="104">
        <v>92826</v>
      </c>
      <c r="B210" s="105" t="s">
        <v>928</v>
      </c>
      <c r="C210" s="106" t="s">
        <v>16</v>
      </c>
      <c r="D210" s="107">
        <v>72.38</v>
      </c>
    </row>
    <row r="211" spans="1:4" ht="51" x14ac:dyDescent="0.25">
      <c r="A211" s="104">
        <v>92827</v>
      </c>
      <c r="B211" s="105" t="s">
        <v>929</v>
      </c>
      <c r="C211" s="106" t="s">
        <v>16</v>
      </c>
      <c r="D211" s="107">
        <v>82.67</v>
      </c>
    </row>
    <row r="212" spans="1:4" ht="51" x14ac:dyDescent="0.25">
      <c r="A212" s="104">
        <v>92828</v>
      </c>
      <c r="B212" s="105" t="s">
        <v>930</v>
      </c>
      <c r="C212" s="106" t="s">
        <v>16</v>
      </c>
      <c r="D212" s="107">
        <v>94.72</v>
      </c>
    </row>
    <row r="213" spans="1:4" ht="51" x14ac:dyDescent="0.25">
      <c r="A213" s="104">
        <v>92829</v>
      </c>
      <c r="B213" s="105" t="s">
        <v>931</v>
      </c>
      <c r="C213" s="106" t="s">
        <v>16</v>
      </c>
      <c r="D213" s="107">
        <v>508.18</v>
      </c>
    </row>
    <row r="214" spans="1:4" ht="51" x14ac:dyDescent="0.25">
      <c r="A214" s="104">
        <v>92830</v>
      </c>
      <c r="B214" s="105" t="s">
        <v>932</v>
      </c>
      <c r="C214" s="106" t="s">
        <v>16</v>
      </c>
      <c r="D214" s="107">
        <v>117.51</v>
      </c>
    </row>
    <row r="215" spans="1:4" ht="51" x14ac:dyDescent="0.25">
      <c r="A215" s="104">
        <v>92831</v>
      </c>
      <c r="B215" s="105" t="s">
        <v>933</v>
      </c>
      <c r="C215" s="106" t="s">
        <v>16</v>
      </c>
      <c r="D215" s="107">
        <v>737.31</v>
      </c>
    </row>
    <row r="216" spans="1:4" ht="51" x14ac:dyDescent="0.25">
      <c r="A216" s="104">
        <v>92832</v>
      </c>
      <c r="B216" s="105" t="s">
        <v>934</v>
      </c>
      <c r="C216" s="106" t="s">
        <v>16</v>
      </c>
      <c r="D216" s="107">
        <v>156.22</v>
      </c>
    </row>
    <row r="217" spans="1:4" ht="51" x14ac:dyDescent="0.25">
      <c r="A217" s="104">
        <v>95565</v>
      </c>
      <c r="B217" s="105" t="s">
        <v>935</v>
      </c>
      <c r="C217" s="106" t="s">
        <v>16</v>
      </c>
      <c r="D217" s="107">
        <v>92.26</v>
      </c>
    </row>
    <row r="218" spans="1:4" ht="51" x14ac:dyDescent="0.25">
      <c r="A218" s="104">
        <v>95566</v>
      </c>
      <c r="B218" s="105" t="s">
        <v>936</v>
      </c>
      <c r="C218" s="106" t="s">
        <v>16</v>
      </c>
      <c r="D218" s="107">
        <v>96.88</v>
      </c>
    </row>
    <row r="219" spans="1:4" ht="51" x14ac:dyDescent="0.25">
      <c r="A219" s="104">
        <v>95567</v>
      </c>
      <c r="B219" s="105" t="s">
        <v>937</v>
      </c>
      <c r="C219" s="106" t="s">
        <v>16</v>
      </c>
      <c r="D219" s="107">
        <v>54.81</v>
      </c>
    </row>
    <row r="220" spans="1:4" ht="51" x14ac:dyDescent="0.25">
      <c r="A220" s="104">
        <v>95568</v>
      </c>
      <c r="B220" s="105" t="s">
        <v>938</v>
      </c>
      <c r="C220" s="106" t="s">
        <v>16</v>
      </c>
      <c r="D220" s="107">
        <v>71.56</v>
      </c>
    </row>
    <row r="221" spans="1:4" ht="51" x14ac:dyDescent="0.25">
      <c r="A221" s="104">
        <v>95569</v>
      </c>
      <c r="B221" s="105" t="s">
        <v>295</v>
      </c>
      <c r="C221" s="106" t="s">
        <v>16</v>
      </c>
      <c r="D221" s="107">
        <v>96.6</v>
      </c>
    </row>
    <row r="222" spans="1:4" ht="51" x14ac:dyDescent="0.25">
      <c r="A222" s="104">
        <v>95570</v>
      </c>
      <c r="B222" s="105" t="s">
        <v>939</v>
      </c>
      <c r="C222" s="106" t="s">
        <v>16</v>
      </c>
      <c r="D222" s="107">
        <v>59.43</v>
      </c>
    </row>
    <row r="223" spans="1:4" ht="51" x14ac:dyDescent="0.25">
      <c r="A223" s="104">
        <v>95571</v>
      </c>
      <c r="B223" s="105" t="s">
        <v>940</v>
      </c>
      <c r="C223" s="106" t="s">
        <v>16</v>
      </c>
      <c r="D223" s="107">
        <v>77.459999999999994</v>
      </c>
    </row>
    <row r="224" spans="1:4" ht="51" x14ac:dyDescent="0.25">
      <c r="A224" s="104">
        <v>95572</v>
      </c>
      <c r="B224" s="105" t="s">
        <v>941</v>
      </c>
      <c r="C224" s="106" t="s">
        <v>16</v>
      </c>
      <c r="D224" s="107">
        <v>103.89</v>
      </c>
    </row>
    <row r="225" spans="1:4" ht="51" x14ac:dyDescent="0.25">
      <c r="A225" s="104">
        <v>97127</v>
      </c>
      <c r="B225" s="105" t="s">
        <v>942</v>
      </c>
      <c r="C225" s="106" t="s">
        <v>16</v>
      </c>
      <c r="D225" s="107">
        <v>3.5</v>
      </c>
    </row>
    <row r="226" spans="1:4" ht="51" x14ac:dyDescent="0.25">
      <c r="A226" s="104">
        <v>97128</v>
      </c>
      <c r="B226" s="105" t="s">
        <v>943</v>
      </c>
      <c r="C226" s="106" t="s">
        <v>16</v>
      </c>
      <c r="D226" s="107">
        <v>6.56</v>
      </c>
    </row>
    <row r="227" spans="1:4" ht="51" x14ac:dyDescent="0.25">
      <c r="A227" s="104">
        <v>97129</v>
      </c>
      <c r="B227" s="105" t="s">
        <v>944</v>
      </c>
      <c r="C227" s="106" t="s">
        <v>16</v>
      </c>
      <c r="D227" s="107">
        <v>8.07</v>
      </c>
    </row>
    <row r="228" spans="1:4" ht="51" x14ac:dyDescent="0.25">
      <c r="A228" s="104">
        <v>97130</v>
      </c>
      <c r="B228" s="105" t="s">
        <v>945</v>
      </c>
      <c r="C228" s="106" t="s">
        <v>16</v>
      </c>
      <c r="D228" s="107">
        <v>9.58</v>
      </c>
    </row>
    <row r="229" spans="1:4" ht="51" x14ac:dyDescent="0.25">
      <c r="A229" s="104">
        <v>97131</v>
      </c>
      <c r="B229" s="105" t="s">
        <v>946</v>
      </c>
      <c r="C229" s="106" t="s">
        <v>16</v>
      </c>
      <c r="D229" s="107">
        <v>11.09</v>
      </c>
    </row>
    <row r="230" spans="1:4" ht="51" x14ac:dyDescent="0.25">
      <c r="A230" s="104">
        <v>97132</v>
      </c>
      <c r="B230" s="105" t="s">
        <v>947</v>
      </c>
      <c r="C230" s="106" t="s">
        <v>16</v>
      </c>
      <c r="D230" s="107">
        <v>12.59</v>
      </c>
    </row>
    <row r="231" spans="1:4" ht="51" x14ac:dyDescent="0.25">
      <c r="A231" s="104">
        <v>97133</v>
      </c>
      <c r="B231" s="105" t="s">
        <v>948</v>
      </c>
      <c r="C231" s="106" t="s">
        <v>16</v>
      </c>
      <c r="D231" s="107">
        <v>15.62</v>
      </c>
    </row>
    <row r="232" spans="1:4" ht="51" x14ac:dyDescent="0.25">
      <c r="A232" s="104">
        <v>97134</v>
      </c>
      <c r="B232" s="105" t="s">
        <v>949</v>
      </c>
      <c r="C232" s="106" t="s">
        <v>16</v>
      </c>
      <c r="D232" s="107">
        <v>1.71</v>
      </c>
    </row>
    <row r="233" spans="1:4" ht="51" x14ac:dyDescent="0.25">
      <c r="A233" s="104">
        <v>97135</v>
      </c>
      <c r="B233" s="105" t="s">
        <v>950</v>
      </c>
      <c r="C233" s="106" t="s">
        <v>16</v>
      </c>
      <c r="D233" s="107">
        <v>3.42</v>
      </c>
    </row>
    <row r="234" spans="1:4" ht="51" x14ac:dyDescent="0.25">
      <c r="A234" s="104">
        <v>97136</v>
      </c>
      <c r="B234" s="105" t="s">
        <v>951</v>
      </c>
      <c r="C234" s="106" t="s">
        <v>16</v>
      </c>
      <c r="D234" s="107">
        <v>4.2300000000000004</v>
      </c>
    </row>
    <row r="235" spans="1:4" ht="51" x14ac:dyDescent="0.25">
      <c r="A235" s="104">
        <v>97137</v>
      </c>
      <c r="B235" s="105" t="s">
        <v>952</v>
      </c>
      <c r="C235" s="106" t="s">
        <v>16</v>
      </c>
      <c r="D235" s="107">
        <v>5.01</v>
      </c>
    </row>
    <row r="236" spans="1:4" ht="51" x14ac:dyDescent="0.25">
      <c r="A236" s="104">
        <v>97138</v>
      </c>
      <c r="B236" s="105" t="s">
        <v>953</v>
      </c>
      <c r="C236" s="106" t="s">
        <v>16</v>
      </c>
      <c r="D236" s="107">
        <v>5.8</v>
      </c>
    </row>
    <row r="237" spans="1:4" ht="51" x14ac:dyDescent="0.25">
      <c r="A237" s="104">
        <v>97139</v>
      </c>
      <c r="B237" s="105" t="s">
        <v>954</v>
      </c>
      <c r="C237" s="106" t="s">
        <v>16</v>
      </c>
      <c r="D237" s="107">
        <v>6.59</v>
      </c>
    </row>
    <row r="238" spans="1:4" ht="51" x14ac:dyDescent="0.25">
      <c r="A238" s="104">
        <v>97140</v>
      </c>
      <c r="B238" s="105" t="s">
        <v>955</v>
      </c>
      <c r="C238" s="106" t="s">
        <v>16</v>
      </c>
      <c r="D238" s="107">
        <v>8.16</v>
      </c>
    </row>
    <row r="239" spans="1:4" ht="25.5" x14ac:dyDescent="0.25">
      <c r="A239" s="104">
        <v>93206</v>
      </c>
      <c r="B239" s="105" t="s">
        <v>688</v>
      </c>
      <c r="C239" s="106" t="s">
        <v>8</v>
      </c>
      <c r="D239" s="107">
        <v>787.04</v>
      </c>
    </row>
    <row r="240" spans="1:4" ht="38.25" x14ac:dyDescent="0.25">
      <c r="A240" s="104">
        <v>93207</v>
      </c>
      <c r="B240" s="105" t="s">
        <v>956</v>
      </c>
      <c r="C240" s="106" t="s">
        <v>8</v>
      </c>
      <c r="D240" s="107">
        <v>686.77</v>
      </c>
    </row>
    <row r="241" spans="1:4" ht="25.5" x14ac:dyDescent="0.25">
      <c r="A241" s="104">
        <v>93208</v>
      </c>
      <c r="B241" s="105" t="s">
        <v>957</v>
      </c>
      <c r="C241" s="106" t="s">
        <v>8</v>
      </c>
      <c r="D241" s="107">
        <v>522.12</v>
      </c>
    </row>
    <row r="242" spans="1:4" ht="25.5" x14ac:dyDescent="0.25">
      <c r="A242" s="104">
        <v>93209</v>
      </c>
      <c r="B242" s="105" t="s">
        <v>684</v>
      </c>
      <c r="C242" s="106" t="s">
        <v>8</v>
      </c>
      <c r="D242" s="107">
        <v>619.27</v>
      </c>
    </row>
    <row r="243" spans="1:4" ht="38.25" x14ac:dyDescent="0.25">
      <c r="A243" s="104">
        <v>93210</v>
      </c>
      <c r="B243" s="105" t="s">
        <v>958</v>
      </c>
      <c r="C243" s="106" t="s">
        <v>8</v>
      </c>
      <c r="D243" s="107">
        <v>358.78</v>
      </c>
    </row>
    <row r="244" spans="1:4" ht="25.5" x14ac:dyDescent="0.25">
      <c r="A244" s="104">
        <v>93211</v>
      </c>
      <c r="B244" s="105" t="s">
        <v>689</v>
      </c>
      <c r="C244" s="106" t="s">
        <v>8</v>
      </c>
      <c r="D244" s="107">
        <v>372.76</v>
      </c>
    </row>
    <row r="245" spans="1:4" ht="38.25" x14ac:dyDescent="0.25">
      <c r="A245" s="104">
        <v>93212</v>
      </c>
      <c r="B245" s="105" t="s">
        <v>959</v>
      </c>
      <c r="C245" s="106" t="s">
        <v>8</v>
      </c>
      <c r="D245" s="107">
        <v>609.22</v>
      </c>
    </row>
    <row r="246" spans="1:4" ht="25.5" x14ac:dyDescent="0.25">
      <c r="A246" s="104">
        <v>93213</v>
      </c>
      <c r="B246" s="105" t="s">
        <v>709</v>
      </c>
      <c r="C246" s="106" t="s">
        <v>8</v>
      </c>
      <c r="D246" s="107">
        <v>687.45</v>
      </c>
    </row>
    <row r="247" spans="1:4" ht="38.25" x14ac:dyDescent="0.25">
      <c r="A247" s="104">
        <v>93214</v>
      </c>
      <c r="B247" s="105" t="s">
        <v>960</v>
      </c>
      <c r="C247" s="106" t="s">
        <v>801</v>
      </c>
      <c r="D247" s="107">
        <v>3260.4</v>
      </c>
    </row>
    <row r="248" spans="1:4" ht="38.25" x14ac:dyDescent="0.25">
      <c r="A248" s="104">
        <v>93243</v>
      </c>
      <c r="B248" s="105" t="s">
        <v>961</v>
      </c>
      <c r="C248" s="106" t="s">
        <v>801</v>
      </c>
      <c r="D248" s="107">
        <v>4937.9399999999996</v>
      </c>
    </row>
    <row r="249" spans="1:4" ht="25.5" x14ac:dyDescent="0.25">
      <c r="A249" s="104">
        <v>93582</v>
      </c>
      <c r="B249" s="105" t="s">
        <v>685</v>
      </c>
      <c r="C249" s="106" t="s">
        <v>8</v>
      </c>
      <c r="D249" s="107">
        <v>163.72999999999999</v>
      </c>
    </row>
    <row r="250" spans="1:4" ht="38.25" x14ac:dyDescent="0.25">
      <c r="A250" s="104">
        <v>93583</v>
      </c>
      <c r="B250" s="105" t="s">
        <v>686</v>
      </c>
      <c r="C250" s="106" t="s">
        <v>8</v>
      </c>
      <c r="D250" s="107">
        <v>278.51</v>
      </c>
    </row>
    <row r="251" spans="1:4" ht="25.5" x14ac:dyDescent="0.25">
      <c r="A251" s="104">
        <v>93584</v>
      </c>
      <c r="B251" s="105" t="s">
        <v>690</v>
      </c>
      <c r="C251" s="106" t="s">
        <v>8</v>
      </c>
      <c r="D251" s="107">
        <v>543.21</v>
      </c>
    </row>
    <row r="252" spans="1:4" ht="25.5" x14ac:dyDescent="0.25">
      <c r="A252" s="104">
        <v>93585</v>
      </c>
      <c r="B252" s="105" t="s">
        <v>962</v>
      </c>
      <c r="C252" s="106" t="s">
        <v>8</v>
      </c>
      <c r="D252" s="107">
        <v>703.97</v>
      </c>
    </row>
    <row r="253" spans="1:4" ht="38.25" x14ac:dyDescent="0.25">
      <c r="A253" s="104">
        <v>98441</v>
      </c>
      <c r="B253" s="105" t="s">
        <v>963</v>
      </c>
      <c r="C253" s="106" t="s">
        <v>8</v>
      </c>
      <c r="D253" s="107">
        <v>70.319999999999993</v>
      </c>
    </row>
    <row r="254" spans="1:4" ht="38.25" x14ac:dyDescent="0.25">
      <c r="A254" s="104">
        <v>98442</v>
      </c>
      <c r="B254" s="105" t="s">
        <v>964</v>
      </c>
      <c r="C254" s="106" t="s">
        <v>8</v>
      </c>
      <c r="D254" s="107">
        <v>72.540000000000006</v>
      </c>
    </row>
    <row r="255" spans="1:4" ht="38.25" x14ac:dyDescent="0.25">
      <c r="A255" s="104">
        <v>98443</v>
      </c>
      <c r="B255" s="105" t="s">
        <v>965</v>
      </c>
      <c r="C255" s="106" t="s">
        <v>8</v>
      </c>
      <c r="D255" s="107">
        <v>60.04</v>
      </c>
    </row>
    <row r="256" spans="1:4" ht="38.25" x14ac:dyDescent="0.25">
      <c r="A256" s="104">
        <v>98444</v>
      </c>
      <c r="B256" s="105" t="s">
        <v>966</v>
      </c>
      <c r="C256" s="106" t="s">
        <v>8</v>
      </c>
      <c r="D256" s="107">
        <v>61.62</v>
      </c>
    </row>
    <row r="257" spans="1:4" ht="38.25" x14ac:dyDescent="0.25">
      <c r="A257" s="104">
        <v>98445</v>
      </c>
      <c r="B257" s="105" t="s">
        <v>967</v>
      </c>
      <c r="C257" s="106" t="s">
        <v>8</v>
      </c>
      <c r="D257" s="107">
        <v>84.31</v>
      </c>
    </row>
    <row r="258" spans="1:4" ht="38.25" x14ac:dyDescent="0.25">
      <c r="A258" s="104">
        <v>98446</v>
      </c>
      <c r="B258" s="105" t="s">
        <v>968</v>
      </c>
      <c r="C258" s="106" t="s">
        <v>8</v>
      </c>
      <c r="D258" s="107">
        <v>109.37</v>
      </c>
    </row>
    <row r="259" spans="1:4" ht="38.25" x14ac:dyDescent="0.25">
      <c r="A259" s="104">
        <v>98447</v>
      </c>
      <c r="B259" s="105" t="s">
        <v>969</v>
      </c>
      <c r="C259" s="106" t="s">
        <v>8</v>
      </c>
      <c r="D259" s="107">
        <v>70.16</v>
      </c>
    </row>
    <row r="260" spans="1:4" ht="38.25" x14ac:dyDescent="0.25">
      <c r="A260" s="104">
        <v>98448</v>
      </c>
      <c r="B260" s="105" t="s">
        <v>970</v>
      </c>
      <c r="C260" s="106" t="s">
        <v>8</v>
      </c>
      <c r="D260" s="109">
        <v>89.04</v>
      </c>
    </row>
    <row r="261" spans="1:4" ht="38.25" x14ac:dyDescent="0.25">
      <c r="A261" s="104">
        <v>98449</v>
      </c>
      <c r="B261" s="105" t="s">
        <v>971</v>
      </c>
      <c r="C261" s="106" t="s">
        <v>8</v>
      </c>
      <c r="D261" s="109">
        <v>91.05</v>
      </c>
    </row>
    <row r="262" spans="1:4" ht="38.25" x14ac:dyDescent="0.25">
      <c r="A262" s="104">
        <v>98450</v>
      </c>
      <c r="B262" s="105" t="s">
        <v>972</v>
      </c>
      <c r="C262" s="106" t="s">
        <v>8</v>
      </c>
      <c r="D262" s="107">
        <v>94.27</v>
      </c>
    </row>
    <row r="263" spans="1:4" ht="38.25" x14ac:dyDescent="0.25">
      <c r="A263" s="104">
        <v>98451</v>
      </c>
      <c r="B263" s="105" t="s">
        <v>973</v>
      </c>
      <c r="C263" s="106" t="s">
        <v>8</v>
      </c>
      <c r="D263" s="107">
        <v>78.88</v>
      </c>
    </row>
    <row r="264" spans="1:4" ht="38.25" x14ac:dyDescent="0.25">
      <c r="A264" s="104">
        <v>98452</v>
      </c>
      <c r="B264" s="105" t="s">
        <v>974</v>
      </c>
      <c r="C264" s="106" t="s">
        <v>8</v>
      </c>
      <c r="D264" s="107">
        <v>80.84</v>
      </c>
    </row>
    <row r="265" spans="1:4" ht="38.25" x14ac:dyDescent="0.25">
      <c r="A265" s="104">
        <v>98453</v>
      </c>
      <c r="B265" s="105" t="s">
        <v>975</v>
      </c>
      <c r="C265" s="106" t="s">
        <v>8</v>
      </c>
      <c r="D265" s="107">
        <v>108.77</v>
      </c>
    </row>
    <row r="266" spans="1:4" ht="38.25" x14ac:dyDescent="0.25">
      <c r="A266" s="104">
        <v>98454</v>
      </c>
      <c r="B266" s="105" t="s">
        <v>976</v>
      </c>
      <c r="C266" s="106" t="s">
        <v>8</v>
      </c>
      <c r="D266" s="107">
        <v>142.93</v>
      </c>
    </row>
    <row r="267" spans="1:4" ht="38.25" x14ac:dyDescent="0.25">
      <c r="A267" s="104">
        <v>98455</v>
      </c>
      <c r="B267" s="105" t="s">
        <v>977</v>
      </c>
      <c r="C267" s="106" t="s">
        <v>8</v>
      </c>
      <c r="D267" s="107">
        <v>92.72</v>
      </c>
    </row>
    <row r="268" spans="1:4" ht="38.25" x14ac:dyDescent="0.25">
      <c r="A268" s="104">
        <v>98456</v>
      </c>
      <c r="B268" s="105" t="s">
        <v>978</v>
      </c>
      <c r="C268" s="106" t="s">
        <v>8</v>
      </c>
      <c r="D268" s="107">
        <v>120.07</v>
      </c>
    </row>
    <row r="269" spans="1:4" x14ac:dyDescent="0.25">
      <c r="A269" s="104">
        <v>98458</v>
      </c>
      <c r="B269" s="105" t="s">
        <v>979</v>
      </c>
      <c r="C269" s="106" t="s">
        <v>8</v>
      </c>
      <c r="D269" s="107">
        <v>66.72</v>
      </c>
    </row>
    <row r="270" spans="1:4" x14ac:dyDescent="0.25">
      <c r="A270" s="104">
        <v>98459</v>
      </c>
      <c r="B270" s="105" t="s">
        <v>980</v>
      </c>
      <c r="C270" s="106" t="s">
        <v>8</v>
      </c>
      <c r="D270" s="107">
        <v>56</v>
      </c>
    </row>
    <row r="271" spans="1:4" ht="25.5" x14ac:dyDescent="0.25">
      <c r="A271" s="104">
        <v>98460</v>
      </c>
      <c r="B271" s="105" t="s">
        <v>981</v>
      </c>
      <c r="C271" s="106" t="s">
        <v>8</v>
      </c>
      <c r="D271" s="107">
        <v>64.67</v>
      </c>
    </row>
    <row r="272" spans="1:4" ht="25.5" x14ac:dyDescent="0.25">
      <c r="A272" s="104">
        <v>98461</v>
      </c>
      <c r="B272" s="105" t="s">
        <v>13090</v>
      </c>
      <c r="C272" s="106" t="s">
        <v>801</v>
      </c>
      <c r="D272" s="107">
        <v>2721.72</v>
      </c>
    </row>
    <row r="273" spans="1:4" ht="25.5" x14ac:dyDescent="0.25">
      <c r="A273" s="104">
        <v>98462</v>
      </c>
      <c r="B273" s="105" t="s">
        <v>13091</v>
      </c>
      <c r="C273" s="106" t="s">
        <v>801</v>
      </c>
      <c r="D273" s="107">
        <v>4014.13</v>
      </c>
    </row>
    <row r="274" spans="1:4" ht="38.25" x14ac:dyDescent="0.25">
      <c r="A274" s="104">
        <v>5631</v>
      </c>
      <c r="B274" s="105" t="s">
        <v>497</v>
      </c>
      <c r="C274" s="106" t="s">
        <v>435</v>
      </c>
      <c r="D274" s="107">
        <v>111.68</v>
      </c>
    </row>
    <row r="275" spans="1:4" ht="51" x14ac:dyDescent="0.25">
      <c r="A275" s="104">
        <v>5678</v>
      </c>
      <c r="B275" s="105" t="s">
        <v>692</v>
      </c>
      <c r="C275" s="106" t="s">
        <v>435</v>
      </c>
      <c r="D275" s="107">
        <v>79.45</v>
      </c>
    </row>
    <row r="276" spans="1:4" ht="51" x14ac:dyDescent="0.25">
      <c r="A276" s="104">
        <v>5680</v>
      </c>
      <c r="B276" s="105" t="s">
        <v>982</v>
      </c>
      <c r="C276" s="106" t="s">
        <v>435</v>
      </c>
      <c r="D276" s="107">
        <v>73.489999999999995</v>
      </c>
    </row>
    <row r="277" spans="1:4" ht="51" x14ac:dyDescent="0.25">
      <c r="A277" s="104">
        <v>5684</v>
      </c>
      <c r="B277" s="105" t="s">
        <v>983</v>
      </c>
      <c r="C277" s="106" t="s">
        <v>435</v>
      </c>
      <c r="D277" s="107">
        <v>82.64</v>
      </c>
    </row>
    <row r="278" spans="1:4" ht="25.5" x14ac:dyDescent="0.25">
      <c r="A278" s="104">
        <v>5689</v>
      </c>
      <c r="B278" s="105" t="s">
        <v>984</v>
      </c>
      <c r="C278" s="106" t="s">
        <v>435</v>
      </c>
      <c r="D278" s="107">
        <v>3.19</v>
      </c>
    </row>
    <row r="279" spans="1:4" ht="25.5" x14ac:dyDescent="0.25">
      <c r="A279" s="104">
        <v>5795</v>
      </c>
      <c r="B279" s="105" t="s">
        <v>985</v>
      </c>
      <c r="C279" s="106" t="s">
        <v>435</v>
      </c>
      <c r="D279" s="107">
        <v>15.16</v>
      </c>
    </row>
    <row r="280" spans="1:4" ht="38.25" x14ac:dyDescent="0.25">
      <c r="A280" s="104">
        <v>5811</v>
      </c>
      <c r="B280" s="105" t="s">
        <v>986</v>
      </c>
      <c r="C280" s="106" t="s">
        <v>435</v>
      </c>
      <c r="D280" s="107">
        <v>106.26</v>
      </c>
    </row>
    <row r="281" spans="1:4" ht="25.5" x14ac:dyDescent="0.25">
      <c r="A281" s="104">
        <v>5823</v>
      </c>
      <c r="B281" s="105" t="s">
        <v>987</v>
      </c>
      <c r="C281" s="106" t="s">
        <v>435</v>
      </c>
      <c r="D281" s="107">
        <v>163</v>
      </c>
    </row>
    <row r="282" spans="1:4" ht="51" x14ac:dyDescent="0.25">
      <c r="A282" s="104">
        <v>5824</v>
      </c>
      <c r="B282" s="105" t="s">
        <v>115</v>
      </c>
      <c r="C282" s="106" t="s">
        <v>435</v>
      </c>
      <c r="D282" s="107">
        <v>101.14</v>
      </c>
    </row>
    <row r="283" spans="1:4" ht="38.25" x14ac:dyDescent="0.25">
      <c r="A283" s="104">
        <v>5835</v>
      </c>
      <c r="B283" s="105" t="s">
        <v>988</v>
      </c>
      <c r="C283" s="106" t="s">
        <v>435</v>
      </c>
      <c r="D283" s="107">
        <v>243.95</v>
      </c>
    </row>
    <row r="284" spans="1:4" ht="25.5" x14ac:dyDescent="0.25">
      <c r="A284" s="104">
        <v>5839</v>
      </c>
      <c r="B284" s="105" t="s">
        <v>989</v>
      </c>
      <c r="C284" s="106" t="s">
        <v>435</v>
      </c>
      <c r="D284" s="107">
        <v>4.79</v>
      </c>
    </row>
    <row r="285" spans="1:4" ht="25.5" x14ac:dyDescent="0.25">
      <c r="A285" s="104">
        <v>5843</v>
      </c>
      <c r="B285" s="105" t="s">
        <v>990</v>
      </c>
      <c r="C285" s="106" t="s">
        <v>435</v>
      </c>
      <c r="D285" s="109">
        <v>129.11000000000001</v>
      </c>
    </row>
    <row r="286" spans="1:4" ht="25.5" x14ac:dyDescent="0.25">
      <c r="A286" s="104">
        <v>5847</v>
      </c>
      <c r="B286" s="105" t="s">
        <v>991</v>
      </c>
      <c r="C286" s="106" t="s">
        <v>435</v>
      </c>
      <c r="D286" s="109">
        <v>135.69</v>
      </c>
    </row>
    <row r="287" spans="1:4" ht="38.25" x14ac:dyDescent="0.25">
      <c r="A287" s="106">
        <v>5851</v>
      </c>
      <c r="B287" s="105" t="s">
        <v>992</v>
      </c>
      <c r="C287" s="106" t="s">
        <v>435</v>
      </c>
      <c r="D287" s="107">
        <v>129.28</v>
      </c>
    </row>
    <row r="288" spans="1:4" ht="25.5" x14ac:dyDescent="0.25">
      <c r="A288" s="104">
        <v>5855</v>
      </c>
      <c r="B288" s="105" t="s">
        <v>993</v>
      </c>
      <c r="C288" s="106" t="s">
        <v>435</v>
      </c>
      <c r="D288" s="107">
        <v>343.47</v>
      </c>
    </row>
    <row r="289" spans="1:4" ht="38.25" x14ac:dyDescent="0.25">
      <c r="A289" s="104">
        <v>5863</v>
      </c>
      <c r="B289" s="105" t="s">
        <v>994</v>
      </c>
      <c r="C289" s="106" t="s">
        <v>435</v>
      </c>
      <c r="D289" s="107">
        <v>11.47</v>
      </c>
    </row>
    <row r="290" spans="1:4" ht="38.25" x14ac:dyDescent="0.25">
      <c r="A290" s="104">
        <v>5867</v>
      </c>
      <c r="B290" s="105" t="s">
        <v>995</v>
      </c>
      <c r="C290" s="106" t="s">
        <v>435</v>
      </c>
      <c r="D290" s="107">
        <v>82.73</v>
      </c>
    </row>
    <row r="291" spans="1:4" ht="51" x14ac:dyDescent="0.25">
      <c r="A291" s="104">
        <v>5875</v>
      </c>
      <c r="B291" s="105" t="s">
        <v>996</v>
      </c>
      <c r="C291" s="106" t="s">
        <v>435</v>
      </c>
      <c r="D291" s="107">
        <v>73.819999999999993</v>
      </c>
    </row>
    <row r="292" spans="1:4" ht="38.25" x14ac:dyDescent="0.25">
      <c r="A292" s="104">
        <v>5879</v>
      </c>
      <c r="B292" s="105" t="s">
        <v>997</v>
      </c>
      <c r="C292" s="106" t="s">
        <v>435</v>
      </c>
      <c r="D292" s="107">
        <v>71.959999999999994</v>
      </c>
    </row>
    <row r="293" spans="1:4" ht="51" x14ac:dyDescent="0.25">
      <c r="A293" s="104">
        <v>5882</v>
      </c>
      <c r="B293" s="105" t="s">
        <v>998</v>
      </c>
      <c r="C293" s="106" t="s">
        <v>435</v>
      </c>
      <c r="D293" s="107">
        <v>74.28</v>
      </c>
    </row>
    <row r="294" spans="1:4" ht="38.25" x14ac:dyDescent="0.25">
      <c r="A294" s="104">
        <v>5890</v>
      </c>
      <c r="B294" s="105" t="s">
        <v>999</v>
      </c>
      <c r="C294" s="106" t="s">
        <v>435</v>
      </c>
      <c r="D294" s="107">
        <v>101.93</v>
      </c>
    </row>
    <row r="295" spans="1:4" ht="38.25" x14ac:dyDescent="0.25">
      <c r="A295" s="104">
        <v>5894</v>
      </c>
      <c r="B295" s="105" t="s">
        <v>1000</v>
      </c>
      <c r="C295" s="106" t="s">
        <v>435</v>
      </c>
      <c r="D295" s="107">
        <v>99.23</v>
      </c>
    </row>
    <row r="296" spans="1:4" ht="51" x14ac:dyDescent="0.25">
      <c r="A296" s="104">
        <v>5901</v>
      </c>
      <c r="B296" s="105" t="s">
        <v>1001</v>
      </c>
      <c r="C296" s="106" t="s">
        <v>435</v>
      </c>
      <c r="D296" s="107">
        <v>156.83000000000001</v>
      </c>
    </row>
    <row r="297" spans="1:4" ht="38.25" x14ac:dyDescent="0.25">
      <c r="A297" s="104">
        <v>5909</v>
      </c>
      <c r="B297" s="105" t="s">
        <v>1002</v>
      </c>
      <c r="C297" s="106" t="s">
        <v>435</v>
      </c>
      <c r="D297" s="107">
        <v>22.04</v>
      </c>
    </row>
    <row r="298" spans="1:4" ht="25.5" x14ac:dyDescent="0.25">
      <c r="A298" s="104">
        <v>5921</v>
      </c>
      <c r="B298" s="105" t="s">
        <v>1003</v>
      </c>
      <c r="C298" s="106" t="s">
        <v>435</v>
      </c>
      <c r="D298" s="107">
        <v>2.4900000000000002</v>
      </c>
    </row>
    <row r="299" spans="1:4" ht="51" x14ac:dyDescent="0.25">
      <c r="A299" s="104">
        <v>5928</v>
      </c>
      <c r="B299" s="105" t="s">
        <v>1004</v>
      </c>
      <c r="C299" s="106" t="s">
        <v>435</v>
      </c>
      <c r="D299" s="107">
        <v>131.69999999999999</v>
      </c>
    </row>
    <row r="300" spans="1:4" ht="38.25" x14ac:dyDescent="0.25">
      <c r="A300" s="104">
        <v>5932</v>
      </c>
      <c r="B300" s="105" t="s">
        <v>1005</v>
      </c>
      <c r="C300" s="106" t="s">
        <v>435</v>
      </c>
      <c r="D300" s="107">
        <v>124.19</v>
      </c>
    </row>
    <row r="301" spans="1:4" ht="38.25" x14ac:dyDescent="0.25">
      <c r="A301" s="104">
        <v>5940</v>
      </c>
      <c r="B301" s="105" t="s">
        <v>1006</v>
      </c>
      <c r="C301" s="106" t="s">
        <v>435</v>
      </c>
      <c r="D301" s="107">
        <v>109.31</v>
      </c>
    </row>
    <row r="302" spans="1:4" ht="38.25" x14ac:dyDescent="0.25">
      <c r="A302" s="104">
        <v>5944</v>
      </c>
      <c r="B302" s="105" t="s">
        <v>1007</v>
      </c>
      <c r="C302" s="106" t="s">
        <v>435</v>
      </c>
      <c r="D302" s="107">
        <v>123.95</v>
      </c>
    </row>
    <row r="303" spans="1:4" ht="38.25" x14ac:dyDescent="0.25">
      <c r="A303" s="104">
        <v>5953</v>
      </c>
      <c r="B303" s="105" t="s">
        <v>1008</v>
      </c>
      <c r="C303" s="106" t="s">
        <v>435</v>
      </c>
      <c r="D303" s="107">
        <v>31.25</v>
      </c>
    </row>
    <row r="304" spans="1:4" ht="51" x14ac:dyDescent="0.25">
      <c r="A304" s="104">
        <v>6259</v>
      </c>
      <c r="B304" s="105" t="s">
        <v>1009</v>
      </c>
      <c r="C304" s="106" t="s">
        <v>435</v>
      </c>
      <c r="D304" s="107">
        <v>129.85</v>
      </c>
    </row>
    <row r="305" spans="1:4" ht="38.25" x14ac:dyDescent="0.25">
      <c r="A305" s="104">
        <v>6879</v>
      </c>
      <c r="B305" s="105" t="s">
        <v>1010</v>
      </c>
      <c r="C305" s="106" t="s">
        <v>435</v>
      </c>
      <c r="D305" s="107">
        <v>108.03</v>
      </c>
    </row>
    <row r="306" spans="1:4" ht="25.5" x14ac:dyDescent="0.25">
      <c r="A306" s="104">
        <v>7030</v>
      </c>
      <c r="B306" s="105" t="s">
        <v>1011</v>
      </c>
      <c r="C306" s="106" t="s">
        <v>435</v>
      </c>
      <c r="D306" s="107">
        <v>126.22</v>
      </c>
    </row>
    <row r="307" spans="1:4" ht="51" x14ac:dyDescent="0.25">
      <c r="A307" s="104">
        <v>7042</v>
      </c>
      <c r="B307" s="105" t="s">
        <v>1012</v>
      </c>
      <c r="C307" s="106" t="s">
        <v>435</v>
      </c>
      <c r="D307" s="107">
        <v>6.91</v>
      </c>
    </row>
    <row r="308" spans="1:4" ht="51" x14ac:dyDescent="0.25">
      <c r="A308" s="104">
        <v>7049</v>
      </c>
      <c r="B308" s="105" t="s">
        <v>1013</v>
      </c>
      <c r="C308" s="106" t="s">
        <v>435</v>
      </c>
      <c r="D308" s="107">
        <v>114.83</v>
      </c>
    </row>
    <row r="309" spans="1:4" ht="51" x14ac:dyDescent="0.25">
      <c r="A309" s="104">
        <v>67826</v>
      </c>
      <c r="B309" s="105" t="s">
        <v>1014</v>
      </c>
      <c r="C309" s="106" t="s">
        <v>435</v>
      </c>
      <c r="D309" s="107">
        <v>93.79</v>
      </c>
    </row>
    <row r="310" spans="1:4" ht="25.5" x14ac:dyDescent="0.25">
      <c r="A310" s="104">
        <v>73417</v>
      </c>
      <c r="B310" s="105" t="s">
        <v>1015</v>
      </c>
      <c r="C310" s="106" t="s">
        <v>435</v>
      </c>
      <c r="D310" s="107">
        <v>105.35</v>
      </c>
    </row>
    <row r="311" spans="1:4" ht="38.25" x14ac:dyDescent="0.25">
      <c r="A311" s="104">
        <v>73436</v>
      </c>
      <c r="B311" s="105" t="s">
        <v>1016</v>
      </c>
      <c r="C311" s="106" t="s">
        <v>435</v>
      </c>
      <c r="D311" s="107">
        <v>111.09</v>
      </c>
    </row>
    <row r="312" spans="1:4" ht="51" x14ac:dyDescent="0.25">
      <c r="A312" s="104">
        <v>73467</v>
      </c>
      <c r="B312" s="105" t="s">
        <v>1017</v>
      </c>
      <c r="C312" s="106" t="s">
        <v>435</v>
      </c>
      <c r="D312" s="107">
        <v>86.46</v>
      </c>
    </row>
    <row r="313" spans="1:4" ht="38.25" x14ac:dyDescent="0.25">
      <c r="A313" s="104">
        <v>73536</v>
      </c>
      <c r="B313" s="105" t="s">
        <v>1018</v>
      </c>
      <c r="C313" s="106" t="s">
        <v>435</v>
      </c>
      <c r="D313" s="107">
        <v>5.85</v>
      </c>
    </row>
    <row r="314" spans="1:4" ht="51" x14ac:dyDescent="0.25">
      <c r="A314" s="104">
        <v>83362</v>
      </c>
      <c r="B314" s="105" t="s">
        <v>1019</v>
      </c>
      <c r="C314" s="106" t="s">
        <v>435</v>
      </c>
      <c r="D314" s="107">
        <v>158.13</v>
      </c>
    </row>
    <row r="315" spans="1:4" ht="38.25" x14ac:dyDescent="0.25">
      <c r="A315" s="104">
        <v>83765</v>
      </c>
      <c r="B315" s="105" t="s">
        <v>1020</v>
      </c>
      <c r="C315" s="106" t="s">
        <v>435</v>
      </c>
      <c r="D315" s="107">
        <v>67.44</v>
      </c>
    </row>
    <row r="316" spans="1:4" ht="38.25" x14ac:dyDescent="0.25">
      <c r="A316" s="104">
        <v>87445</v>
      </c>
      <c r="B316" s="105" t="s">
        <v>1021</v>
      </c>
      <c r="C316" s="106" t="s">
        <v>435</v>
      </c>
      <c r="D316" s="107">
        <v>2.96</v>
      </c>
    </row>
    <row r="317" spans="1:4" ht="38.25" x14ac:dyDescent="0.25">
      <c r="A317" s="104">
        <v>88386</v>
      </c>
      <c r="B317" s="105" t="s">
        <v>1022</v>
      </c>
      <c r="C317" s="106" t="s">
        <v>435</v>
      </c>
      <c r="D317" s="107">
        <v>4</v>
      </c>
    </row>
    <row r="318" spans="1:4" ht="38.25" x14ac:dyDescent="0.25">
      <c r="A318" s="104">
        <v>88393</v>
      </c>
      <c r="B318" s="105" t="s">
        <v>1023</v>
      </c>
      <c r="C318" s="106" t="s">
        <v>435</v>
      </c>
      <c r="D318" s="107">
        <v>5.54</v>
      </c>
    </row>
    <row r="319" spans="1:4" ht="38.25" x14ac:dyDescent="0.25">
      <c r="A319" s="104">
        <v>88399</v>
      </c>
      <c r="B319" s="105" t="s">
        <v>1024</v>
      </c>
      <c r="C319" s="106" t="s">
        <v>435</v>
      </c>
      <c r="D319" s="107">
        <v>2.92</v>
      </c>
    </row>
    <row r="320" spans="1:4" ht="38.25" x14ac:dyDescent="0.25">
      <c r="A320" s="104">
        <v>88418</v>
      </c>
      <c r="B320" s="105" t="s">
        <v>1025</v>
      </c>
      <c r="C320" s="106" t="s">
        <v>435</v>
      </c>
      <c r="D320" s="107">
        <v>12.38</v>
      </c>
    </row>
    <row r="321" spans="1:4" ht="38.25" x14ac:dyDescent="0.25">
      <c r="A321" s="104">
        <v>88433</v>
      </c>
      <c r="B321" s="105" t="s">
        <v>1026</v>
      </c>
      <c r="C321" s="106" t="s">
        <v>435</v>
      </c>
      <c r="D321" s="107">
        <v>15.15</v>
      </c>
    </row>
    <row r="322" spans="1:4" ht="38.25" x14ac:dyDescent="0.25">
      <c r="A322" s="104">
        <v>88830</v>
      </c>
      <c r="B322" s="105" t="s">
        <v>1027</v>
      </c>
      <c r="C322" s="106" t="s">
        <v>435</v>
      </c>
      <c r="D322" s="107">
        <v>1.48</v>
      </c>
    </row>
    <row r="323" spans="1:4" ht="25.5" x14ac:dyDescent="0.25">
      <c r="A323" s="104">
        <v>88843</v>
      </c>
      <c r="B323" s="105" t="s">
        <v>1028</v>
      </c>
      <c r="C323" s="106" t="s">
        <v>435</v>
      </c>
      <c r="D323" s="107">
        <v>108.31</v>
      </c>
    </row>
    <row r="324" spans="1:4" ht="38.25" x14ac:dyDescent="0.25">
      <c r="A324" s="104">
        <v>88907</v>
      </c>
      <c r="B324" s="105" t="s">
        <v>1029</v>
      </c>
      <c r="C324" s="106" t="s">
        <v>435</v>
      </c>
      <c r="D324" s="107">
        <v>132.31</v>
      </c>
    </row>
    <row r="325" spans="1:4" ht="38.25" x14ac:dyDescent="0.25">
      <c r="A325" s="104">
        <v>89021</v>
      </c>
      <c r="B325" s="105" t="s">
        <v>1030</v>
      </c>
      <c r="C325" s="106" t="s">
        <v>435</v>
      </c>
      <c r="D325" s="107">
        <v>2.16</v>
      </c>
    </row>
    <row r="326" spans="1:4" ht="25.5" x14ac:dyDescent="0.25">
      <c r="A326" s="104">
        <v>89028</v>
      </c>
      <c r="B326" s="105" t="s">
        <v>1031</v>
      </c>
      <c r="C326" s="106" t="s">
        <v>435</v>
      </c>
      <c r="D326" s="107">
        <v>116.45</v>
      </c>
    </row>
    <row r="327" spans="1:4" ht="25.5" x14ac:dyDescent="0.25">
      <c r="A327" s="104">
        <v>89032</v>
      </c>
      <c r="B327" s="105" t="s">
        <v>1032</v>
      </c>
      <c r="C327" s="106" t="s">
        <v>435</v>
      </c>
      <c r="D327" s="107">
        <v>97.45</v>
      </c>
    </row>
    <row r="328" spans="1:4" ht="25.5" x14ac:dyDescent="0.25">
      <c r="A328" s="104">
        <v>89035</v>
      </c>
      <c r="B328" s="105" t="s">
        <v>1033</v>
      </c>
      <c r="C328" s="106" t="s">
        <v>435</v>
      </c>
      <c r="D328" s="107">
        <v>94.87</v>
      </c>
    </row>
    <row r="329" spans="1:4" ht="38.25" x14ac:dyDescent="0.25">
      <c r="A329" s="104">
        <v>89225</v>
      </c>
      <c r="B329" s="105" t="s">
        <v>1034</v>
      </c>
      <c r="C329" s="106" t="s">
        <v>435</v>
      </c>
      <c r="D329" s="107">
        <v>3.99</v>
      </c>
    </row>
    <row r="330" spans="1:4" ht="25.5" x14ac:dyDescent="0.25">
      <c r="A330" s="104">
        <v>89234</v>
      </c>
      <c r="B330" s="105" t="s">
        <v>1035</v>
      </c>
      <c r="C330" s="106" t="s">
        <v>435</v>
      </c>
      <c r="D330" s="107">
        <v>371.29</v>
      </c>
    </row>
    <row r="331" spans="1:4" ht="25.5" x14ac:dyDescent="0.25">
      <c r="A331" s="104">
        <v>89242</v>
      </c>
      <c r="B331" s="105" t="s">
        <v>1036</v>
      </c>
      <c r="C331" s="106" t="s">
        <v>435</v>
      </c>
      <c r="D331" s="107">
        <v>874.19</v>
      </c>
    </row>
    <row r="332" spans="1:4" ht="25.5" x14ac:dyDescent="0.25">
      <c r="A332" s="104">
        <v>89250</v>
      </c>
      <c r="B332" s="105" t="s">
        <v>1037</v>
      </c>
      <c r="C332" s="106" t="s">
        <v>435</v>
      </c>
      <c r="D332" s="107">
        <v>757.71</v>
      </c>
    </row>
    <row r="333" spans="1:4" ht="38.25" x14ac:dyDescent="0.25">
      <c r="A333" s="104">
        <v>89257</v>
      </c>
      <c r="B333" s="105" t="s">
        <v>1038</v>
      </c>
      <c r="C333" s="106" t="s">
        <v>435</v>
      </c>
      <c r="D333" s="107">
        <v>209.23</v>
      </c>
    </row>
    <row r="334" spans="1:4" ht="38.25" x14ac:dyDescent="0.25">
      <c r="A334" s="104">
        <v>89272</v>
      </c>
      <c r="B334" s="105" t="s">
        <v>1039</v>
      </c>
      <c r="C334" s="106" t="s">
        <v>435</v>
      </c>
      <c r="D334" s="107">
        <v>104.34</v>
      </c>
    </row>
    <row r="335" spans="1:4" ht="38.25" x14ac:dyDescent="0.25">
      <c r="A335" s="104">
        <v>89278</v>
      </c>
      <c r="B335" s="105" t="s">
        <v>1040</v>
      </c>
      <c r="C335" s="106" t="s">
        <v>435</v>
      </c>
      <c r="D335" s="107">
        <v>7.01</v>
      </c>
    </row>
    <row r="336" spans="1:4" ht="25.5" x14ac:dyDescent="0.25">
      <c r="A336" s="104">
        <v>89843</v>
      </c>
      <c r="B336" s="105" t="s">
        <v>1041</v>
      </c>
      <c r="C336" s="106" t="s">
        <v>435</v>
      </c>
      <c r="D336" s="107">
        <v>111.91</v>
      </c>
    </row>
    <row r="337" spans="1:4" ht="51" x14ac:dyDescent="0.25">
      <c r="A337" s="104">
        <v>89876</v>
      </c>
      <c r="B337" s="105" t="s">
        <v>1042</v>
      </c>
      <c r="C337" s="106" t="s">
        <v>435</v>
      </c>
      <c r="D337" s="107">
        <v>173.08</v>
      </c>
    </row>
    <row r="338" spans="1:4" ht="51" x14ac:dyDescent="0.25">
      <c r="A338" s="104">
        <v>89883</v>
      </c>
      <c r="B338" s="105" t="s">
        <v>1043</v>
      </c>
      <c r="C338" s="106" t="s">
        <v>435</v>
      </c>
      <c r="D338" s="107">
        <v>191.3</v>
      </c>
    </row>
    <row r="339" spans="1:4" ht="25.5" x14ac:dyDescent="0.25">
      <c r="A339" s="104">
        <v>90586</v>
      </c>
      <c r="B339" s="105" t="s">
        <v>501</v>
      </c>
      <c r="C339" s="106" t="s">
        <v>435</v>
      </c>
      <c r="D339" s="107">
        <v>1.59</v>
      </c>
    </row>
    <row r="340" spans="1:4" ht="25.5" x14ac:dyDescent="0.25">
      <c r="A340" s="104">
        <v>90625</v>
      </c>
      <c r="B340" s="105" t="s">
        <v>1044</v>
      </c>
      <c r="C340" s="106" t="s">
        <v>435</v>
      </c>
      <c r="D340" s="107">
        <v>7.47</v>
      </c>
    </row>
    <row r="341" spans="1:4" ht="38.25" x14ac:dyDescent="0.25">
      <c r="A341" s="104">
        <v>90631</v>
      </c>
      <c r="B341" s="105" t="s">
        <v>1045</v>
      </c>
      <c r="C341" s="106" t="s">
        <v>435</v>
      </c>
      <c r="D341" s="107">
        <v>85.15</v>
      </c>
    </row>
    <row r="342" spans="1:4" ht="51" x14ac:dyDescent="0.25">
      <c r="A342" s="104">
        <v>90637</v>
      </c>
      <c r="B342" s="105" t="s">
        <v>1046</v>
      </c>
      <c r="C342" s="106" t="s">
        <v>435</v>
      </c>
      <c r="D342" s="107">
        <v>11.63</v>
      </c>
    </row>
    <row r="343" spans="1:4" ht="38.25" x14ac:dyDescent="0.25">
      <c r="A343" s="104">
        <v>90643</v>
      </c>
      <c r="B343" s="105" t="s">
        <v>1047</v>
      </c>
      <c r="C343" s="106" t="s">
        <v>435</v>
      </c>
      <c r="D343" s="107">
        <v>14.81</v>
      </c>
    </row>
    <row r="344" spans="1:4" ht="51" x14ac:dyDescent="0.25">
      <c r="A344" s="104">
        <v>90650</v>
      </c>
      <c r="B344" s="105" t="s">
        <v>1048</v>
      </c>
      <c r="C344" s="106" t="s">
        <v>435</v>
      </c>
      <c r="D344" s="107">
        <v>9.1</v>
      </c>
    </row>
    <row r="345" spans="1:4" ht="25.5" x14ac:dyDescent="0.25">
      <c r="A345" s="104">
        <v>90656</v>
      </c>
      <c r="B345" s="105" t="s">
        <v>1049</v>
      </c>
      <c r="C345" s="106" t="s">
        <v>435</v>
      </c>
      <c r="D345" s="107">
        <v>11.56</v>
      </c>
    </row>
    <row r="346" spans="1:4" ht="25.5" x14ac:dyDescent="0.25">
      <c r="A346" s="104">
        <v>90662</v>
      </c>
      <c r="B346" s="105" t="s">
        <v>1050</v>
      </c>
      <c r="C346" s="106" t="s">
        <v>435</v>
      </c>
      <c r="D346" s="107">
        <v>12.02</v>
      </c>
    </row>
    <row r="347" spans="1:4" ht="51" x14ac:dyDescent="0.25">
      <c r="A347" s="104">
        <v>90668</v>
      </c>
      <c r="B347" s="105" t="s">
        <v>1051</v>
      </c>
      <c r="C347" s="106" t="s">
        <v>435</v>
      </c>
      <c r="D347" s="107">
        <v>16.47</v>
      </c>
    </row>
    <row r="348" spans="1:4" ht="63.75" x14ac:dyDescent="0.25">
      <c r="A348" s="104">
        <v>90674</v>
      </c>
      <c r="B348" s="105" t="s">
        <v>1052</v>
      </c>
      <c r="C348" s="106" t="s">
        <v>435</v>
      </c>
      <c r="D348" s="107">
        <v>360.05</v>
      </c>
    </row>
    <row r="349" spans="1:4" ht="51" x14ac:dyDescent="0.25">
      <c r="A349" s="104">
        <v>90680</v>
      </c>
      <c r="B349" s="105" t="s">
        <v>1053</v>
      </c>
      <c r="C349" s="106" t="s">
        <v>435</v>
      </c>
      <c r="D349" s="107">
        <v>210.63</v>
      </c>
    </row>
    <row r="350" spans="1:4" ht="38.25" x14ac:dyDescent="0.25">
      <c r="A350" s="104">
        <v>90686</v>
      </c>
      <c r="B350" s="105" t="s">
        <v>1054</v>
      </c>
      <c r="C350" s="106" t="s">
        <v>435</v>
      </c>
      <c r="D350" s="107">
        <v>98.02</v>
      </c>
    </row>
    <row r="351" spans="1:4" ht="38.25" x14ac:dyDescent="0.25">
      <c r="A351" s="104">
        <v>90692</v>
      </c>
      <c r="B351" s="105" t="s">
        <v>1055</v>
      </c>
      <c r="C351" s="106" t="s">
        <v>435</v>
      </c>
      <c r="D351" s="107">
        <v>74.52</v>
      </c>
    </row>
    <row r="352" spans="1:4" ht="38.25" x14ac:dyDescent="0.25">
      <c r="A352" s="104">
        <v>90964</v>
      </c>
      <c r="B352" s="105" t="s">
        <v>1056</v>
      </c>
      <c r="C352" s="106" t="s">
        <v>435</v>
      </c>
      <c r="D352" s="107">
        <v>15.58</v>
      </c>
    </row>
    <row r="353" spans="1:4" ht="38.25" x14ac:dyDescent="0.25">
      <c r="A353" s="104">
        <v>90972</v>
      </c>
      <c r="B353" s="105" t="s">
        <v>1057</v>
      </c>
      <c r="C353" s="106" t="s">
        <v>435</v>
      </c>
      <c r="D353" s="107">
        <v>40.479999999999997</v>
      </c>
    </row>
    <row r="354" spans="1:4" ht="38.25" x14ac:dyDescent="0.25">
      <c r="A354" s="104">
        <v>90979</v>
      </c>
      <c r="B354" s="105" t="s">
        <v>1058</v>
      </c>
      <c r="C354" s="106" t="s">
        <v>435</v>
      </c>
      <c r="D354" s="107">
        <v>104.62</v>
      </c>
    </row>
    <row r="355" spans="1:4" ht="38.25" x14ac:dyDescent="0.25">
      <c r="A355" s="104">
        <v>90991</v>
      </c>
      <c r="B355" s="105" t="s">
        <v>1059</v>
      </c>
      <c r="C355" s="106" t="s">
        <v>435</v>
      </c>
      <c r="D355" s="107">
        <v>108.58</v>
      </c>
    </row>
    <row r="356" spans="1:4" ht="38.25" x14ac:dyDescent="0.25">
      <c r="A356" s="104">
        <v>90999</v>
      </c>
      <c r="B356" s="105" t="s">
        <v>1060</v>
      </c>
      <c r="C356" s="106" t="s">
        <v>435</v>
      </c>
      <c r="D356" s="107">
        <v>53.69</v>
      </c>
    </row>
    <row r="357" spans="1:4" ht="38.25" x14ac:dyDescent="0.25">
      <c r="A357" s="104">
        <v>91031</v>
      </c>
      <c r="B357" s="105" t="s">
        <v>1061</v>
      </c>
      <c r="C357" s="106" t="s">
        <v>435</v>
      </c>
      <c r="D357" s="107">
        <v>124.93</v>
      </c>
    </row>
    <row r="358" spans="1:4" ht="38.25" x14ac:dyDescent="0.25">
      <c r="A358" s="104">
        <v>91277</v>
      </c>
      <c r="B358" s="105" t="s">
        <v>459</v>
      </c>
      <c r="C358" s="106" t="s">
        <v>435</v>
      </c>
      <c r="D358" s="107">
        <v>6.33</v>
      </c>
    </row>
    <row r="359" spans="1:4" ht="51" x14ac:dyDescent="0.25">
      <c r="A359" s="104">
        <v>91283</v>
      </c>
      <c r="B359" s="105" t="s">
        <v>461</v>
      </c>
      <c r="C359" s="106" t="s">
        <v>435</v>
      </c>
      <c r="D359" s="107">
        <v>15.01</v>
      </c>
    </row>
    <row r="360" spans="1:4" ht="51" x14ac:dyDescent="0.25">
      <c r="A360" s="104">
        <v>91386</v>
      </c>
      <c r="B360" s="105" t="s">
        <v>1062</v>
      </c>
      <c r="C360" s="106" t="s">
        <v>435</v>
      </c>
      <c r="D360" s="107">
        <v>133.28</v>
      </c>
    </row>
    <row r="361" spans="1:4" ht="25.5" x14ac:dyDescent="0.25">
      <c r="A361" s="104">
        <v>91533</v>
      </c>
      <c r="B361" s="105" t="s">
        <v>1063</v>
      </c>
      <c r="C361" s="106" t="s">
        <v>435</v>
      </c>
      <c r="D361" s="107">
        <v>18.71</v>
      </c>
    </row>
    <row r="362" spans="1:4" ht="51" x14ac:dyDescent="0.25">
      <c r="A362" s="104">
        <v>91634</v>
      </c>
      <c r="B362" s="105" t="s">
        <v>1064</v>
      </c>
      <c r="C362" s="106" t="s">
        <v>435</v>
      </c>
      <c r="D362" s="107">
        <v>116.16</v>
      </c>
    </row>
    <row r="363" spans="1:4" ht="51" x14ac:dyDescent="0.25">
      <c r="A363" s="104">
        <v>91645</v>
      </c>
      <c r="B363" s="105" t="s">
        <v>1065</v>
      </c>
      <c r="C363" s="106" t="s">
        <v>435</v>
      </c>
      <c r="D363" s="107">
        <v>249.27</v>
      </c>
    </row>
    <row r="364" spans="1:4" ht="25.5" x14ac:dyDescent="0.25">
      <c r="A364" s="104">
        <v>91692</v>
      </c>
      <c r="B364" s="105" t="s">
        <v>1066</v>
      </c>
      <c r="C364" s="106" t="s">
        <v>435</v>
      </c>
      <c r="D364" s="107">
        <v>16.2</v>
      </c>
    </row>
    <row r="365" spans="1:4" ht="25.5" x14ac:dyDescent="0.25">
      <c r="A365" s="104">
        <v>92043</v>
      </c>
      <c r="B365" s="105" t="s">
        <v>1067</v>
      </c>
      <c r="C365" s="106" t="s">
        <v>435</v>
      </c>
      <c r="D365" s="107">
        <v>8</v>
      </c>
    </row>
    <row r="366" spans="1:4" ht="63.75" x14ac:dyDescent="0.25">
      <c r="A366" s="104">
        <v>92106</v>
      </c>
      <c r="B366" s="105" t="s">
        <v>1068</v>
      </c>
      <c r="C366" s="106" t="s">
        <v>435</v>
      </c>
      <c r="D366" s="107">
        <v>161.55000000000001</v>
      </c>
    </row>
    <row r="367" spans="1:4" ht="38.25" x14ac:dyDescent="0.25">
      <c r="A367" s="104">
        <v>92112</v>
      </c>
      <c r="B367" s="105" t="s">
        <v>1069</v>
      </c>
      <c r="C367" s="106" t="s">
        <v>435</v>
      </c>
      <c r="D367" s="107">
        <v>2.3199999999999998</v>
      </c>
    </row>
    <row r="368" spans="1:4" ht="25.5" x14ac:dyDescent="0.25">
      <c r="A368" s="104">
        <v>92118</v>
      </c>
      <c r="B368" s="105" t="s">
        <v>1070</v>
      </c>
      <c r="C368" s="106" t="s">
        <v>435</v>
      </c>
      <c r="D368" s="107">
        <v>0.16</v>
      </c>
    </row>
    <row r="369" spans="1:4" ht="25.5" x14ac:dyDescent="0.25">
      <c r="A369" s="104">
        <v>92138</v>
      </c>
      <c r="B369" s="105" t="s">
        <v>1071</v>
      </c>
      <c r="C369" s="106" t="s">
        <v>435</v>
      </c>
      <c r="D369" s="107">
        <v>53.85</v>
      </c>
    </row>
    <row r="370" spans="1:4" ht="38.25" x14ac:dyDescent="0.25">
      <c r="A370" s="104">
        <v>92145</v>
      </c>
      <c r="B370" s="105" t="s">
        <v>1072</v>
      </c>
      <c r="C370" s="106" t="s">
        <v>435</v>
      </c>
      <c r="D370" s="107">
        <v>45.19</v>
      </c>
    </row>
    <row r="371" spans="1:4" ht="51" x14ac:dyDescent="0.25">
      <c r="A371" s="104">
        <v>92242</v>
      </c>
      <c r="B371" s="105" t="s">
        <v>1073</v>
      </c>
      <c r="C371" s="106" t="s">
        <v>435</v>
      </c>
      <c r="D371" s="107">
        <v>217.5</v>
      </c>
    </row>
    <row r="372" spans="1:4" ht="25.5" x14ac:dyDescent="0.25">
      <c r="A372" s="104">
        <v>92716</v>
      </c>
      <c r="B372" s="105" t="s">
        <v>1074</v>
      </c>
      <c r="C372" s="106" t="s">
        <v>435</v>
      </c>
      <c r="D372" s="107">
        <v>26.74</v>
      </c>
    </row>
    <row r="373" spans="1:4" ht="25.5" x14ac:dyDescent="0.25">
      <c r="A373" s="104">
        <v>92960</v>
      </c>
      <c r="B373" s="105" t="s">
        <v>1075</v>
      </c>
      <c r="C373" s="106" t="s">
        <v>435</v>
      </c>
      <c r="D373" s="107">
        <v>13.35</v>
      </c>
    </row>
    <row r="374" spans="1:4" ht="25.5" x14ac:dyDescent="0.25">
      <c r="A374" s="104">
        <v>92966</v>
      </c>
      <c r="B374" s="105" t="s">
        <v>1076</v>
      </c>
      <c r="C374" s="106" t="s">
        <v>435</v>
      </c>
      <c r="D374" s="107">
        <v>15.27</v>
      </c>
    </row>
    <row r="375" spans="1:4" ht="63.75" x14ac:dyDescent="0.25">
      <c r="A375" s="104">
        <v>93224</v>
      </c>
      <c r="B375" s="105" t="s">
        <v>1077</v>
      </c>
      <c r="C375" s="106" t="s">
        <v>435</v>
      </c>
      <c r="D375" s="107">
        <v>536.15</v>
      </c>
    </row>
    <row r="376" spans="1:4" ht="38.25" x14ac:dyDescent="0.25">
      <c r="A376" s="104">
        <v>93233</v>
      </c>
      <c r="B376" s="105" t="s">
        <v>1078</v>
      </c>
      <c r="C376" s="106" t="s">
        <v>435</v>
      </c>
      <c r="D376" s="107">
        <v>6.19</v>
      </c>
    </row>
    <row r="377" spans="1:4" ht="25.5" x14ac:dyDescent="0.25">
      <c r="A377" s="104">
        <v>93272</v>
      </c>
      <c r="B377" s="105" t="s">
        <v>1079</v>
      </c>
      <c r="C377" s="106" t="s">
        <v>435</v>
      </c>
      <c r="D377" s="107">
        <v>74.09</v>
      </c>
    </row>
    <row r="378" spans="1:4" ht="25.5" x14ac:dyDescent="0.25">
      <c r="A378" s="104">
        <v>93281</v>
      </c>
      <c r="B378" s="105" t="s">
        <v>1080</v>
      </c>
      <c r="C378" s="106" t="s">
        <v>435</v>
      </c>
      <c r="D378" s="107">
        <v>14.16</v>
      </c>
    </row>
    <row r="379" spans="1:4" ht="38.25" x14ac:dyDescent="0.25">
      <c r="A379" s="104">
        <v>93287</v>
      </c>
      <c r="B379" s="105" t="s">
        <v>434</v>
      </c>
      <c r="C379" s="106" t="s">
        <v>435</v>
      </c>
      <c r="D379" s="107">
        <v>337.75</v>
      </c>
    </row>
    <row r="380" spans="1:4" ht="51" x14ac:dyDescent="0.25">
      <c r="A380" s="104">
        <v>93402</v>
      </c>
      <c r="B380" s="105" t="s">
        <v>1081</v>
      </c>
      <c r="C380" s="106" t="s">
        <v>435</v>
      </c>
      <c r="D380" s="107">
        <v>129.4</v>
      </c>
    </row>
    <row r="381" spans="1:4" ht="63.75" x14ac:dyDescent="0.25">
      <c r="A381" s="104">
        <v>93408</v>
      </c>
      <c r="B381" s="105" t="s">
        <v>10774</v>
      </c>
      <c r="C381" s="106" t="s">
        <v>435</v>
      </c>
      <c r="D381" s="107">
        <v>51.14</v>
      </c>
    </row>
    <row r="382" spans="1:4" ht="25.5" x14ac:dyDescent="0.25">
      <c r="A382" s="104">
        <v>93415</v>
      </c>
      <c r="B382" s="105" t="s">
        <v>1082</v>
      </c>
      <c r="C382" s="106" t="s">
        <v>435</v>
      </c>
      <c r="D382" s="107">
        <v>10.07</v>
      </c>
    </row>
    <row r="383" spans="1:4" ht="25.5" x14ac:dyDescent="0.25">
      <c r="A383" s="104">
        <v>93421</v>
      </c>
      <c r="B383" s="105" t="s">
        <v>1083</v>
      </c>
      <c r="C383" s="106" t="s">
        <v>435</v>
      </c>
      <c r="D383" s="107">
        <v>42.25</v>
      </c>
    </row>
    <row r="384" spans="1:4" ht="25.5" x14ac:dyDescent="0.25">
      <c r="A384" s="104">
        <v>93427</v>
      </c>
      <c r="B384" s="105" t="s">
        <v>1084</v>
      </c>
      <c r="C384" s="106" t="s">
        <v>435</v>
      </c>
      <c r="D384" s="107">
        <v>95.42</v>
      </c>
    </row>
    <row r="385" spans="1:4" ht="25.5" x14ac:dyDescent="0.25">
      <c r="A385" s="104">
        <v>93433</v>
      </c>
      <c r="B385" s="105" t="s">
        <v>1085</v>
      </c>
      <c r="C385" s="106" t="s">
        <v>435</v>
      </c>
      <c r="D385" s="107">
        <v>1820.47</v>
      </c>
    </row>
    <row r="386" spans="1:4" ht="25.5" x14ac:dyDescent="0.25">
      <c r="A386" s="104">
        <v>93439</v>
      </c>
      <c r="B386" s="105" t="s">
        <v>1086</v>
      </c>
      <c r="C386" s="106" t="s">
        <v>435</v>
      </c>
      <c r="D386" s="107">
        <v>98.88</v>
      </c>
    </row>
    <row r="387" spans="1:4" ht="25.5" x14ac:dyDescent="0.25">
      <c r="A387" s="104">
        <v>95121</v>
      </c>
      <c r="B387" s="105" t="s">
        <v>1087</v>
      </c>
      <c r="C387" s="106" t="s">
        <v>435</v>
      </c>
      <c r="D387" s="107">
        <v>206.04</v>
      </c>
    </row>
    <row r="388" spans="1:4" ht="25.5" x14ac:dyDescent="0.25">
      <c r="A388" s="104">
        <v>95127</v>
      </c>
      <c r="B388" s="105" t="s">
        <v>1088</v>
      </c>
      <c r="C388" s="106" t="s">
        <v>435</v>
      </c>
      <c r="D388" s="107">
        <v>119.37</v>
      </c>
    </row>
    <row r="389" spans="1:4" ht="25.5" x14ac:dyDescent="0.25">
      <c r="A389" s="104">
        <v>95133</v>
      </c>
      <c r="B389" s="105" t="s">
        <v>1089</v>
      </c>
      <c r="C389" s="106" t="s">
        <v>435</v>
      </c>
      <c r="D389" s="107">
        <v>94.72</v>
      </c>
    </row>
    <row r="390" spans="1:4" ht="25.5" x14ac:dyDescent="0.25">
      <c r="A390" s="104">
        <v>95139</v>
      </c>
      <c r="B390" s="105" t="s">
        <v>1090</v>
      </c>
      <c r="C390" s="106" t="s">
        <v>435</v>
      </c>
      <c r="D390" s="107">
        <v>0.06</v>
      </c>
    </row>
    <row r="391" spans="1:4" ht="25.5" x14ac:dyDescent="0.25">
      <c r="A391" s="104">
        <v>95212</v>
      </c>
      <c r="B391" s="105" t="s">
        <v>1091</v>
      </c>
      <c r="C391" s="106" t="s">
        <v>435</v>
      </c>
      <c r="D391" s="107">
        <v>81.209999999999994</v>
      </c>
    </row>
    <row r="392" spans="1:4" ht="25.5" x14ac:dyDescent="0.25">
      <c r="A392" s="104">
        <v>95218</v>
      </c>
      <c r="B392" s="105" t="s">
        <v>1092</v>
      </c>
      <c r="C392" s="106" t="s">
        <v>435</v>
      </c>
      <c r="D392" s="107">
        <v>20.27</v>
      </c>
    </row>
    <row r="393" spans="1:4" ht="25.5" x14ac:dyDescent="0.25">
      <c r="A393" s="104">
        <v>95258</v>
      </c>
      <c r="B393" s="105" t="s">
        <v>1093</v>
      </c>
      <c r="C393" s="106" t="s">
        <v>435</v>
      </c>
      <c r="D393" s="107">
        <v>14.74</v>
      </c>
    </row>
    <row r="394" spans="1:4" ht="25.5" x14ac:dyDescent="0.25">
      <c r="A394" s="104">
        <v>95264</v>
      </c>
      <c r="B394" s="105" t="s">
        <v>1094</v>
      </c>
      <c r="C394" s="106" t="s">
        <v>435</v>
      </c>
      <c r="D394" s="107">
        <v>5.01</v>
      </c>
    </row>
    <row r="395" spans="1:4" ht="38.25" x14ac:dyDescent="0.25">
      <c r="A395" s="104">
        <v>95270</v>
      </c>
      <c r="B395" s="105" t="s">
        <v>1095</v>
      </c>
      <c r="C395" s="106" t="s">
        <v>435</v>
      </c>
      <c r="D395" s="107">
        <v>6.47</v>
      </c>
    </row>
    <row r="396" spans="1:4" ht="25.5" x14ac:dyDescent="0.25">
      <c r="A396" s="104">
        <v>95276</v>
      </c>
      <c r="B396" s="105" t="s">
        <v>1096</v>
      </c>
      <c r="C396" s="106" t="s">
        <v>435</v>
      </c>
      <c r="D396" s="107">
        <v>2.82</v>
      </c>
    </row>
    <row r="397" spans="1:4" ht="25.5" x14ac:dyDescent="0.25">
      <c r="A397" s="104">
        <v>95282</v>
      </c>
      <c r="B397" s="105" t="s">
        <v>1097</v>
      </c>
      <c r="C397" s="106" t="s">
        <v>435</v>
      </c>
      <c r="D397" s="107">
        <v>6.45</v>
      </c>
    </row>
    <row r="398" spans="1:4" ht="38.25" x14ac:dyDescent="0.25">
      <c r="A398" s="104">
        <v>95620</v>
      </c>
      <c r="B398" s="105" t="s">
        <v>1098</v>
      </c>
      <c r="C398" s="106" t="s">
        <v>435</v>
      </c>
      <c r="D398" s="107">
        <v>14.15</v>
      </c>
    </row>
    <row r="399" spans="1:4" ht="38.25" x14ac:dyDescent="0.25">
      <c r="A399" s="104">
        <v>95631</v>
      </c>
      <c r="B399" s="105" t="s">
        <v>1099</v>
      </c>
      <c r="C399" s="106" t="s">
        <v>435</v>
      </c>
      <c r="D399" s="109">
        <v>119</v>
      </c>
    </row>
    <row r="400" spans="1:4" ht="25.5" x14ac:dyDescent="0.25">
      <c r="A400" s="104">
        <v>95702</v>
      </c>
      <c r="B400" s="105" t="s">
        <v>1100</v>
      </c>
      <c r="C400" s="106" t="s">
        <v>435</v>
      </c>
      <c r="D400" s="107">
        <v>27.01</v>
      </c>
    </row>
    <row r="401" spans="1:4" ht="25.5" x14ac:dyDescent="0.25">
      <c r="A401" s="104">
        <v>95708</v>
      </c>
      <c r="B401" s="105" t="s">
        <v>1101</v>
      </c>
      <c r="C401" s="106" t="s">
        <v>435</v>
      </c>
      <c r="D401" s="107">
        <v>100.58</v>
      </c>
    </row>
    <row r="402" spans="1:4" ht="38.25" x14ac:dyDescent="0.25">
      <c r="A402" s="104">
        <v>95714</v>
      </c>
      <c r="B402" s="105" t="s">
        <v>1102</v>
      </c>
      <c r="C402" s="106" t="s">
        <v>435</v>
      </c>
      <c r="D402" s="107">
        <v>135.91999999999999</v>
      </c>
    </row>
    <row r="403" spans="1:4" ht="51" x14ac:dyDescent="0.25">
      <c r="A403" s="104">
        <v>95720</v>
      </c>
      <c r="B403" s="105" t="s">
        <v>1103</v>
      </c>
      <c r="C403" s="106" t="s">
        <v>435</v>
      </c>
      <c r="D403" s="107">
        <v>133.29</v>
      </c>
    </row>
    <row r="404" spans="1:4" ht="25.5" x14ac:dyDescent="0.25">
      <c r="A404" s="104">
        <v>95872</v>
      </c>
      <c r="B404" s="105" t="s">
        <v>1104</v>
      </c>
      <c r="C404" s="106" t="s">
        <v>435</v>
      </c>
      <c r="D404" s="107">
        <v>161.71</v>
      </c>
    </row>
    <row r="405" spans="1:4" ht="25.5" x14ac:dyDescent="0.25">
      <c r="A405" s="104">
        <v>96013</v>
      </c>
      <c r="B405" s="105" t="s">
        <v>1105</v>
      </c>
      <c r="C405" s="106" t="s">
        <v>435</v>
      </c>
      <c r="D405" s="107">
        <v>133.37</v>
      </c>
    </row>
    <row r="406" spans="1:4" ht="25.5" x14ac:dyDescent="0.25">
      <c r="A406" s="104">
        <v>96020</v>
      </c>
      <c r="B406" s="105" t="s">
        <v>1106</v>
      </c>
      <c r="C406" s="106" t="s">
        <v>435</v>
      </c>
      <c r="D406" s="107">
        <v>133.13</v>
      </c>
    </row>
    <row r="407" spans="1:4" ht="25.5" x14ac:dyDescent="0.25">
      <c r="A407" s="104">
        <v>96028</v>
      </c>
      <c r="B407" s="105" t="s">
        <v>1107</v>
      </c>
      <c r="C407" s="106" t="s">
        <v>435</v>
      </c>
      <c r="D407" s="107">
        <v>98.89</v>
      </c>
    </row>
    <row r="408" spans="1:4" ht="38.25" x14ac:dyDescent="0.25">
      <c r="A408" s="104">
        <v>96035</v>
      </c>
      <c r="B408" s="105" t="s">
        <v>1108</v>
      </c>
      <c r="C408" s="106" t="s">
        <v>435</v>
      </c>
      <c r="D408" s="107">
        <v>140.44999999999999</v>
      </c>
    </row>
    <row r="409" spans="1:4" ht="25.5" x14ac:dyDescent="0.25">
      <c r="A409" s="104">
        <v>96157</v>
      </c>
      <c r="B409" s="105" t="s">
        <v>1109</v>
      </c>
      <c r="C409" s="106" t="s">
        <v>435</v>
      </c>
      <c r="D409" s="107">
        <v>99.13</v>
      </c>
    </row>
    <row r="410" spans="1:4" ht="38.25" x14ac:dyDescent="0.25">
      <c r="A410" s="104">
        <v>96158</v>
      </c>
      <c r="B410" s="105" t="s">
        <v>1110</v>
      </c>
      <c r="C410" s="106" t="s">
        <v>435</v>
      </c>
      <c r="D410" s="107">
        <v>81.27</v>
      </c>
    </row>
    <row r="411" spans="1:4" ht="25.5" x14ac:dyDescent="0.25">
      <c r="A411" s="104">
        <v>96245</v>
      </c>
      <c r="B411" s="105" t="s">
        <v>1111</v>
      </c>
      <c r="C411" s="106" t="s">
        <v>435</v>
      </c>
      <c r="D411" s="107">
        <v>60.07</v>
      </c>
    </row>
    <row r="412" spans="1:4" ht="25.5" x14ac:dyDescent="0.25">
      <c r="A412" s="104">
        <v>96303</v>
      </c>
      <c r="B412" s="105" t="s">
        <v>1112</v>
      </c>
      <c r="C412" s="106" t="s">
        <v>435</v>
      </c>
      <c r="D412" s="107">
        <v>131.97999999999999</v>
      </c>
    </row>
    <row r="413" spans="1:4" ht="38.25" x14ac:dyDescent="0.25">
      <c r="A413" s="104">
        <v>96309</v>
      </c>
      <c r="B413" s="105" t="s">
        <v>1113</v>
      </c>
      <c r="C413" s="106" t="s">
        <v>435</v>
      </c>
      <c r="D413" s="107">
        <v>1.28</v>
      </c>
    </row>
    <row r="414" spans="1:4" ht="38.25" x14ac:dyDescent="0.25">
      <c r="A414" s="104">
        <v>96463</v>
      </c>
      <c r="B414" s="105" t="s">
        <v>1114</v>
      </c>
      <c r="C414" s="106" t="s">
        <v>435</v>
      </c>
      <c r="D414" s="107">
        <v>111.35</v>
      </c>
    </row>
    <row r="415" spans="1:4" ht="38.25" x14ac:dyDescent="0.25">
      <c r="A415" s="104">
        <v>98764</v>
      </c>
      <c r="B415" s="105" t="s">
        <v>1115</v>
      </c>
      <c r="C415" s="106" t="s">
        <v>435</v>
      </c>
      <c r="D415" s="107">
        <v>3.95</v>
      </c>
    </row>
    <row r="416" spans="1:4" ht="38.25" x14ac:dyDescent="0.25">
      <c r="A416" s="104">
        <v>99833</v>
      </c>
      <c r="B416" s="105" t="s">
        <v>1116</v>
      </c>
      <c r="C416" s="106" t="s">
        <v>435</v>
      </c>
      <c r="D416" s="107">
        <v>1.62</v>
      </c>
    </row>
    <row r="417" spans="1:4" ht="25.5" x14ac:dyDescent="0.25">
      <c r="A417" s="104">
        <v>100641</v>
      </c>
      <c r="B417" s="105" t="s">
        <v>10775</v>
      </c>
      <c r="C417" s="106" t="s">
        <v>435</v>
      </c>
      <c r="D417" s="107">
        <v>432.96</v>
      </c>
    </row>
    <row r="418" spans="1:4" ht="25.5" x14ac:dyDescent="0.25">
      <c r="A418" s="104">
        <v>100647</v>
      </c>
      <c r="B418" s="105" t="s">
        <v>10776</v>
      </c>
      <c r="C418" s="106" t="s">
        <v>435</v>
      </c>
      <c r="D418" s="107">
        <v>884.61</v>
      </c>
    </row>
    <row r="419" spans="1:4" ht="38.25" x14ac:dyDescent="0.25">
      <c r="A419" s="104">
        <v>5632</v>
      </c>
      <c r="B419" s="105" t="s">
        <v>498</v>
      </c>
      <c r="C419" s="106" t="s">
        <v>437</v>
      </c>
      <c r="D419" s="107">
        <v>45.07</v>
      </c>
    </row>
    <row r="420" spans="1:4" ht="51" x14ac:dyDescent="0.25">
      <c r="A420" s="104">
        <v>5679</v>
      </c>
      <c r="B420" s="105" t="s">
        <v>1117</v>
      </c>
      <c r="C420" s="106" t="s">
        <v>437</v>
      </c>
      <c r="D420" s="107">
        <v>32.6</v>
      </c>
    </row>
    <row r="421" spans="1:4" ht="51" x14ac:dyDescent="0.25">
      <c r="A421" s="104">
        <v>5681</v>
      </c>
      <c r="B421" s="105" t="s">
        <v>1118</v>
      </c>
      <c r="C421" s="106" t="s">
        <v>437</v>
      </c>
      <c r="D421" s="107">
        <v>30.81</v>
      </c>
    </row>
    <row r="422" spans="1:4" ht="51" x14ac:dyDescent="0.25">
      <c r="A422" s="104">
        <v>5685</v>
      </c>
      <c r="B422" s="105" t="s">
        <v>1119</v>
      </c>
      <c r="C422" s="106" t="s">
        <v>437</v>
      </c>
      <c r="D422" s="107">
        <v>31.59</v>
      </c>
    </row>
    <row r="423" spans="1:4" ht="25.5" x14ac:dyDescent="0.25">
      <c r="A423" s="104">
        <v>5690</v>
      </c>
      <c r="B423" s="105" t="s">
        <v>1120</v>
      </c>
      <c r="C423" s="106" t="s">
        <v>437</v>
      </c>
      <c r="D423" s="107">
        <v>1.98</v>
      </c>
    </row>
    <row r="424" spans="1:4" ht="38.25" x14ac:dyDescent="0.25">
      <c r="A424" s="104">
        <v>5806</v>
      </c>
      <c r="B424" s="105" t="s">
        <v>1121</v>
      </c>
      <c r="C424" s="106" t="s">
        <v>437</v>
      </c>
      <c r="D424" s="107">
        <v>0.16</v>
      </c>
    </row>
    <row r="425" spans="1:4" ht="51" x14ac:dyDescent="0.25">
      <c r="A425" s="104">
        <v>5826</v>
      </c>
      <c r="B425" s="105" t="s">
        <v>1122</v>
      </c>
      <c r="C425" s="106" t="s">
        <v>437</v>
      </c>
      <c r="D425" s="107">
        <v>23.75</v>
      </c>
    </row>
    <row r="426" spans="1:4" ht="25.5" x14ac:dyDescent="0.25">
      <c r="A426" s="104">
        <v>5829</v>
      </c>
      <c r="B426" s="105" t="s">
        <v>1123</v>
      </c>
      <c r="C426" s="106" t="s">
        <v>437</v>
      </c>
      <c r="D426" s="107">
        <v>108.73</v>
      </c>
    </row>
    <row r="427" spans="1:4" ht="38.25" x14ac:dyDescent="0.25">
      <c r="A427" s="104">
        <v>5837</v>
      </c>
      <c r="B427" s="105" t="s">
        <v>1124</v>
      </c>
      <c r="C427" s="106" t="s">
        <v>437</v>
      </c>
      <c r="D427" s="107">
        <v>91.91</v>
      </c>
    </row>
    <row r="428" spans="1:4" ht="25.5" x14ac:dyDescent="0.25">
      <c r="A428" s="104">
        <v>5841</v>
      </c>
      <c r="B428" s="105" t="s">
        <v>1125</v>
      </c>
      <c r="C428" s="106" t="s">
        <v>437</v>
      </c>
      <c r="D428" s="107">
        <v>2.2799999999999998</v>
      </c>
    </row>
    <row r="429" spans="1:4" ht="25.5" x14ac:dyDescent="0.25">
      <c r="A429" s="104">
        <v>5845</v>
      </c>
      <c r="B429" s="105" t="s">
        <v>1126</v>
      </c>
      <c r="C429" s="106" t="s">
        <v>437</v>
      </c>
      <c r="D429" s="107">
        <v>24.73</v>
      </c>
    </row>
    <row r="430" spans="1:4" ht="25.5" x14ac:dyDescent="0.25">
      <c r="A430" s="104">
        <v>5849</v>
      </c>
      <c r="B430" s="105" t="s">
        <v>1127</v>
      </c>
      <c r="C430" s="106" t="s">
        <v>437</v>
      </c>
      <c r="D430" s="107">
        <v>39.68</v>
      </c>
    </row>
    <row r="431" spans="1:4" ht="38.25" x14ac:dyDescent="0.25">
      <c r="A431" s="104">
        <v>5853</v>
      </c>
      <c r="B431" s="105" t="s">
        <v>1128</v>
      </c>
      <c r="C431" s="106" t="s">
        <v>437</v>
      </c>
      <c r="D431" s="107">
        <v>39.840000000000003</v>
      </c>
    </row>
    <row r="432" spans="1:4" ht="25.5" x14ac:dyDescent="0.25">
      <c r="A432" s="104">
        <v>5857</v>
      </c>
      <c r="B432" s="105" t="s">
        <v>1129</v>
      </c>
      <c r="C432" s="106" t="s">
        <v>437</v>
      </c>
      <c r="D432" s="107">
        <v>99.67</v>
      </c>
    </row>
    <row r="433" spans="1:4" ht="38.25" x14ac:dyDescent="0.25">
      <c r="A433" s="104">
        <v>5865</v>
      </c>
      <c r="B433" s="105" t="s">
        <v>1130</v>
      </c>
      <c r="C433" s="106" t="s">
        <v>437</v>
      </c>
      <c r="D433" s="107">
        <v>5.46</v>
      </c>
    </row>
    <row r="434" spans="1:4" ht="38.25" x14ac:dyDescent="0.25">
      <c r="A434" s="104">
        <v>5869</v>
      </c>
      <c r="B434" s="105" t="s">
        <v>1131</v>
      </c>
      <c r="C434" s="106" t="s">
        <v>437</v>
      </c>
      <c r="D434" s="107">
        <v>35.72</v>
      </c>
    </row>
    <row r="435" spans="1:4" ht="51" x14ac:dyDescent="0.25">
      <c r="A435" s="104">
        <v>5877</v>
      </c>
      <c r="B435" s="105" t="s">
        <v>1132</v>
      </c>
      <c r="C435" s="106" t="s">
        <v>437</v>
      </c>
      <c r="D435" s="107">
        <v>32.03</v>
      </c>
    </row>
    <row r="436" spans="1:4" ht="38.25" x14ac:dyDescent="0.25">
      <c r="A436" s="104">
        <v>5881</v>
      </c>
      <c r="B436" s="105" t="s">
        <v>1133</v>
      </c>
      <c r="C436" s="106" t="s">
        <v>437</v>
      </c>
      <c r="D436" s="107">
        <v>38.229999999999997</v>
      </c>
    </row>
    <row r="437" spans="1:4" ht="51" x14ac:dyDescent="0.25">
      <c r="A437" s="104">
        <v>5884</v>
      </c>
      <c r="B437" s="105" t="s">
        <v>1134</v>
      </c>
      <c r="C437" s="106" t="s">
        <v>437</v>
      </c>
      <c r="D437" s="107">
        <v>31.97</v>
      </c>
    </row>
    <row r="438" spans="1:4" ht="38.25" x14ac:dyDescent="0.25">
      <c r="A438" s="104">
        <v>5892</v>
      </c>
      <c r="B438" s="105" t="s">
        <v>1135</v>
      </c>
      <c r="C438" s="106" t="s">
        <v>437</v>
      </c>
      <c r="D438" s="107">
        <v>24.63</v>
      </c>
    </row>
    <row r="439" spans="1:4" ht="38.25" x14ac:dyDescent="0.25">
      <c r="A439" s="104">
        <v>5896</v>
      </c>
      <c r="B439" s="105" t="s">
        <v>1136</v>
      </c>
      <c r="C439" s="106" t="s">
        <v>437</v>
      </c>
      <c r="D439" s="107">
        <v>22.98</v>
      </c>
    </row>
    <row r="440" spans="1:4" ht="51" x14ac:dyDescent="0.25">
      <c r="A440" s="104">
        <v>5903</v>
      </c>
      <c r="B440" s="105" t="s">
        <v>1137</v>
      </c>
      <c r="C440" s="106" t="s">
        <v>437</v>
      </c>
      <c r="D440" s="107">
        <v>29.6</v>
      </c>
    </row>
    <row r="441" spans="1:4" ht="38.25" x14ac:dyDescent="0.25">
      <c r="A441" s="104">
        <v>5911</v>
      </c>
      <c r="B441" s="105" t="s">
        <v>1138</v>
      </c>
      <c r="C441" s="106" t="s">
        <v>437</v>
      </c>
      <c r="D441" s="107">
        <v>17.36</v>
      </c>
    </row>
    <row r="442" spans="1:4" ht="25.5" x14ac:dyDescent="0.25">
      <c r="A442" s="104">
        <v>5923</v>
      </c>
      <c r="B442" s="105" t="s">
        <v>1139</v>
      </c>
      <c r="C442" s="106" t="s">
        <v>437</v>
      </c>
      <c r="D442" s="107">
        <v>1.55</v>
      </c>
    </row>
    <row r="443" spans="1:4" ht="51" x14ac:dyDescent="0.25">
      <c r="A443" s="104">
        <v>5930</v>
      </c>
      <c r="B443" s="105" t="s">
        <v>1140</v>
      </c>
      <c r="C443" s="106" t="s">
        <v>437</v>
      </c>
      <c r="D443" s="107">
        <v>28.05</v>
      </c>
    </row>
    <row r="444" spans="1:4" ht="38.25" x14ac:dyDescent="0.25">
      <c r="A444" s="104">
        <v>5934</v>
      </c>
      <c r="B444" s="105" t="s">
        <v>1141</v>
      </c>
      <c r="C444" s="106" t="s">
        <v>437</v>
      </c>
      <c r="D444" s="107">
        <v>43.74</v>
      </c>
    </row>
    <row r="445" spans="1:4" ht="38.25" x14ac:dyDescent="0.25">
      <c r="A445" s="104">
        <v>5942</v>
      </c>
      <c r="B445" s="105" t="s">
        <v>1142</v>
      </c>
      <c r="C445" s="106" t="s">
        <v>437</v>
      </c>
      <c r="D445" s="107">
        <v>38.79</v>
      </c>
    </row>
    <row r="446" spans="1:4" ht="38.25" x14ac:dyDescent="0.25">
      <c r="A446" s="104">
        <v>5946</v>
      </c>
      <c r="B446" s="105" t="s">
        <v>1143</v>
      </c>
      <c r="C446" s="106" t="s">
        <v>437</v>
      </c>
      <c r="D446" s="107">
        <v>48.26</v>
      </c>
    </row>
    <row r="447" spans="1:4" ht="25.5" x14ac:dyDescent="0.25">
      <c r="A447" s="104">
        <v>5952</v>
      </c>
      <c r="B447" s="105" t="s">
        <v>1144</v>
      </c>
      <c r="C447" s="106" t="s">
        <v>437</v>
      </c>
      <c r="D447" s="107">
        <v>13.2</v>
      </c>
    </row>
    <row r="448" spans="1:4" ht="38.25" x14ac:dyDescent="0.25">
      <c r="A448" s="104">
        <v>5954</v>
      </c>
      <c r="B448" s="105" t="s">
        <v>1145</v>
      </c>
      <c r="C448" s="106" t="s">
        <v>437</v>
      </c>
      <c r="D448" s="107">
        <v>2.65</v>
      </c>
    </row>
    <row r="449" spans="1:4" ht="38.25" x14ac:dyDescent="0.25">
      <c r="A449" s="104">
        <v>5961</v>
      </c>
      <c r="B449" s="105" t="s">
        <v>1146</v>
      </c>
      <c r="C449" s="106" t="s">
        <v>437</v>
      </c>
      <c r="D449" s="107">
        <v>28.63</v>
      </c>
    </row>
    <row r="450" spans="1:4" ht="51" x14ac:dyDescent="0.25">
      <c r="A450" s="104">
        <v>6260</v>
      </c>
      <c r="B450" s="105" t="s">
        <v>1147</v>
      </c>
      <c r="C450" s="106" t="s">
        <v>437</v>
      </c>
      <c r="D450" s="107">
        <v>26.21</v>
      </c>
    </row>
    <row r="451" spans="1:4" ht="38.25" x14ac:dyDescent="0.25">
      <c r="A451" s="104">
        <v>6880</v>
      </c>
      <c r="B451" s="105" t="s">
        <v>1148</v>
      </c>
      <c r="C451" s="106" t="s">
        <v>437</v>
      </c>
      <c r="D451" s="107">
        <v>41.79</v>
      </c>
    </row>
    <row r="452" spans="1:4" ht="25.5" x14ac:dyDescent="0.25">
      <c r="A452" s="104">
        <v>7031</v>
      </c>
      <c r="B452" s="105" t="s">
        <v>1149</v>
      </c>
      <c r="C452" s="106" t="s">
        <v>437</v>
      </c>
      <c r="D452" s="107">
        <v>3.75</v>
      </c>
    </row>
    <row r="453" spans="1:4" ht="51" x14ac:dyDescent="0.25">
      <c r="A453" s="104">
        <v>7043</v>
      </c>
      <c r="B453" s="105" t="s">
        <v>1150</v>
      </c>
      <c r="C453" s="106" t="s">
        <v>437</v>
      </c>
      <c r="D453" s="107">
        <v>0.21</v>
      </c>
    </row>
    <row r="454" spans="1:4" ht="51" x14ac:dyDescent="0.25">
      <c r="A454" s="104">
        <v>7050</v>
      </c>
      <c r="B454" s="105" t="s">
        <v>1151</v>
      </c>
      <c r="C454" s="106" t="s">
        <v>437</v>
      </c>
      <c r="D454" s="107">
        <v>38.590000000000003</v>
      </c>
    </row>
    <row r="455" spans="1:4" ht="51" x14ac:dyDescent="0.25">
      <c r="A455" s="104">
        <v>67827</v>
      </c>
      <c r="B455" s="105" t="s">
        <v>1152</v>
      </c>
      <c r="C455" s="106" t="s">
        <v>437</v>
      </c>
      <c r="D455" s="107">
        <v>27.96</v>
      </c>
    </row>
    <row r="456" spans="1:4" ht="25.5" x14ac:dyDescent="0.25">
      <c r="A456" s="104">
        <v>73395</v>
      </c>
      <c r="B456" s="105" t="s">
        <v>1153</v>
      </c>
      <c r="C456" s="106" t="s">
        <v>437</v>
      </c>
      <c r="D456" s="107">
        <v>5.18</v>
      </c>
    </row>
    <row r="457" spans="1:4" ht="38.25" x14ac:dyDescent="0.25">
      <c r="A457" s="104">
        <v>83766</v>
      </c>
      <c r="B457" s="105" t="s">
        <v>1154</v>
      </c>
      <c r="C457" s="106" t="s">
        <v>437</v>
      </c>
      <c r="D457" s="107">
        <v>28.39</v>
      </c>
    </row>
    <row r="458" spans="1:4" ht="38.25" x14ac:dyDescent="0.25">
      <c r="A458" s="104">
        <v>84013</v>
      </c>
      <c r="B458" s="105" t="s">
        <v>1155</v>
      </c>
      <c r="C458" s="106" t="s">
        <v>437</v>
      </c>
      <c r="D458" s="107">
        <v>43.75</v>
      </c>
    </row>
    <row r="459" spans="1:4" ht="38.25" x14ac:dyDescent="0.25">
      <c r="A459" s="104">
        <v>87446</v>
      </c>
      <c r="B459" s="105" t="s">
        <v>1156</v>
      </c>
      <c r="C459" s="106" t="s">
        <v>437</v>
      </c>
      <c r="D459" s="107">
        <v>0.35</v>
      </c>
    </row>
    <row r="460" spans="1:4" ht="38.25" x14ac:dyDescent="0.25">
      <c r="A460" s="104">
        <v>88392</v>
      </c>
      <c r="B460" s="105" t="s">
        <v>1157</v>
      </c>
      <c r="C460" s="106" t="s">
        <v>437</v>
      </c>
      <c r="D460" s="107">
        <v>0.69</v>
      </c>
    </row>
    <row r="461" spans="1:4" ht="38.25" x14ac:dyDescent="0.25">
      <c r="A461" s="104">
        <v>88398</v>
      </c>
      <c r="B461" s="105" t="s">
        <v>1158</v>
      </c>
      <c r="C461" s="106" t="s">
        <v>437</v>
      </c>
      <c r="D461" s="107">
        <v>0.82</v>
      </c>
    </row>
    <row r="462" spans="1:4" ht="38.25" x14ac:dyDescent="0.25">
      <c r="A462" s="104">
        <v>88404</v>
      </c>
      <c r="B462" s="105" t="s">
        <v>1159</v>
      </c>
      <c r="C462" s="106" t="s">
        <v>437</v>
      </c>
      <c r="D462" s="107">
        <v>0.66</v>
      </c>
    </row>
    <row r="463" spans="1:4" ht="38.25" x14ac:dyDescent="0.25">
      <c r="A463" s="104">
        <v>88430</v>
      </c>
      <c r="B463" s="105" t="s">
        <v>1160</v>
      </c>
      <c r="C463" s="106" t="s">
        <v>437</v>
      </c>
      <c r="D463" s="107">
        <v>4.3099999999999996</v>
      </c>
    </row>
    <row r="464" spans="1:4" ht="38.25" x14ac:dyDescent="0.25">
      <c r="A464" s="104">
        <v>88438</v>
      </c>
      <c r="B464" s="105" t="s">
        <v>1161</v>
      </c>
      <c r="C464" s="106" t="s">
        <v>437</v>
      </c>
      <c r="D464" s="107">
        <v>5.71</v>
      </c>
    </row>
    <row r="465" spans="1:4" ht="38.25" x14ac:dyDescent="0.25">
      <c r="A465" s="104">
        <v>88831</v>
      </c>
      <c r="B465" s="105" t="s">
        <v>1162</v>
      </c>
      <c r="C465" s="106" t="s">
        <v>437</v>
      </c>
      <c r="D465" s="107">
        <v>0.25</v>
      </c>
    </row>
    <row r="466" spans="1:4" ht="25.5" x14ac:dyDescent="0.25">
      <c r="A466" s="104">
        <v>88844</v>
      </c>
      <c r="B466" s="105" t="s">
        <v>1163</v>
      </c>
      <c r="C466" s="106" t="s">
        <v>437</v>
      </c>
      <c r="D466" s="107">
        <v>34.770000000000003</v>
      </c>
    </row>
    <row r="467" spans="1:4" ht="38.25" x14ac:dyDescent="0.25">
      <c r="A467" s="104">
        <v>88908</v>
      </c>
      <c r="B467" s="105" t="s">
        <v>1164</v>
      </c>
      <c r="C467" s="106" t="s">
        <v>437</v>
      </c>
      <c r="D467" s="107">
        <v>48.28</v>
      </c>
    </row>
    <row r="468" spans="1:4" ht="38.25" x14ac:dyDescent="0.25">
      <c r="A468" s="104">
        <v>89022</v>
      </c>
      <c r="B468" s="105" t="s">
        <v>1165</v>
      </c>
      <c r="C468" s="106" t="s">
        <v>437</v>
      </c>
      <c r="D468" s="107">
        <v>0.3</v>
      </c>
    </row>
    <row r="469" spans="1:4" ht="25.5" x14ac:dyDescent="0.25">
      <c r="A469" s="104">
        <v>89027</v>
      </c>
      <c r="B469" s="105" t="s">
        <v>1166</v>
      </c>
      <c r="C469" s="106" t="s">
        <v>437</v>
      </c>
      <c r="D469" s="107">
        <v>3.05</v>
      </c>
    </row>
    <row r="470" spans="1:4" ht="25.5" x14ac:dyDescent="0.25">
      <c r="A470" s="104">
        <v>89031</v>
      </c>
      <c r="B470" s="105" t="s">
        <v>1167</v>
      </c>
      <c r="C470" s="106" t="s">
        <v>437</v>
      </c>
      <c r="D470" s="107">
        <v>33.83</v>
      </c>
    </row>
    <row r="471" spans="1:4" ht="25.5" x14ac:dyDescent="0.25">
      <c r="A471" s="104">
        <v>89036</v>
      </c>
      <c r="B471" s="105" t="s">
        <v>1168</v>
      </c>
      <c r="C471" s="106" t="s">
        <v>437</v>
      </c>
      <c r="D471" s="107">
        <v>21.74</v>
      </c>
    </row>
    <row r="472" spans="1:4" ht="25.5" x14ac:dyDescent="0.25">
      <c r="A472" s="104">
        <v>89218</v>
      </c>
      <c r="B472" s="105" t="s">
        <v>1169</v>
      </c>
      <c r="C472" s="106" t="s">
        <v>437</v>
      </c>
      <c r="D472" s="107">
        <v>47.07</v>
      </c>
    </row>
    <row r="473" spans="1:4" ht="38.25" x14ac:dyDescent="0.25">
      <c r="A473" s="104">
        <v>89226</v>
      </c>
      <c r="B473" s="105" t="s">
        <v>1170</v>
      </c>
      <c r="C473" s="106" t="s">
        <v>437</v>
      </c>
      <c r="D473" s="107">
        <v>1.07</v>
      </c>
    </row>
    <row r="474" spans="1:4" ht="25.5" x14ac:dyDescent="0.25">
      <c r="A474" s="104">
        <v>89235</v>
      </c>
      <c r="B474" s="105" t="s">
        <v>1171</v>
      </c>
      <c r="C474" s="106" t="s">
        <v>437</v>
      </c>
      <c r="D474" s="107">
        <v>119.98</v>
      </c>
    </row>
    <row r="475" spans="1:4" ht="25.5" x14ac:dyDescent="0.25">
      <c r="A475" s="104">
        <v>89243</v>
      </c>
      <c r="B475" s="105" t="s">
        <v>1172</v>
      </c>
      <c r="C475" s="106" t="s">
        <v>437</v>
      </c>
      <c r="D475" s="107">
        <v>259.04000000000002</v>
      </c>
    </row>
    <row r="476" spans="1:4" ht="25.5" x14ac:dyDescent="0.25">
      <c r="A476" s="104">
        <v>89251</v>
      </c>
      <c r="B476" s="105" t="s">
        <v>1173</v>
      </c>
      <c r="C476" s="106" t="s">
        <v>437</v>
      </c>
      <c r="D476" s="107">
        <v>227.17</v>
      </c>
    </row>
    <row r="477" spans="1:4" ht="38.25" x14ac:dyDescent="0.25">
      <c r="A477" s="104">
        <v>89258</v>
      </c>
      <c r="B477" s="105" t="s">
        <v>1174</v>
      </c>
      <c r="C477" s="106" t="s">
        <v>437</v>
      </c>
      <c r="D477" s="107">
        <v>78.19</v>
      </c>
    </row>
    <row r="478" spans="1:4" ht="38.25" x14ac:dyDescent="0.25">
      <c r="A478" s="104">
        <v>89273</v>
      </c>
      <c r="B478" s="105" t="s">
        <v>1175</v>
      </c>
      <c r="C478" s="106" t="s">
        <v>437</v>
      </c>
      <c r="D478" s="107">
        <v>46.05</v>
      </c>
    </row>
    <row r="479" spans="1:4" ht="38.25" x14ac:dyDescent="0.25">
      <c r="A479" s="104">
        <v>89279</v>
      </c>
      <c r="B479" s="105" t="s">
        <v>1176</v>
      </c>
      <c r="C479" s="106" t="s">
        <v>437</v>
      </c>
      <c r="D479" s="107">
        <v>1.3</v>
      </c>
    </row>
    <row r="480" spans="1:4" ht="51" x14ac:dyDescent="0.25">
      <c r="A480" s="104">
        <v>89877</v>
      </c>
      <c r="B480" s="105" t="s">
        <v>1177</v>
      </c>
      <c r="C480" s="106" t="s">
        <v>437</v>
      </c>
      <c r="D480" s="107">
        <v>39.049999999999997</v>
      </c>
    </row>
    <row r="481" spans="1:4" ht="51" x14ac:dyDescent="0.25">
      <c r="A481" s="104">
        <v>89884</v>
      </c>
      <c r="B481" s="105" t="s">
        <v>1178</v>
      </c>
      <c r="C481" s="106" t="s">
        <v>437</v>
      </c>
      <c r="D481" s="107">
        <v>40.43</v>
      </c>
    </row>
    <row r="482" spans="1:4" ht="25.5" x14ac:dyDescent="0.25">
      <c r="A482" s="104">
        <v>90587</v>
      </c>
      <c r="B482" s="105" t="s">
        <v>502</v>
      </c>
      <c r="C482" s="106" t="s">
        <v>437</v>
      </c>
      <c r="D482" s="107">
        <v>0.34</v>
      </c>
    </row>
    <row r="483" spans="1:4" ht="25.5" x14ac:dyDescent="0.25">
      <c r="A483" s="104">
        <v>90626</v>
      </c>
      <c r="B483" s="105" t="s">
        <v>1179</v>
      </c>
      <c r="C483" s="106" t="s">
        <v>437</v>
      </c>
      <c r="D483" s="107">
        <v>2.33</v>
      </c>
    </row>
    <row r="484" spans="1:4" ht="38.25" x14ac:dyDescent="0.25">
      <c r="A484" s="104">
        <v>90632</v>
      </c>
      <c r="B484" s="105" t="s">
        <v>1180</v>
      </c>
      <c r="C484" s="106" t="s">
        <v>437</v>
      </c>
      <c r="D484" s="107">
        <v>42.79</v>
      </c>
    </row>
    <row r="485" spans="1:4" ht="51" x14ac:dyDescent="0.25">
      <c r="A485" s="104">
        <v>90638</v>
      </c>
      <c r="B485" s="105" t="s">
        <v>1181</v>
      </c>
      <c r="C485" s="106" t="s">
        <v>437</v>
      </c>
      <c r="D485" s="107">
        <v>3.32</v>
      </c>
    </row>
    <row r="486" spans="1:4" ht="38.25" x14ac:dyDescent="0.25">
      <c r="A486" s="104">
        <v>90644</v>
      </c>
      <c r="B486" s="105" t="s">
        <v>1182</v>
      </c>
      <c r="C486" s="106" t="s">
        <v>437</v>
      </c>
      <c r="D486" s="107">
        <v>4.95</v>
      </c>
    </row>
    <row r="487" spans="1:4" ht="51" x14ac:dyDescent="0.25">
      <c r="A487" s="104">
        <v>90651</v>
      </c>
      <c r="B487" s="105" t="s">
        <v>1183</v>
      </c>
      <c r="C487" s="106" t="s">
        <v>437</v>
      </c>
      <c r="D487" s="107">
        <v>0.61</v>
      </c>
    </row>
    <row r="488" spans="1:4" ht="25.5" x14ac:dyDescent="0.25">
      <c r="A488" s="104">
        <v>90657</v>
      </c>
      <c r="B488" s="105" t="s">
        <v>1184</v>
      </c>
      <c r="C488" s="106" t="s">
        <v>437</v>
      </c>
      <c r="D488" s="107">
        <v>3.22</v>
      </c>
    </row>
    <row r="489" spans="1:4" ht="25.5" x14ac:dyDescent="0.25">
      <c r="A489" s="104">
        <v>90663</v>
      </c>
      <c r="B489" s="105" t="s">
        <v>1185</v>
      </c>
      <c r="C489" s="106" t="s">
        <v>437</v>
      </c>
      <c r="D489" s="107">
        <v>3.45</v>
      </c>
    </row>
    <row r="490" spans="1:4" ht="51" x14ac:dyDescent="0.25">
      <c r="A490" s="104">
        <v>90669</v>
      </c>
      <c r="B490" s="105" t="s">
        <v>1186</v>
      </c>
      <c r="C490" s="106" t="s">
        <v>437</v>
      </c>
      <c r="D490" s="107">
        <v>4.2</v>
      </c>
    </row>
    <row r="491" spans="1:4" ht="63.75" x14ac:dyDescent="0.25">
      <c r="A491" s="104">
        <v>90675</v>
      </c>
      <c r="B491" s="105" t="s">
        <v>1187</v>
      </c>
      <c r="C491" s="106" t="s">
        <v>437</v>
      </c>
      <c r="D491" s="107">
        <v>147.54</v>
      </c>
    </row>
    <row r="492" spans="1:4" ht="51" x14ac:dyDescent="0.25">
      <c r="A492" s="104">
        <v>90681</v>
      </c>
      <c r="B492" s="105" t="s">
        <v>1188</v>
      </c>
      <c r="C492" s="106" t="s">
        <v>437</v>
      </c>
      <c r="D492" s="107">
        <v>85.31</v>
      </c>
    </row>
    <row r="493" spans="1:4" ht="38.25" x14ac:dyDescent="0.25">
      <c r="A493" s="104">
        <v>90687</v>
      </c>
      <c r="B493" s="105" t="s">
        <v>1189</v>
      </c>
      <c r="C493" s="106" t="s">
        <v>437</v>
      </c>
      <c r="D493" s="107">
        <v>40.96</v>
      </c>
    </row>
    <row r="494" spans="1:4" ht="38.25" x14ac:dyDescent="0.25">
      <c r="A494" s="104">
        <v>90693</v>
      </c>
      <c r="B494" s="105" t="s">
        <v>1190</v>
      </c>
      <c r="C494" s="106" t="s">
        <v>437</v>
      </c>
      <c r="D494" s="107">
        <v>29.14</v>
      </c>
    </row>
    <row r="495" spans="1:4" ht="38.25" x14ac:dyDescent="0.25">
      <c r="A495" s="104">
        <v>90965</v>
      </c>
      <c r="B495" s="105" t="s">
        <v>1191</v>
      </c>
      <c r="C495" s="106" t="s">
        <v>437</v>
      </c>
      <c r="D495" s="107">
        <v>3.54</v>
      </c>
    </row>
    <row r="496" spans="1:4" ht="38.25" x14ac:dyDescent="0.25">
      <c r="A496" s="104">
        <v>90973</v>
      </c>
      <c r="B496" s="105" t="s">
        <v>1192</v>
      </c>
      <c r="C496" s="106" t="s">
        <v>437</v>
      </c>
      <c r="D496" s="107">
        <v>3.55</v>
      </c>
    </row>
    <row r="497" spans="1:4" ht="38.25" x14ac:dyDescent="0.25">
      <c r="A497" s="104">
        <v>90982</v>
      </c>
      <c r="B497" s="105" t="s">
        <v>1193</v>
      </c>
      <c r="C497" s="106" t="s">
        <v>437</v>
      </c>
      <c r="D497" s="107">
        <v>9.0299999999999994</v>
      </c>
    </row>
    <row r="498" spans="1:4" ht="38.25" x14ac:dyDescent="0.25">
      <c r="A498" s="104">
        <v>91001</v>
      </c>
      <c r="B498" s="105" t="s">
        <v>1194</v>
      </c>
      <c r="C498" s="106" t="s">
        <v>437</v>
      </c>
      <c r="D498" s="107">
        <v>4.21</v>
      </c>
    </row>
    <row r="499" spans="1:4" ht="38.25" x14ac:dyDescent="0.25">
      <c r="A499" s="104">
        <v>91032</v>
      </c>
      <c r="B499" s="105" t="s">
        <v>1195</v>
      </c>
      <c r="C499" s="106" t="s">
        <v>437</v>
      </c>
      <c r="D499" s="107">
        <v>27.71</v>
      </c>
    </row>
    <row r="500" spans="1:4" ht="38.25" x14ac:dyDescent="0.25">
      <c r="A500" s="104">
        <v>91278</v>
      </c>
      <c r="B500" s="105" t="s">
        <v>460</v>
      </c>
      <c r="C500" s="106" t="s">
        <v>437</v>
      </c>
      <c r="D500" s="107">
        <v>0.38</v>
      </c>
    </row>
    <row r="501" spans="1:4" ht="51" x14ac:dyDescent="0.25">
      <c r="A501" s="104">
        <v>91285</v>
      </c>
      <c r="B501" s="105" t="s">
        <v>462</v>
      </c>
      <c r="C501" s="106" t="s">
        <v>437</v>
      </c>
      <c r="D501" s="107">
        <v>0.85</v>
      </c>
    </row>
    <row r="502" spans="1:4" ht="51" x14ac:dyDescent="0.25">
      <c r="A502" s="104">
        <v>91387</v>
      </c>
      <c r="B502" s="105" t="s">
        <v>1196</v>
      </c>
      <c r="C502" s="106" t="s">
        <v>437</v>
      </c>
      <c r="D502" s="107">
        <v>30.63</v>
      </c>
    </row>
    <row r="503" spans="1:4" ht="51" x14ac:dyDescent="0.25">
      <c r="A503" s="104">
        <v>91395</v>
      </c>
      <c r="B503" s="105" t="s">
        <v>1197</v>
      </c>
      <c r="C503" s="106" t="s">
        <v>437</v>
      </c>
      <c r="D503" s="107">
        <v>25.55</v>
      </c>
    </row>
    <row r="504" spans="1:4" ht="51" x14ac:dyDescent="0.25">
      <c r="A504" s="104">
        <v>91486</v>
      </c>
      <c r="B504" s="105" t="s">
        <v>1198</v>
      </c>
      <c r="C504" s="106" t="s">
        <v>437</v>
      </c>
      <c r="D504" s="107">
        <v>30.99</v>
      </c>
    </row>
    <row r="505" spans="1:4" ht="25.5" x14ac:dyDescent="0.25">
      <c r="A505" s="104">
        <v>91534</v>
      </c>
      <c r="B505" s="105" t="s">
        <v>1199</v>
      </c>
      <c r="C505" s="106" t="s">
        <v>437</v>
      </c>
      <c r="D505" s="107">
        <v>14.07</v>
      </c>
    </row>
    <row r="506" spans="1:4" ht="51" x14ac:dyDescent="0.25">
      <c r="A506" s="104">
        <v>91635</v>
      </c>
      <c r="B506" s="105" t="s">
        <v>1200</v>
      </c>
      <c r="C506" s="106" t="s">
        <v>437</v>
      </c>
      <c r="D506" s="107">
        <v>27.11</v>
      </c>
    </row>
    <row r="507" spans="1:4" ht="51" x14ac:dyDescent="0.25">
      <c r="A507" s="104">
        <v>91646</v>
      </c>
      <c r="B507" s="105" t="s">
        <v>1201</v>
      </c>
      <c r="C507" s="106" t="s">
        <v>437</v>
      </c>
      <c r="D507" s="107">
        <v>45.16</v>
      </c>
    </row>
    <row r="508" spans="1:4" ht="25.5" x14ac:dyDescent="0.25">
      <c r="A508" s="104">
        <v>91693</v>
      </c>
      <c r="B508" s="105" t="s">
        <v>1202</v>
      </c>
      <c r="C508" s="106" t="s">
        <v>437</v>
      </c>
      <c r="D508" s="107">
        <v>13.58</v>
      </c>
    </row>
    <row r="509" spans="1:4" ht="25.5" x14ac:dyDescent="0.25">
      <c r="A509" s="104">
        <v>92044</v>
      </c>
      <c r="B509" s="105" t="s">
        <v>1203</v>
      </c>
      <c r="C509" s="106" t="s">
        <v>437</v>
      </c>
      <c r="D509" s="107">
        <v>4.5599999999999996</v>
      </c>
    </row>
    <row r="510" spans="1:4" ht="63.75" x14ac:dyDescent="0.25">
      <c r="A510" s="104">
        <v>92107</v>
      </c>
      <c r="B510" s="105" t="s">
        <v>1204</v>
      </c>
      <c r="C510" s="106" t="s">
        <v>437</v>
      </c>
      <c r="D510" s="107">
        <v>31.52</v>
      </c>
    </row>
    <row r="511" spans="1:4" ht="38.25" x14ac:dyDescent="0.25">
      <c r="A511" s="104">
        <v>92113</v>
      </c>
      <c r="B511" s="105" t="s">
        <v>1205</v>
      </c>
      <c r="C511" s="106" t="s">
        <v>437</v>
      </c>
      <c r="D511" s="107">
        <v>0.77</v>
      </c>
    </row>
    <row r="512" spans="1:4" ht="25.5" x14ac:dyDescent="0.25">
      <c r="A512" s="104">
        <v>92119</v>
      </c>
      <c r="B512" s="105" t="s">
        <v>1206</v>
      </c>
      <c r="C512" s="106" t="s">
        <v>437</v>
      </c>
      <c r="D512" s="107">
        <v>7.0000000000000007E-2</v>
      </c>
    </row>
    <row r="513" spans="1:4" ht="25.5" x14ac:dyDescent="0.25">
      <c r="A513" s="104">
        <v>92139</v>
      </c>
      <c r="B513" s="105" t="s">
        <v>1207</v>
      </c>
      <c r="C513" s="106" t="s">
        <v>437</v>
      </c>
      <c r="D513" s="107">
        <v>22.74</v>
      </c>
    </row>
    <row r="514" spans="1:4" ht="25.5" x14ac:dyDescent="0.25">
      <c r="A514" s="104">
        <v>92146</v>
      </c>
      <c r="B514" s="105" t="s">
        <v>1208</v>
      </c>
      <c r="C514" s="106" t="s">
        <v>437</v>
      </c>
      <c r="D514" s="107">
        <v>16.27</v>
      </c>
    </row>
    <row r="515" spans="1:4" ht="51" x14ac:dyDescent="0.25">
      <c r="A515" s="104">
        <v>92243</v>
      </c>
      <c r="B515" s="105" t="s">
        <v>1209</v>
      </c>
      <c r="C515" s="106" t="s">
        <v>437</v>
      </c>
      <c r="D515" s="107">
        <v>37.78</v>
      </c>
    </row>
    <row r="516" spans="1:4" ht="25.5" x14ac:dyDescent="0.25">
      <c r="A516" s="104">
        <v>92717</v>
      </c>
      <c r="B516" s="105" t="s">
        <v>1210</v>
      </c>
      <c r="C516" s="106" t="s">
        <v>437</v>
      </c>
      <c r="D516" s="107">
        <v>0.3</v>
      </c>
    </row>
    <row r="517" spans="1:4" ht="25.5" x14ac:dyDescent="0.25">
      <c r="A517" s="104">
        <v>92961</v>
      </c>
      <c r="B517" s="105" t="s">
        <v>1211</v>
      </c>
      <c r="C517" s="106" t="s">
        <v>437</v>
      </c>
      <c r="D517" s="107">
        <v>4.1900000000000004</v>
      </c>
    </row>
    <row r="518" spans="1:4" ht="25.5" x14ac:dyDescent="0.25">
      <c r="A518" s="104">
        <v>92967</v>
      </c>
      <c r="B518" s="105" t="s">
        <v>1212</v>
      </c>
      <c r="C518" s="106" t="s">
        <v>437</v>
      </c>
      <c r="D518" s="107">
        <v>13.25</v>
      </c>
    </row>
    <row r="519" spans="1:4" ht="63.75" x14ac:dyDescent="0.25">
      <c r="A519" s="104">
        <v>93225</v>
      </c>
      <c r="B519" s="105" t="s">
        <v>1213</v>
      </c>
      <c r="C519" s="106" t="s">
        <v>437</v>
      </c>
      <c r="D519" s="107">
        <v>221.94</v>
      </c>
    </row>
    <row r="520" spans="1:4" ht="38.25" x14ac:dyDescent="0.25">
      <c r="A520" s="104">
        <v>93234</v>
      </c>
      <c r="B520" s="105" t="s">
        <v>1214</v>
      </c>
      <c r="C520" s="106" t="s">
        <v>437</v>
      </c>
      <c r="D520" s="107">
        <v>0.32</v>
      </c>
    </row>
    <row r="521" spans="1:4" ht="38.25" x14ac:dyDescent="0.25">
      <c r="A521" s="104">
        <v>93244</v>
      </c>
      <c r="B521" s="105" t="s">
        <v>1215</v>
      </c>
      <c r="C521" s="106" t="s">
        <v>437</v>
      </c>
      <c r="D521" s="107">
        <v>32.31</v>
      </c>
    </row>
    <row r="522" spans="1:4" ht="25.5" x14ac:dyDescent="0.25">
      <c r="A522" s="104">
        <v>93274</v>
      </c>
      <c r="B522" s="105" t="s">
        <v>1216</v>
      </c>
      <c r="C522" s="106" t="s">
        <v>437</v>
      </c>
      <c r="D522" s="107">
        <v>40.08</v>
      </c>
    </row>
    <row r="523" spans="1:4" ht="25.5" x14ac:dyDescent="0.25">
      <c r="A523" s="104">
        <v>93282</v>
      </c>
      <c r="B523" s="105" t="s">
        <v>1217</v>
      </c>
      <c r="C523" s="106" t="s">
        <v>437</v>
      </c>
      <c r="D523" s="107">
        <v>13.28</v>
      </c>
    </row>
    <row r="524" spans="1:4" ht="38.25" x14ac:dyDescent="0.25">
      <c r="A524" s="104">
        <v>93288</v>
      </c>
      <c r="B524" s="105" t="s">
        <v>436</v>
      </c>
      <c r="C524" s="106" t="s">
        <v>437</v>
      </c>
      <c r="D524" s="107">
        <v>77.05</v>
      </c>
    </row>
    <row r="525" spans="1:4" ht="51" x14ac:dyDescent="0.25">
      <c r="A525" s="104">
        <v>93403</v>
      </c>
      <c r="B525" s="105" t="s">
        <v>1218</v>
      </c>
      <c r="C525" s="106" t="s">
        <v>437</v>
      </c>
      <c r="D525" s="107">
        <v>27.11</v>
      </c>
    </row>
    <row r="526" spans="1:4" ht="63.75" x14ac:dyDescent="0.25">
      <c r="A526" s="104">
        <v>93409</v>
      </c>
      <c r="B526" s="105" t="s">
        <v>10777</v>
      </c>
      <c r="C526" s="106" t="s">
        <v>437</v>
      </c>
      <c r="D526" s="107">
        <v>19.97</v>
      </c>
    </row>
    <row r="527" spans="1:4" ht="25.5" x14ac:dyDescent="0.25">
      <c r="A527" s="104">
        <v>93416</v>
      </c>
      <c r="B527" s="105" t="s">
        <v>1219</v>
      </c>
      <c r="C527" s="106" t="s">
        <v>437</v>
      </c>
      <c r="D527" s="107">
        <v>0.24</v>
      </c>
    </row>
    <row r="528" spans="1:4" ht="25.5" x14ac:dyDescent="0.25">
      <c r="A528" s="104">
        <v>93422</v>
      </c>
      <c r="B528" s="105" t="s">
        <v>1220</v>
      </c>
      <c r="C528" s="106" t="s">
        <v>437</v>
      </c>
      <c r="D528" s="107">
        <v>3.25</v>
      </c>
    </row>
    <row r="529" spans="1:4" ht="25.5" x14ac:dyDescent="0.25">
      <c r="A529" s="104">
        <v>93428</v>
      </c>
      <c r="B529" s="105" t="s">
        <v>1221</v>
      </c>
      <c r="C529" s="106" t="s">
        <v>437</v>
      </c>
      <c r="D529" s="107">
        <v>4.6100000000000003</v>
      </c>
    </row>
    <row r="530" spans="1:4" ht="25.5" x14ac:dyDescent="0.25">
      <c r="A530" s="104">
        <v>93434</v>
      </c>
      <c r="B530" s="105" t="s">
        <v>1222</v>
      </c>
      <c r="C530" s="106" t="s">
        <v>437</v>
      </c>
      <c r="D530" s="107">
        <v>149.58000000000001</v>
      </c>
    </row>
    <row r="531" spans="1:4" ht="25.5" x14ac:dyDescent="0.25">
      <c r="A531" s="104">
        <v>93440</v>
      </c>
      <c r="B531" s="105" t="s">
        <v>1223</v>
      </c>
      <c r="C531" s="106" t="s">
        <v>437</v>
      </c>
      <c r="D531" s="107">
        <v>76.02</v>
      </c>
    </row>
    <row r="532" spans="1:4" ht="25.5" x14ac:dyDescent="0.25">
      <c r="A532" s="104">
        <v>95122</v>
      </c>
      <c r="B532" s="105" t="s">
        <v>1224</v>
      </c>
      <c r="C532" s="106" t="s">
        <v>437</v>
      </c>
      <c r="D532" s="107">
        <v>111.86</v>
      </c>
    </row>
    <row r="533" spans="1:4" ht="25.5" x14ac:dyDescent="0.25">
      <c r="A533" s="104">
        <v>95128</v>
      </c>
      <c r="B533" s="105" t="s">
        <v>1225</v>
      </c>
      <c r="C533" s="106" t="s">
        <v>437</v>
      </c>
      <c r="D533" s="107">
        <v>26.68</v>
      </c>
    </row>
    <row r="534" spans="1:4" ht="25.5" x14ac:dyDescent="0.25">
      <c r="A534" s="104">
        <v>95140</v>
      </c>
      <c r="B534" s="105" t="s">
        <v>1226</v>
      </c>
      <c r="C534" s="106" t="s">
        <v>437</v>
      </c>
      <c r="D534" s="107">
        <v>0.04</v>
      </c>
    </row>
    <row r="535" spans="1:4" ht="25.5" x14ac:dyDescent="0.25">
      <c r="A535" s="104">
        <v>95213</v>
      </c>
      <c r="B535" s="105" t="s">
        <v>1227</v>
      </c>
      <c r="C535" s="106" t="s">
        <v>437</v>
      </c>
      <c r="D535" s="107">
        <v>43.68</v>
      </c>
    </row>
    <row r="536" spans="1:4" ht="25.5" x14ac:dyDescent="0.25">
      <c r="A536" s="104">
        <v>95219</v>
      </c>
      <c r="B536" s="105" t="s">
        <v>1228</v>
      </c>
      <c r="C536" s="106" t="s">
        <v>437</v>
      </c>
      <c r="D536" s="107">
        <v>19.420000000000002</v>
      </c>
    </row>
    <row r="537" spans="1:4" ht="25.5" x14ac:dyDescent="0.25">
      <c r="A537" s="104">
        <v>95259</v>
      </c>
      <c r="B537" s="105" t="s">
        <v>1229</v>
      </c>
      <c r="C537" s="106" t="s">
        <v>437</v>
      </c>
      <c r="D537" s="107">
        <v>13</v>
      </c>
    </row>
    <row r="538" spans="1:4" ht="25.5" x14ac:dyDescent="0.25">
      <c r="A538" s="104">
        <v>95265</v>
      </c>
      <c r="B538" s="105" t="s">
        <v>1230</v>
      </c>
      <c r="C538" s="106" t="s">
        <v>437</v>
      </c>
      <c r="D538" s="107">
        <v>0.56999999999999995</v>
      </c>
    </row>
    <row r="539" spans="1:4" ht="38.25" x14ac:dyDescent="0.25">
      <c r="A539" s="104">
        <v>95271</v>
      </c>
      <c r="B539" s="105" t="s">
        <v>1231</v>
      </c>
      <c r="C539" s="106" t="s">
        <v>437</v>
      </c>
      <c r="D539" s="107">
        <v>0.46</v>
      </c>
    </row>
    <row r="540" spans="1:4" ht="25.5" x14ac:dyDescent="0.25">
      <c r="A540" s="104">
        <v>95277</v>
      </c>
      <c r="B540" s="105" t="s">
        <v>1232</v>
      </c>
      <c r="C540" s="106" t="s">
        <v>437</v>
      </c>
      <c r="D540" s="107">
        <v>0.45</v>
      </c>
    </row>
    <row r="541" spans="1:4" ht="25.5" x14ac:dyDescent="0.25">
      <c r="A541" s="104">
        <v>95283</v>
      </c>
      <c r="B541" s="105" t="s">
        <v>1233</v>
      </c>
      <c r="C541" s="106" t="s">
        <v>437</v>
      </c>
      <c r="D541" s="107">
        <v>0.5</v>
      </c>
    </row>
    <row r="542" spans="1:4" ht="38.25" x14ac:dyDescent="0.25">
      <c r="A542" s="104">
        <v>95621</v>
      </c>
      <c r="B542" s="105" t="s">
        <v>1234</v>
      </c>
      <c r="C542" s="106" t="s">
        <v>437</v>
      </c>
      <c r="D542" s="107">
        <v>12.72</v>
      </c>
    </row>
    <row r="543" spans="1:4" ht="38.25" x14ac:dyDescent="0.25">
      <c r="A543" s="104">
        <v>95632</v>
      </c>
      <c r="B543" s="105" t="s">
        <v>1235</v>
      </c>
      <c r="C543" s="106" t="s">
        <v>437</v>
      </c>
      <c r="D543" s="107">
        <v>40.58</v>
      </c>
    </row>
    <row r="544" spans="1:4" ht="25.5" x14ac:dyDescent="0.25">
      <c r="A544" s="104">
        <v>95703</v>
      </c>
      <c r="B544" s="105" t="s">
        <v>1236</v>
      </c>
      <c r="C544" s="106" t="s">
        <v>437</v>
      </c>
      <c r="D544" s="107">
        <v>18.68</v>
      </c>
    </row>
    <row r="545" spans="1:4" ht="25.5" x14ac:dyDescent="0.25">
      <c r="A545" s="104">
        <v>95709</v>
      </c>
      <c r="B545" s="105" t="s">
        <v>1237</v>
      </c>
      <c r="C545" s="106" t="s">
        <v>437</v>
      </c>
      <c r="D545" s="107">
        <v>41.57</v>
      </c>
    </row>
    <row r="546" spans="1:4" ht="38.25" x14ac:dyDescent="0.25">
      <c r="A546" s="104">
        <v>95715</v>
      </c>
      <c r="B546" s="105" t="s">
        <v>1238</v>
      </c>
      <c r="C546" s="106" t="s">
        <v>437</v>
      </c>
      <c r="D546" s="107">
        <v>50</v>
      </c>
    </row>
    <row r="547" spans="1:4" ht="51" x14ac:dyDescent="0.25">
      <c r="A547" s="104">
        <v>95721</v>
      </c>
      <c r="B547" s="105" t="s">
        <v>1239</v>
      </c>
      <c r="C547" s="106" t="s">
        <v>437</v>
      </c>
      <c r="D547" s="107">
        <v>48.75</v>
      </c>
    </row>
    <row r="548" spans="1:4" ht="25.5" x14ac:dyDescent="0.25">
      <c r="A548" s="104">
        <v>95873</v>
      </c>
      <c r="B548" s="105" t="s">
        <v>1240</v>
      </c>
      <c r="C548" s="106" t="s">
        <v>437</v>
      </c>
      <c r="D548" s="107">
        <v>7.36</v>
      </c>
    </row>
    <row r="549" spans="1:4" ht="25.5" x14ac:dyDescent="0.25">
      <c r="A549" s="104">
        <v>96014</v>
      </c>
      <c r="B549" s="105" t="s">
        <v>1241</v>
      </c>
      <c r="C549" s="106" t="s">
        <v>437</v>
      </c>
      <c r="D549" s="107">
        <v>26.9</v>
      </c>
    </row>
    <row r="550" spans="1:4" ht="25.5" x14ac:dyDescent="0.25">
      <c r="A550" s="104">
        <v>96021</v>
      </c>
      <c r="B550" s="105" t="s">
        <v>1242</v>
      </c>
      <c r="C550" s="106" t="s">
        <v>437</v>
      </c>
      <c r="D550" s="107">
        <v>26.78</v>
      </c>
    </row>
    <row r="551" spans="1:4" ht="25.5" x14ac:dyDescent="0.25">
      <c r="A551" s="104">
        <v>96029</v>
      </c>
      <c r="B551" s="105" t="s">
        <v>1243</v>
      </c>
      <c r="C551" s="106" t="s">
        <v>437</v>
      </c>
      <c r="D551" s="107">
        <v>23.79</v>
      </c>
    </row>
    <row r="552" spans="1:4" ht="38.25" x14ac:dyDescent="0.25">
      <c r="A552" s="104">
        <v>96036</v>
      </c>
      <c r="B552" s="105" t="s">
        <v>1244</v>
      </c>
      <c r="C552" s="106" t="s">
        <v>437</v>
      </c>
      <c r="D552" s="107">
        <v>33.5</v>
      </c>
    </row>
    <row r="553" spans="1:4" ht="25.5" x14ac:dyDescent="0.25">
      <c r="A553" s="104">
        <v>96155</v>
      </c>
      <c r="B553" s="105" t="s">
        <v>1245</v>
      </c>
      <c r="C553" s="106" t="s">
        <v>437</v>
      </c>
      <c r="D553" s="107">
        <v>23.91</v>
      </c>
    </row>
    <row r="554" spans="1:4" ht="38.25" x14ac:dyDescent="0.25">
      <c r="A554" s="104">
        <v>96156</v>
      </c>
      <c r="B554" s="105" t="s">
        <v>1246</v>
      </c>
      <c r="C554" s="106" t="s">
        <v>437</v>
      </c>
      <c r="D554" s="107">
        <v>32.299999999999997</v>
      </c>
    </row>
    <row r="555" spans="1:4" ht="25.5" x14ac:dyDescent="0.25">
      <c r="A555" s="104">
        <v>96159</v>
      </c>
      <c r="B555" s="105" t="s">
        <v>1247</v>
      </c>
      <c r="C555" s="106" t="s">
        <v>437</v>
      </c>
      <c r="D555" s="107">
        <v>39.21</v>
      </c>
    </row>
    <row r="556" spans="1:4" ht="25.5" x14ac:dyDescent="0.25">
      <c r="A556" s="104">
        <v>96246</v>
      </c>
      <c r="B556" s="105" t="s">
        <v>1248</v>
      </c>
      <c r="C556" s="106" t="s">
        <v>437</v>
      </c>
      <c r="D556" s="107">
        <v>32.700000000000003</v>
      </c>
    </row>
    <row r="557" spans="1:4" ht="25.5" x14ac:dyDescent="0.25">
      <c r="A557" s="104">
        <v>96302</v>
      </c>
      <c r="B557" s="105" t="s">
        <v>1249</v>
      </c>
      <c r="C557" s="106" t="s">
        <v>437</v>
      </c>
      <c r="D557" s="107">
        <v>57.19</v>
      </c>
    </row>
    <row r="558" spans="1:4" ht="38.25" x14ac:dyDescent="0.25">
      <c r="A558" s="104">
        <v>96308</v>
      </c>
      <c r="B558" s="105" t="s">
        <v>1250</v>
      </c>
      <c r="C558" s="106" t="s">
        <v>437</v>
      </c>
      <c r="D558" s="107">
        <v>0.12</v>
      </c>
    </row>
    <row r="559" spans="1:4" ht="38.25" x14ac:dyDescent="0.25">
      <c r="A559" s="104">
        <v>96464</v>
      </c>
      <c r="B559" s="105" t="s">
        <v>1251</v>
      </c>
      <c r="C559" s="106" t="s">
        <v>437</v>
      </c>
      <c r="D559" s="107">
        <v>43.53</v>
      </c>
    </row>
    <row r="560" spans="1:4" ht="38.25" x14ac:dyDescent="0.25">
      <c r="A560" s="104">
        <v>98765</v>
      </c>
      <c r="B560" s="105" t="s">
        <v>1252</v>
      </c>
      <c r="C560" s="106" t="s">
        <v>437</v>
      </c>
      <c r="D560" s="107">
        <v>0.12</v>
      </c>
    </row>
    <row r="561" spans="1:4" ht="38.25" x14ac:dyDescent="0.25">
      <c r="A561" s="104">
        <v>99834</v>
      </c>
      <c r="B561" s="105" t="s">
        <v>1253</v>
      </c>
      <c r="C561" s="106" t="s">
        <v>437</v>
      </c>
      <c r="D561" s="107">
        <v>0.28999999999999998</v>
      </c>
    </row>
    <row r="562" spans="1:4" ht="25.5" x14ac:dyDescent="0.25">
      <c r="A562" s="104">
        <v>100642</v>
      </c>
      <c r="B562" s="105" t="s">
        <v>10778</v>
      </c>
      <c r="C562" s="106" t="s">
        <v>437</v>
      </c>
      <c r="D562" s="107">
        <v>109.87</v>
      </c>
    </row>
    <row r="563" spans="1:4" ht="25.5" x14ac:dyDescent="0.25">
      <c r="A563" s="104">
        <v>100648</v>
      </c>
      <c r="B563" s="105" t="s">
        <v>10779</v>
      </c>
      <c r="C563" s="106" t="s">
        <v>437</v>
      </c>
      <c r="D563" s="107">
        <v>266.08999999999997</v>
      </c>
    </row>
    <row r="564" spans="1:4" ht="38.25" x14ac:dyDescent="0.25">
      <c r="A564" s="104">
        <v>5089</v>
      </c>
      <c r="B564" s="105" t="s">
        <v>1254</v>
      </c>
      <c r="C564" s="106" t="s">
        <v>102</v>
      </c>
      <c r="D564" s="107">
        <v>20.71</v>
      </c>
    </row>
    <row r="565" spans="1:4" ht="38.25" x14ac:dyDescent="0.25">
      <c r="A565" s="104">
        <v>5627</v>
      </c>
      <c r="B565" s="105" t="s">
        <v>1255</v>
      </c>
      <c r="C565" s="106" t="s">
        <v>102</v>
      </c>
      <c r="D565" s="107">
        <v>25.2</v>
      </c>
    </row>
    <row r="566" spans="1:4" ht="25.5" x14ac:dyDescent="0.25">
      <c r="A566" s="104">
        <v>5628</v>
      </c>
      <c r="B566" s="105" t="s">
        <v>1256</v>
      </c>
      <c r="C566" s="106" t="s">
        <v>102</v>
      </c>
      <c r="D566" s="107">
        <v>3.42</v>
      </c>
    </row>
    <row r="567" spans="1:4" ht="38.25" x14ac:dyDescent="0.25">
      <c r="A567" s="104">
        <v>5629</v>
      </c>
      <c r="B567" s="105" t="s">
        <v>1257</v>
      </c>
      <c r="C567" s="106" t="s">
        <v>102</v>
      </c>
      <c r="D567" s="107">
        <v>31.5</v>
      </c>
    </row>
    <row r="568" spans="1:4" ht="38.25" x14ac:dyDescent="0.25">
      <c r="A568" s="104">
        <v>5630</v>
      </c>
      <c r="B568" s="105" t="s">
        <v>1258</v>
      </c>
      <c r="C568" s="106" t="s">
        <v>102</v>
      </c>
      <c r="D568" s="107">
        <v>35.11</v>
      </c>
    </row>
    <row r="569" spans="1:4" ht="25.5" x14ac:dyDescent="0.25">
      <c r="A569" s="104">
        <v>5658</v>
      </c>
      <c r="B569" s="105" t="s">
        <v>1259</v>
      </c>
      <c r="C569" s="106" t="s">
        <v>102</v>
      </c>
      <c r="D569" s="107">
        <v>1.21</v>
      </c>
    </row>
    <row r="570" spans="1:4" ht="63.75" x14ac:dyDescent="0.25">
      <c r="A570" s="104">
        <v>5664</v>
      </c>
      <c r="B570" s="105" t="s">
        <v>1260</v>
      </c>
      <c r="C570" s="106" t="s">
        <v>102</v>
      </c>
      <c r="D570" s="107">
        <v>17.78</v>
      </c>
    </row>
    <row r="571" spans="1:4" ht="63.75" x14ac:dyDescent="0.25">
      <c r="A571" s="104">
        <v>5667</v>
      </c>
      <c r="B571" s="105" t="s">
        <v>1261</v>
      </c>
      <c r="C571" s="106" t="s">
        <v>102</v>
      </c>
      <c r="D571" s="107">
        <v>15.82</v>
      </c>
    </row>
    <row r="572" spans="1:4" ht="63.75" x14ac:dyDescent="0.25">
      <c r="A572" s="104">
        <v>5668</v>
      </c>
      <c r="B572" s="105" t="s">
        <v>1262</v>
      </c>
      <c r="C572" s="106" t="s">
        <v>102</v>
      </c>
      <c r="D572" s="107">
        <v>26.86</v>
      </c>
    </row>
    <row r="573" spans="1:4" ht="51" x14ac:dyDescent="0.25">
      <c r="A573" s="104">
        <v>5674</v>
      </c>
      <c r="B573" s="105" t="s">
        <v>1263</v>
      </c>
      <c r="C573" s="106" t="s">
        <v>102</v>
      </c>
      <c r="D573" s="107">
        <v>19.920000000000002</v>
      </c>
    </row>
    <row r="574" spans="1:4" ht="38.25" x14ac:dyDescent="0.25">
      <c r="A574" s="104">
        <v>5692</v>
      </c>
      <c r="B574" s="105" t="s">
        <v>1264</v>
      </c>
      <c r="C574" s="106" t="s">
        <v>102</v>
      </c>
      <c r="D574" s="107">
        <v>0.17</v>
      </c>
    </row>
    <row r="575" spans="1:4" ht="38.25" x14ac:dyDescent="0.25">
      <c r="A575" s="104">
        <v>5693</v>
      </c>
      <c r="B575" s="105" t="s">
        <v>1265</v>
      </c>
      <c r="C575" s="106" t="s">
        <v>102</v>
      </c>
      <c r="D575" s="107">
        <v>5.52</v>
      </c>
    </row>
    <row r="576" spans="1:4" ht="38.25" x14ac:dyDescent="0.25">
      <c r="A576" s="104">
        <v>5695</v>
      </c>
      <c r="B576" s="105" t="s">
        <v>1266</v>
      </c>
      <c r="C576" s="106" t="s">
        <v>102</v>
      </c>
      <c r="D576" s="107">
        <v>22.44</v>
      </c>
    </row>
    <row r="577" spans="1:4" ht="25.5" x14ac:dyDescent="0.25">
      <c r="A577" s="104">
        <v>5703</v>
      </c>
      <c r="B577" s="105" t="s">
        <v>1267</v>
      </c>
      <c r="C577" s="106" t="s">
        <v>102</v>
      </c>
      <c r="D577" s="107">
        <v>19.27</v>
      </c>
    </row>
    <row r="578" spans="1:4" ht="51" x14ac:dyDescent="0.25">
      <c r="A578" s="104">
        <v>5705</v>
      </c>
      <c r="B578" s="105" t="s">
        <v>1268</v>
      </c>
      <c r="C578" s="106" t="s">
        <v>102</v>
      </c>
      <c r="D578" s="107">
        <v>13.92</v>
      </c>
    </row>
    <row r="579" spans="1:4" ht="25.5" x14ac:dyDescent="0.25">
      <c r="A579" s="104">
        <v>5707</v>
      </c>
      <c r="B579" s="105" t="s">
        <v>1269</v>
      </c>
      <c r="C579" s="106" t="s">
        <v>102</v>
      </c>
      <c r="D579" s="107">
        <v>42.55</v>
      </c>
    </row>
    <row r="580" spans="1:4" ht="38.25" x14ac:dyDescent="0.25">
      <c r="A580" s="104">
        <v>5710</v>
      </c>
      <c r="B580" s="105" t="s">
        <v>1270</v>
      </c>
      <c r="C580" s="106" t="s">
        <v>102</v>
      </c>
      <c r="D580" s="107">
        <v>103.54</v>
      </c>
    </row>
    <row r="581" spans="1:4" ht="38.25" x14ac:dyDescent="0.25">
      <c r="A581" s="104">
        <v>5711</v>
      </c>
      <c r="B581" s="105" t="s">
        <v>1271</v>
      </c>
      <c r="C581" s="106" t="s">
        <v>102</v>
      </c>
      <c r="D581" s="107">
        <v>48.5</v>
      </c>
    </row>
    <row r="582" spans="1:4" ht="25.5" x14ac:dyDescent="0.25">
      <c r="A582" s="104">
        <v>5714</v>
      </c>
      <c r="B582" s="105" t="s">
        <v>1272</v>
      </c>
      <c r="C582" s="106" t="s">
        <v>102</v>
      </c>
      <c r="D582" s="107">
        <v>7.87</v>
      </c>
    </row>
    <row r="583" spans="1:4" ht="25.5" x14ac:dyDescent="0.25">
      <c r="A583" s="104">
        <v>5715</v>
      </c>
      <c r="B583" s="105" t="s">
        <v>1273</v>
      </c>
      <c r="C583" s="106" t="s">
        <v>102</v>
      </c>
      <c r="D583" s="107">
        <v>65.260000000000005</v>
      </c>
    </row>
    <row r="584" spans="1:4" ht="25.5" x14ac:dyDescent="0.25">
      <c r="A584" s="104">
        <v>5718</v>
      </c>
      <c r="B584" s="105" t="s">
        <v>1274</v>
      </c>
      <c r="C584" s="106" t="s">
        <v>102</v>
      </c>
      <c r="D584" s="107">
        <v>57.89</v>
      </c>
    </row>
    <row r="585" spans="1:4" ht="38.25" x14ac:dyDescent="0.25">
      <c r="A585" s="104">
        <v>5721</v>
      </c>
      <c r="B585" s="105" t="s">
        <v>1275</v>
      </c>
      <c r="C585" s="106" t="s">
        <v>102</v>
      </c>
      <c r="D585" s="107">
        <v>51.08</v>
      </c>
    </row>
    <row r="586" spans="1:4" ht="25.5" x14ac:dyDescent="0.25">
      <c r="A586" s="104">
        <v>5722</v>
      </c>
      <c r="B586" s="105" t="s">
        <v>1276</v>
      </c>
      <c r="C586" s="106" t="s">
        <v>102</v>
      </c>
      <c r="D586" s="107">
        <v>118.14</v>
      </c>
    </row>
    <row r="587" spans="1:4" ht="25.5" x14ac:dyDescent="0.25">
      <c r="A587" s="104">
        <v>5724</v>
      </c>
      <c r="B587" s="105" t="s">
        <v>1277</v>
      </c>
      <c r="C587" s="106" t="s">
        <v>102</v>
      </c>
      <c r="D587" s="107">
        <v>29.59</v>
      </c>
    </row>
    <row r="588" spans="1:4" ht="38.25" x14ac:dyDescent="0.25">
      <c r="A588" s="104">
        <v>5727</v>
      </c>
      <c r="B588" s="105" t="s">
        <v>1278</v>
      </c>
      <c r="C588" s="106" t="s">
        <v>102</v>
      </c>
      <c r="D588" s="107">
        <v>6.01</v>
      </c>
    </row>
    <row r="589" spans="1:4" ht="38.25" x14ac:dyDescent="0.25">
      <c r="A589" s="104">
        <v>5729</v>
      </c>
      <c r="B589" s="105" t="s">
        <v>1279</v>
      </c>
      <c r="C589" s="106" t="s">
        <v>102</v>
      </c>
      <c r="D589" s="107">
        <v>24.46</v>
      </c>
    </row>
    <row r="590" spans="1:4" ht="38.25" x14ac:dyDescent="0.25">
      <c r="A590" s="104">
        <v>5730</v>
      </c>
      <c r="B590" s="105" t="s">
        <v>1280</v>
      </c>
      <c r="C590" s="106" t="s">
        <v>102</v>
      </c>
      <c r="D590" s="107">
        <v>22.55</v>
      </c>
    </row>
    <row r="591" spans="1:4" ht="63.75" x14ac:dyDescent="0.25">
      <c r="A591" s="104">
        <v>5735</v>
      </c>
      <c r="B591" s="105" t="s">
        <v>1281</v>
      </c>
      <c r="C591" s="106" t="s">
        <v>102</v>
      </c>
      <c r="D591" s="107">
        <v>17.149999999999999</v>
      </c>
    </row>
    <row r="592" spans="1:4" ht="63.75" x14ac:dyDescent="0.25">
      <c r="A592" s="104">
        <v>5736</v>
      </c>
      <c r="B592" s="105" t="s">
        <v>1282</v>
      </c>
      <c r="C592" s="106" t="s">
        <v>102</v>
      </c>
      <c r="D592" s="107">
        <v>24.64</v>
      </c>
    </row>
    <row r="593" spans="1:4" ht="38.25" x14ac:dyDescent="0.25">
      <c r="A593" s="104">
        <v>5738</v>
      </c>
      <c r="B593" s="105" t="s">
        <v>1283</v>
      </c>
      <c r="C593" s="106" t="s">
        <v>102</v>
      </c>
      <c r="D593" s="107">
        <v>21.75</v>
      </c>
    </row>
    <row r="594" spans="1:4" ht="38.25" x14ac:dyDescent="0.25">
      <c r="A594" s="104">
        <v>5739</v>
      </c>
      <c r="B594" s="105" t="s">
        <v>1284</v>
      </c>
      <c r="C594" s="106" t="s">
        <v>102</v>
      </c>
      <c r="D594" s="107">
        <v>27.21</v>
      </c>
    </row>
    <row r="595" spans="1:4" ht="51" x14ac:dyDescent="0.25">
      <c r="A595" s="104">
        <v>5741</v>
      </c>
      <c r="B595" s="105" t="s">
        <v>1285</v>
      </c>
      <c r="C595" s="106" t="s">
        <v>102</v>
      </c>
      <c r="D595" s="107">
        <v>27.29</v>
      </c>
    </row>
    <row r="596" spans="1:4" ht="51" x14ac:dyDescent="0.25">
      <c r="A596" s="104">
        <v>5742</v>
      </c>
      <c r="B596" s="105" t="s">
        <v>1286</v>
      </c>
      <c r="C596" s="106" t="s">
        <v>102</v>
      </c>
      <c r="D596" s="107">
        <v>15.02</v>
      </c>
    </row>
    <row r="597" spans="1:4" ht="51" x14ac:dyDescent="0.25">
      <c r="A597" s="104">
        <v>5747</v>
      </c>
      <c r="B597" s="105" t="s">
        <v>1287</v>
      </c>
      <c r="C597" s="106" t="s">
        <v>102</v>
      </c>
      <c r="D597" s="107">
        <v>86.16</v>
      </c>
    </row>
    <row r="598" spans="1:4" ht="38.25" x14ac:dyDescent="0.25">
      <c r="A598" s="104">
        <v>5751</v>
      </c>
      <c r="B598" s="105" t="s">
        <v>1288</v>
      </c>
      <c r="C598" s="106" t="s">
        <v>102</v>
      </c>
      <c r="D598" s="107">
        <v>15.17</v>
      </c>
    </row>
    <row r="599" spans="1:4" ht="38.25" x14ac:dyDescent="0.25">
      <c r="A599" s="104">
        <v>5754</v>
      </c>
      <c r="B599" s="105" t="s">
        <v>1289</v>
      </c>
      <c r="C599" s="106" t="s">
        <v>102</v>
      </c>
      <c r="D599" s="107">
        <v>12.78</v>
      </c>
    </row>
    <row r="600" spans="1:4" ht="51" x14ac:dyDescent="0.25">
      <c r="A600" s="104">
        <v>5763</v>
      </c>
      <c r="B600" s="105" t="s">
        <v>1290</v>
      </c>
      <c r="C600" s="106" t="s">
        <v>102</v>
      </c>
      <c r="D600" s="107">
        <v>22.39</v>
      </c>
    </row>
    <row r="601" spans="1:4" ht="38.25" x14ac:dyDescent="0.25">
      <c r="A601" s="104">
        <v>5765</v>
      </c>
      <c r="B601" s="105" t="s">
        <v>1291</v>
      </c>
      <c r="C601" s="106" t="s">
        <v>102</v>
      </c>
      <c r="D601" s="107">
        <v>1.92</v>
      </c>
    </row>
    <row r="602" spans="1:4" ht="38.25" x14ac:dyDescent="0.25">
      <c r="A602" s="104">
        <v>5766</v>
      </c>
      <c r="B602" s="105" t="s">
        <v>1292</v>
      </c>
      <c r="C602" s="106" t="s">
        <v>102</v>
      </c>
      <c r="D602" s="107">
        <v>2.76</v>
      </c>
    </row>
    <row r="603" spans="1:4" ht="38.25" x14ac:dyDescent="0.25">
      <c r="A603" s="104">
        <v>5779</v>
      </c>
      <c r="B603" s="105" t="s">
        <v>1293</v>
      </c>
      <c r="C603" s="106" t="s">
        <v>102</v>
      </c>
      <c r="D603" s="107">
        <v>34.85</v>
      </c>
    </row>
    <row r="604" spans="1:4" ht="38.25" x14ac:dyDescent="0.25">
      <c r="A604" s="104">
        <v>5787</v>
      </c>
      <c r="B604" s="105" t="s">
        <v>1294</v>
      </c>
      <c r="C604" s="106" t="s">
        <v>102</v>
      </c>
      <c r="D604" s="107">
        <v>38.33</v>
      </c>
    </row>
    <row r="605" spans="1:4" ht="38.25" x14ac:dyDescent="0.25">
      <c r="A605" s="104">
        <v>5797</v>
      </c>
      <c r="B605" s="105" t="s">
        <v>1295</v>
      </c>
      <c r="C605" s="106" t="s">
        <v>102</v>
      </c>
      <c r="D605" s="107">
        <v>2.92</v>
      </c>
    </row>
    <row r="606" spans="1:4" ht="38.25" x14ac:dyDescent="0.25">
      <c r="A606" s="104">
        <v>5800</v>
      </c>
      <c r="B606" s="105" t="s">
        <v>1296</v>
      </c>
      <c r="C606" s="106" t="s">
        <v>102</v>
      </c>
      <c r="D606" s="107">
        <v>0.3</v>
      </c>
    </row>
    <row r="607" spans="1:4" ht="25.5" x14ac:dyDescent="0.25">
      <c r="A607" s="104">
        <v>7032</v>
      </c>
      <c r="B607" s="105" t="s">
        <v>1297</v>
      </c>
      <c r="C607" s="106" t="s">
        <v>102</v>
      </c>
      <c r="D607" s="107">
        <v>3.22</v>
      </c>
    </row>
    <row r="608" spans="1:4" ht="25.5" x14ac:dyDescent="0.25">
      <c r="A608" s="104">
        <v>7033</v>
      </c>
      <c r="B608" s="105" t="s">
        <v>1298</v>
      </c>
      <c r="C608" s="106" t="s">
        <v>102</v>
      </c>
      <c r="D608" s="107">
        <v>0.53</v>
      </c>
    </row>
    <row r="609" spans="1:4" ht="25.5" x14ac:dyDescent="0.25">
      <c r="A609" s="104">
        <v>7034</v>
      </c>
      <c r="B609" s="105" t="s">
        <v>1299</v>
      </c>
      <c r="C609" s="106" t="s">
        <v>102</v>
      </c>
      <c r="D609" s="107">
        <v>6.04</v>
      </c>
    </row>
    <row r="610" spans="1:4" ht="25.5" x14ac:dyDescent="0.25">
      <c r="A610" s="104">
        <v>7035</v>
      </c>
      <c r="B610" s="105" t="s">
        <v>1300</v>
      </c>
      <c r="C610" s="106" t="s">
        <v>102</v>
      </c>
      <c r="D610" s="107">
        <v>116.43</v>
      </c>
    </row>
    <row r="611" spans="1:4" ht="38.25" x14ac:dyDescent="0.25">
      <c r="A611" s="104">
        <v>7038</v>
      </c>
      <c r="B611" s="105" t="s">
        <v>1301</v>
      </c>
      <c r="C611" s="106" t="s">
        <v>102</v>
      </c>
      <c r="D611" s="107">
        <v>24.87</v>
      </c>
    </row>
    <row r="612" spans="1:4" ht="38.25" x14ac:dyDescent="0.25">
      <c r="A612" s="104">
        <v>7039</v>
      </c>
      <c r="B612" s="105" t="s">
        <v>1302</v>
      </c>
      <c r="C612" s="106" t="s">
        <v>102</v>
      </c>
      <c r="D612" s="107">
        <v>3.45</v>
      </c>
    </row>
    <row r="613" spans="1:4" ht="38.25" x14ac:dyDescent="0.25">
      <c r="A613" s="104">
        <v>7040</v>
      </c>
      <c r="B613" s="105" t="s">
        <v>1303</v>
      </c>
      <c r="C613" s="106" t="s">
        <v>102</v>
      </c>
      <c r="D613" s="107">
        <v>31.13</v>
      </c>
    </row>
    <row r="614" spans="1:4" ht="51" x14ac:dyDescent="0.25">
      <c r="A614" s="104">
        <v>7044</v>
      </c>
      <c r="B614" s="105" t="s">
        <v>1304</v>
      </c>
      <c r="C614" s="106" t="s">
        <v>102</v>
      </c>
      <c r="D614" s="107">
        <v>0.19</v>
      </c>
    </row>
    <row r="615" spans="1:4" ht="38.25" x14ac:dyDescent="0.25">
      <c r="A615" s="104">
        <v>7045</v>
      </c>
      <c r="B615" s="105" t="s">
        <v>1305</v>
      </c>
      <c r="C615" s="106" t="s">
        <v>102</v>
      </c>
      <c r="D615" s="107">
        <v>0.02</v>
      </c>
    </row>
    <row r="616" spans="1:4" ht="51" x14ac:dyDescent="0.25">
      <c r="A616" s="104">
        <v>7046</v>
      </c>
      <c r="B616" s="105" t="s">
        <v>1306</v>
      </c>
      <c r="C616" s="106" t="s">
        <v>102</v>
      </c>
      <c r="D616" s="107">
        <v>0.21</v>
      </c>
    </row>
    <row r="617" spans="1:4" ht="51" x14ac:dyDescent="0.25">
      <c r="A617" s="104">
        <v>7047</v>
      </c>
      <c r="B617" s="105" t="s">
        <v>1307</v>
      </c>
      <c r="C617" s="106" t="s">
        <v>102</v>
      </c>
      <c r="D617" s="107">
        <v>6.49</v>
      </c>
    </row>
    <row r="618" spans="1:4" ht="51" x14ac:dyDescent="0.25">
      <c r="A618" s="104">
        <v>7051</v>
      </c>
      <c r="B618" s="105" t="s">
        <v>1308</v>
      </c>
      <c r="C618" s="106" t="s">
        <v>102</v>
      </c>
      <c r="D618" s="107">
        <v>22.06</v>
      </c>
    </row>
    <row r="619" spans="1:4" ht="51" x14ac:dyDescent="0.25">
      <c r="A619" s="104">
        <v>7052</v>
      </c>
      <c r="B619" s="105" t="s">
        <v>1309</v>
      </c>
      <c r="C619" s="106" t="s">
        <v>102</v>
      </c>
      <c r="D619" s="107">
        <v>3.06</v>
      </c>
    </row>
    <row r="620" spans="1:4" ht="51" x14ac:dyDescent="0.25">
      <c r="A620" s="104">
        <v>7053</v>
      </c>
      <c r="B620" s="105" t="s">
        <v>1310</v>
      </c>
      <c r="C620" s="106" t="s">
        <v>102</v>
      </c>
      <c r="D620" s="107">
        <v>27.61</v>
      </c>
    </row>
    <row r="621" spans="1:4" ht="51" x14ac:dyDescent="0.25">
      <c r="A621" s="104">
        <v>7054</v>
      </c>
      <c r="B621" s="105" t="s">
        <v>1311</v>
      </c>
      <c r="C621" s="106" t="s">
        <v>102</v>
      </c>
      <c r="D621" s="107">
        <v>48.63</v>
      </c>
    </row>
    <row r="622" spans="1:4" ht="51" x14ac:dyDescent="0.25">
      <c r="A622" s="104">
        <v>7058</v>
      </c>
      <c r="B622" s="105" t="s">
        <v>1312</v>
      </c>
      <c r="C622" s="106" t="s">
        <v>102</v>
      </c>
      <c r="D622" s="107">
        <v>11.42</v>
      </c>
    </row>
    <row r="623" spans="1:4" ht="51" x14ac:dyDescent="0.25">
      <c r="A623" s="104">
        <v>7059</v>
      </c>
      <c r="B623" s="105" t="s">
        <v>1313</v>
      </c>
      <c r="C623" s="106" t="s">
        <v>102</v>
      </c>
      <c r="D623" s="107">
        <v>2.11</v>
      </c>
    </row>
    <row r="624" spans="1:4" ht="51" x14ac:dyDescent="0.25">
      <c r="A624" s="104">
        <v>7060</v>
      </c>
      <c r="B624" s="105" t="s">
        <v>1314</v>
      </c>
      <c r="C624" s="106" t="s">
        <v>102</v>
      </c>
      <c r="D624" s="107">
        <v>21.43</v>
      </c>
    </row>
    <row r="625" spans="1:4" ht="51" x14ac:dyDescent="0.25">
      <c r="A625" s="104">
        <v>7061</v>
      </c>
      <c r="B625" s="105" t="s">
        <v>1315</v>
      </c>
      <c r="C625" s="106" t="s">
        <v>102</v>
      </c>
      <c r="D625" s="107">
        <v>44.4</v>
      </c>
    </row>
    <row r="626" spans="1:4" ht="25.5" x14ac:dyDescent="0.25">
      <c r="A626" s="104">
        <v>7063</v>
      </c>
      <c r="B626" s="105" t="s">
        <v>1316</v>
      </c>
      <c r="C626" s="106" t="s">
        <v>102</v>
      </c>
      <c r="D626" s="107">
        <v>9.81</v>
      </c>
    </row>
    <row r="627" spans="1:4" ht="25.5" x14ac:dyDescent="0.25">
      <c r="A627" s="104">
        <v>7064</v>
      </c>
      <c r="B627" s="105" t="s">
        <v>1317</v>
      </c>
      <c r="C627" s="106" t="s">
        <v>102</v>
      </c>
      <c r="D627" s="107">
        <v>1.36</v>
      </c>
    </row>
    <row r="628" spans="1:4" ht="25.5" x14ac:dyDescent="0.25">
      <c r="A628" s="104">
        <v>7065</v>
      </c>
      <c r="B628" s="105" t="s">
        <v>1318</v>
      </c>
      <c r="C628" s="106" t="s">
        <v>102</v>
      </c>
      <c r="D628" s="107">
        <v>10.73</v>
      </c>
    </row>
    <row r="629" spans="1:4" ht="25.5" x14ac:dyDescent="0.25">
      <c r="A629" s="104">
        <v>7066</v>
      </c>
      <c r="B629" s="105" t="s">
        <v>1319</v>
      </c>
      <c r="C629" s="106" t="s">
        <v>102</v>
      </c>
      <c r="D629" s="107">
        <v>93.65</v>
      </c>
    </row>
    <row r="630" spans="1:4" ht="63.75" x14ac:dyDescent="0.25">
      <c r="A630" s="104">
        <v>53786</v>
      </c>
      <c r="B630" s="105" t="s">
        <v>1320</v>
      </c>
      <c r="C630" s="106" t="s">
        <v>102</v>
      </c>
      <c r="D630" s="107">
        <v>29.07</v>
      </c>
    </row>
    <row r="631" spans="1:4" ht="51" x14ac:dyDescent="0.25">
      <c r="A631" s="104">
        <v>53788</v>
      </c>
      <c r="B631" s="105" t="s">
        <v>1321</v>
      </c>
      <c r="C631" s="106" t="s">
        <v>102</v>
      </c>
      <c r="D631" s="107">
        <v>31.13</v>
      </c>
    </row>
    <row r="632" spans="1:4" ht="51" x14ac:dyDescent="0.25">
      <c r="A632" s="104">
        <v>53792</v>
      </c>
      <c r="B632" s="105" t="s">
        <v>1322</v>
      </c>
      <c r="C632" s="106" t="s">
        <v>102</v>
      </c>
      <c r="D632" s="107">
        <v>55.19</v>
      </c>
    </row>
    <row r="633" spans="1:4" ht="25.5" x14ac:dyDescent="0.25">
      <c r="A633" s="104">
        <v>53794</v>
      </c>
      <c r="B633" s="105" t="s">
        <v>1323</v>
      </c>
      <c r="C633" s="106" t="s">
        <v>102</v>
      </c>
      <c r="D633" s="107">
        <v>35</v>
      </c>
    </row>
    <row r="634" spans="1:4" ht="51" x14ac:dyDescent="0.25">
      <c r="A634" s="104">
        <v>53797</v>
      </c>
      <c r="B634" s="105" t="s">
        <v>1324</v>
      </c>
      <c r="C634" s="106" t="s">
        <v>102</v>
      </c>
      <c r="D634" s="107">
        <v>63.47</v>
      </c>
    </row>
    <row r="635" spans="1:4" ht="25.5" x14ac:dyDescent="0.25">
      <c r="A635" s="104">
        <v>53804</v>
      </c>
      <c r="B635" s="105" t="s">
        <v>1325</v>
      </c>
      <c r="C635" s="106" t="s">
        <v>102</v>
      </c>
      <c r="D635" s="107">
        <v>2.5099999999999998</v>
      </c>
    </row>
    <row r="636" spans="1:4" ht="25.5" x14ac:dyDescent="0.25">
      <c r="A636" s="104">
        <v>53806</v>
      </c>
      <c r="B636" s="105" t="s">
        <v>1326</v>
      </c>
      <c r="C636" s="106" t="s">
        <v>102</v>
      </c>
      <c r="D636" s="107">
        <v>38.119999999999997</v>
      </c>
    </row>
    <row r="637" spans="1:4" ht="38.25" x14ac:dyDescent="0.25">
      <c r="A637" s="104">
        <v>53810</v>
      </c>
      <c r="B637" s="105" t="s">
        <v>1327</v>
      </c>
      <c r="C637" s="106" t="s">
        <v>102</v>
      </c>
      <c r="D637" s="107">
        <v>38.36</v>
      </c>
    </row>
    <row r="638" spans="1:4" ht="25.5" x14ac:dyDescent="0.25">
      <c r="A638" s="104">
        <v>53814</v>
      </c>
      <c r="B638" s="105" t="s">
        <v>1328</v>
      </c>
      <c r="C638" s="106" t="s">
        <v>102</v>
      </c>
      <c r="D638" s="107">
        <v>125.66</v>
      </c>
    </row>
    <row r="639" spans="1:4" ht="25.5" x14ac:dyDescent="0.25">
      <c r="A639" s="104">
        <v>53817</v>
      </c>
      <c r="B639" s="105" t="s">
        <v>1329</v>
      </c>
      <c r="C639" s="106" t="s">
        <v>102</v>
      </c>
      <c r="D639" s="107">
        <v>34.03</v>
      </c>
    </row>
    <row r="640" spans="1:4" ht="38.25" x14ac:dyDescent="0.25">
      <c r="A640" s="104">
        <v>53818</v>
      </c>
      <c r="B640" s="105" t="s">
        <v>1330</v>
      </c>
      <c r="C640" s="106" t="s">
        <v>102</v>
      </c>
      <c r="D640" s="107">
        <v>4.8</v>
      </c>
    </row>
    <row r="641" spans="1:4" ht="38.25" x14ac:dyDescent="0.25">
      <c r="A641" s="104">
        <v>53827</v>
      </c>
      <c r="B641" s="105" t="s">
        <v>1331</v>
      </c>
      <c r="C641" s="106" t="s">
        <v>102</v>
      </c>
      <c r="D641" s="107">
        <v>62.13</v>
      </c>
    </row>
    <row r="642" spans="1:4" ht="51" x14ac:dyDescent="0.25">
      <c r="A642" s="104">
        <v>53829</v>
      </c>
      <c r="B642" s="105" t="s">
        <v>1332</v>
      </c>
      <c r="C642" s="106" t="s">
        <v>102</v>
      </c>
      <c r="D642" s="107">
        <v>63.47</v>
      </c>
    </row>
    <row r="643" spans="1:4" ht="51" x14ac:dyDescent="0.25">
      <c r="A643" s="104">
        <v>53831</v>
      </c>
      <c r="B643" s="105" t="s">
        <v>1333</v>
      </c>
      <c r="C643" s="106" t="s">
        <v>102</v>
      </c>
      <c r="D643" s="107">
        <v>104.84</v>
      </c>
    </row>
    <row r="644" spans="1:4" ht="25.5" x14ac:dyDescent="0.25">
      <c r="A644" s="104">
        <v>53840</v>
      </c>
      <c r="B644" s="105" t="s">
        <v>1334</v>
      </c>
      <c r="C644" s="106" t="s">
        <v>102</v>
      </c>
      <c r="D644" s="107">
        <v>1.36</v>
      </c>
    </row>
    <row r="645" spans="1:4" ht="25.5" x14ac:dyDescent="0.25">
      <c r="A645" s="104">
        <v>53841</v>
      </c>
      <c r="B645" s="105" t="s">
        <v>1335</v>
      </c>
      <c r="C645" s="106" t="s">
        <v>102</v>
      </c>
      <c r="D645" s="107">
        <v>0.94</v>
      </c>
    </row>
    <row r="646" spans="1:4" ht="38.25" x14ac:dyDescent="0.25">
      <c r="A646" s="104">
        <v>53849</v>
      </c>
      <c r="B646" s="105" t="s">
        <v>1336</v>
      </c>
      <c r="C646" s="106" t="s">
        <v>102</v>
      </c>
      <c r="D646" s="107">
        <v>45.6</v>
      </c>
    </row>
    <row r="647" spans="1:4" ht="38.25" x14ac:dyDescent="0.25">
      <c r="A647" s="104">
        <v>53857</v>
      </c>
      <c r="B647" s="105" t="s">
        <v>1337</v>
      </c>
      <c r="C647" s="106" t="s">
        <v>102</v>
      </c>
      <c r="D647" s="107">
        <v>26.94</v>
      </c>
    </row>
    <row r="648" spans="1:4" ht="38.25" x14ac:dyDescent="0.25">
      <c r="A648" s="104">
        <v>53858</v>
      </c>
      <c r="B648" s="105" t="s">
        <v>1338</v>
      </c>
      <c r="C648" s="106" t="s">
        <v>102</v>
      </c>
      <c r="D648" s="107">
        <v>43.58</v>
      </c>
    </row>
    <row r="649" spans="1:4" ht="38.25" x14ac:dyDescent="0.25">
      <c r="A649" s="104">
        <v>53861</v>
      </c>
      <c r="B649" s="105" t="s">
        <v>1339</v>
      </c>
      <c r="C649" s="106" t="s">
        <v>102</v>
      </c>
      <c r="D649" s="107">
        <v>37.36</v>
      </c>
    </row>
    <row r="650" spans="1:4" ht="25.5" x14ac:dyDescent="0.25">
      <c r="A650" s="104">
        <v>53863</v>
      </c>
      <c r="B650" s="105" t="s">
        <v>1340</v>
      </c>
      <c r="C650" s="106" t="s">
        <v>102</v>
      </c>
      <c r="D650" s="107">
        <v>1.96</v>
      </c>
    </row>
    <row r="651" spans="1:4" ht="38.25" x14ac:dyDescent="0.25">
      <c r="A651" s="104">
        <v>53865</v>
      </c>
      <c r="B651" s="105" t="s">
        <v>1341</v>
      </c>
      <c r="C651" s="106" t="s">
        <v>102</v>
      </c>
      <c r="D651" s="107">
        <v>25.68</v>
      </c>
    </row>
    <row r="652" spans="1:4" ht="51" x14ac:dyDescent="0.25">
      <c r="A652" s="104">
        <v>53866</v>
      </c>
      <c r="B652" s="105" t="s">
        <v>1342</v>
      </c>
      <c r="C652" s="106" t="s">
        <v>102</v>
      </c>
      <c r="D652" s="107">
        <v>1.56</v>
      </c>
    </row>
    <row r="653" spans="1:4" ht="51" x14ac:dyDescent="0.25">
      <c r="A653" s="104">
        <v>53882</v>
      </c>
      <c r="B653" s="105" t="s">
        <v>1343</v>
      </c>
      <c r="C653" s="106" t="s">
        <v>102</v>
      </c>
      <c r="D653" s="107">
        <v>17.48</v>
      </c>
    </row>
    <row r="654" spans="1:4" ht="38.25" x14ac:dyDescent="0.25">
      <c r="A654" s="104">
        <v>55263</v>
      </c>
      <c r="B654" s="105" t="s">
        <v>1344</v>
      </c>
      <c r="C654" s="106" t="s">
        <v>102</v>
      </c>
      <c r="D654" s="107">
        <v>35.11</v>
      </c>
    </row>
    <row r="655" spans="1:4" ht="25.5" x14ac:dyDescent="0.25">
      <c r="A655" s="104">
        <v>73303</v>
      </c>
      <c r="B655" s="105" t="s">
        <v>1345</v>
      </c>
      <c r="C655" s="106" t="s">
        <v>102</v>
      </c>
      <c r="D655" s="107">
        <v>4.3899999999999997</v>
      </c>
    </row>
    <row r="656" spans="1:4" ht="25.5" x14ac:dyDescent="0.25">
      <c r="A656" s="104">
        <v>73307</v>
      </c>
      <c r="B656" s="105" t="s">
        <v>1346</v>
      </c>
      <c r="C656" s="106" t="s">
        <v>102</v>
      </c>
      <c r="D656" s="107">
        <v>3.91</v>
      </c>
    </row>
    <row r="657" spans="1:4" ht="38.25" x14ac:dyDescent="0.25">
      <c r="A657" s="104">
        <v>73309</v>
      </c>
      <c r="B657" s="105" t="s">
        <v>1347</v>
      </c>
      <c r="C657" s="106" t="s">
        <v>102</v>
      </c>
      <c r="D657" s="107">
        <v>16.55</v>
      </c>
    </row>
    <row r="658" spans="1:4" ht="25.5" x14ac:dyDescent="0.25">
      <c r="A658" s="104">
        <v>73311</v>
      </c>
      <c r="B658" s="105" t="s">
        <v>1348</v>
      </c>
      <c r="C658" s="106" t="s">
        <v>102</v>
      </c>
      <c r="D658" s="107">
        <v>97.05</v>
      </c>
    </row>
    <row r="659" spans="1:4" ht="38.25" x14ac:dyDescent="0.25">
      <c r="A659" s="104">
        <v>73313</v>
      </c>
      <c r="B659" s="105" t="s">
        <v>1349</v>
      </c>
      <c r="C659" s="106" t="s">
        <v>102</v>
      </c>
      <c r="D659" s="107">
        <v>2.29</v>
      </c>
    </row>
    <row r="660" spans="1:4" ht="51" x14ac:dyDescent="0.25">
      <c r="A660" s="104">
        <v>73315</v>
      </c>
      <c r="B660" s="105" t="s">
        <v>1350</v>
      </c>
      <c r="C660" s="106" t="s">
        <v>102</v>
      </c>
      <c r="D660" s="107">
        <v>31.13</v>
      </c>
    </row>
    <row r="661" spans="1:4" ht="51" x14ac:dyDescent="0.25">
      <c r="A661" s="104">
        <v>73335</v>
      </c>
      <c r="B661" s="105" t="s">
        <v>1351</v>
      </c>
      <c r="C661" s="106" t="s">
        <v>102</v>
      </c>
      <c r="D661" s="107">
        <v>16.510000000000002</v>
      </c>
    </row>
    <row r="662" spans="1:4" ht="51" x14ac:dyDescent="0.25">
      <c r="A662" s="104">
        <v>73340</v>
      </c>
      <c r="B662" s="105" t="s">
        <v>1352</v>
      </c>
      <c r="C662" s="106" t="s">
        <v>102</v>
      </c>
      <c r="D662" s="107">
        <v>44.4</v>
      </c>
    </row>
    <row r="663" spans="1:4" ht="51" x14ac:dyDescent="0.25">
      <c r="A663" s="104">
        <v>83361</v>
      </c>
      <c r="B663" s="105" t="s">
        <v>1353</v>
      </c>
      <c r="C663" s="106" t="s">
        <v>102</v>
      </c>
      <c r="D663" s="107">
        <v>10.210000000000001</v>
      </c>
    </row>
    <row r="664" spans="1:4" ht="38.25" x14ac:dyDescent="0.25">
      <c r="A664" s="104">
        <v>83761</v>
      </c>
      <c r="B664" s="105" t="s">
        <v>1354</v>
      </c>
      <c r="C664" s="106" t="s">
        <v>102</v>
      </c>
      <c r="D664" s="107">
        <v>9.36</v>
      </c>
    </row>
    <row r="665" spans="1:4" ht="38.25" x14ac:dyDescent="0.25">
      <c r="A665" s="104">
        <v>83762</v>
      </c>
      <c r="B665" s="105" t="s">
        <v>1355</v>
      </c>
      <c r="C665" s="106" t="s">
        <v>102</v>
      </c>
      <c r="D665" s="107">
        <v>11.7</v>
      </c>
    </row>
    <row r="666" spans="1:4" ht="38.25" x14ac:dyDescent="0.25">
      <c r="A666" s="104">
        <v>83763</v>
      </c>
      <c r="B666" s="105" t="s">
        <v>1356</v>
      </c>
      <c r="C666" s="106" t="s">
        <v>102</v>
      </c>
      <c r="D666" s="107">
        <v>27.35</v>
      </c>
    </row>
    <row r="667" spans="1:4" ht="38.25" x14ac:dyDescent="0.25">
      <c r="A667" s="104">
        <v>83764</v>
      </c>
      <c r="B667" s="105" t="s">
        <v>1357</v>
      </c>
      <c r="C667" s="106" t="s">
        <v>102</v>
      </c>
      <c r="D667" s="107">
        <v>1.05</v>
      </c>
    </row>
    <row r="668" spans="1:4" ht="25.5" x14ac:dyDescent="0.25">
      <c r="A668" s="104">
        <v>87026</v>
      </c>
      <c r="B668" s="105" t="s">
        <v>1358</v>
      </c>
      <c r="C668" s="106" t="s">
        <v>102</v>
      </c>
      <c r="D668" s="107">
        <v>0.19</v>
      </c>
    </row>
    <row r="669" spans="1:4" ht="38.25" x14ac:dyDescent="0.25">
      <c r="A669" s="104">
        <v>87441</v>
      </c>
      <c r="B669" s="105" t="s">
        <v>1359</v>
      </c>
      <c r="C669" s="106" t="s">
        <v>102</v>
      </c>
      <c r="D669" s="107">
        <v>0.32</v>
      </c>
    </row>
    <row r="670" spans="1:4" ht="38.25" x14ac:dyDescent="0.25">
      <c r="A670" s="104">
        <v>87442</v>
      </c>
      <c r="B670" s="105" t="s">
        <v>1360</v>
      </c>
      <c r="C670" s="106" t="s">
        <v>102</v>
      </c>
      <c r="D670" s="107">
        <v>0.03</v>
      </c>
    </row>
    <row r="671" spans="1:4" ht="38.25" x14ac:dyDescent="0.25">
      <c r="A671" s="104">
        <v>87443</v>
      </c>
      <c r="B671" s="105" t="s">
        <v>1361</v>
      </c>
      <c r="C671" s="106" t="s">
        <v>102</v>
      </c>
      <c r="D671" s="107">
        <v>0.3</v>
      </c>
    </row>
    <row r="672" spans="1:4" ht="38.25" x14ac:dyDescent="0.25">
      <c r="A672" s="104">
        <v>87444</v>
      </c>
      <c r="B672" s="105" t="s">
        <v>1362</v>
      </c>
      <c r="C672" s="106" t="s">
        <v>102</v>
      </c>
      <c r="D672" s="107">
        <v>2.31</v>
      </c>
    </row>
    <row r="673" spans="1:4" ht="38.25" x14ac:dyDescent="0.25">
      <c r="A673" s="104">
        <v>88387</v>
      </c>
      <c r="B673" s="105" t="s">
        <v>1363</v>
      </c>
      <c r="C673" s="106" t="s">
        <v>102</v>
      </c>
      <c r="D673" s="107">
        <v>0.62</v>
      </c>
    </row>
    <row r="674" spans="1:4" ht="38.25" x14ac:dyDescent="0.25">
      <c r="A674" s="104">
        <v>88389</v>
      </c>
      <c r="B674" s="105" t="s">
        <v>1364</v>
      </c>
      <c r="C674" s="106" t="s">
        <v>102</v>
      </c>
      <c r="D674" s="107">
        <v>7.0000000000000007E-2</v>
      </c>
    </row>
    <row r="675" spans="1:4" ht="38.25" x14ac:dyDescent="0.25">
      <c r="A675" s="104">
        <v>88390</v>
      </c>
      <c r="B675" s="105" t="s">
        <v>1365</v>
      </c>
      <c r="C675" s="106" t="s">
        <v>102</v>
      </c>
      <c r="D675" s="107">
        <v>0.78</v>
      </c>
    </row>
    <row r="676" spans="1:4" ht="38.25" x14ac:dyDescent="0.25">
      <c r="A676" s="104">
        <v>88391</v>
      </c>
      <c r="B676" s="105" t="s">
        <v>1366</v>
      </c>
      <c r="C676" s="106" t="s">
        <v>102</v>
      </c>
      <c r="D676" s="107">
        <v>2.5299999999999998</v>
      </c>
    </row>
    <row r="677" spans="1:4" ht="38.25" x14ac:dyDescent="0.25">
      <c r="A677" s="104">
        <v>88394</v>
      </c>
      <c r="B677" s="105" t="s">
        <v>1367</v>
      </c>
      <c r="C677" s="106" t="s">
        <v>102</v>
      </c>
      <c r="D677" s="107">
        <v>0.74</v>
      </c>
    </row>
    <row r="678" spans="1:4" ht="38.25" x14ac:dyDescent="0.25">
      <c r="A678" s="104">
        <v>88395</v>
      </c>
      <c r="B678" s="105" t="s">
        <v>1368</v>
      </c>
      <c r="C678" s="106" t="s">
        <v>102</v>
      </c>
      <c r="D678" s="107">
        <v>0.08</v>
      </c>
    </row>
    <row r="679" spans="1:4" ht="38.25" x14ac:dyDescent="0.25">
      <c r="A679" s="104">
        <v>88396</v>
      </c>
      <c r="B679" s="105" t="s">
        <v>1369</v>
      </c>
      <c r="C679" s="106" t="s">
        <v>102</v>
      </c>
      <c r="D679" s="107">
        <v>0.93</v>
      </c>
    </row>
    <row r="680" spans="1:4" ht="38.25" x14ac:dyDescent="0.25">
      <c r="A680" s="104">
        <v>88397</v>
      </c>
      <c r="B680" s="105" t="s">
        <v>1370</v>
      </c>
      <c r="C680" s="106" t="s">
        <v>102</v>
      </c>
      <c r="D680" s="107">
        <v>3.79</v>
      </c>
    </row>
    <row r="681" spans="1:4" ht="38.25" x14ac:dyDescent="0.25">
      <c r="A681" s="104">
        <v>88400</v>
      </c>
      <c r="B681" s="105" t="s">
        <v>1371</v>
      </c>
      <c r="C681" s="106" t="s">
        <v>102</v>
      </c>
      <c r="D681" s="107">
        <v>0.59</v>
      </c>
    </row>
    <row r="682" spans="1:4" ht="38.25" x14ac:dyDescent="0.25">
      <c r="A682" s="104">
        <v>88401</v>
      </c>
      <c r="B682" s="105" t="s">
        <v>1372</v>
      </c>
      <c r="C682" s="106" t="s">
        <v>102</v>
      </c>
      <c r="D682" s="107">
        <v>7.0000000000000007E-2</v>
      </c>
    </row>
    <row r="683" spans="1:4" ht="38.25" x14ac:dyDescent="0.25">
      <c r="A683" s="104">
        <v>88402</v>
      </c>
      <c r="B683" s="105" t="s">
        <v>1373</v>
      </c>
      <c r="C683" s="106" t="s">
        <v>102</v>
      </c>
      <c r="D683" s="107">
        <v>0.74</v>
      </c>
    </row>
    <row r="684" spans="1:4" ht="38.25" x14ac:dyDescent="0.25">
      <c r="A684" s="104">
        <v>88403</v>
      </c>
      <c r="B684" s="105" t="s">
        <v>1374</v>
      </c>
      <c r="C684" s="106" t="s">
        <v>102</v>
      </c>
      <c r="D684" s="107">
        <v>1.52</v>
      </c>
    </row>
    <row r="685" spans="1:4" ht="38.25" x14ac:dyDescent="0.25">
      <c r="A685" s="104">
        <v>88419</v>
      </c>
      <c r="B685" s="105" t="s">
        <v>1375</v>
      </c>
      <c r="C685" s="106" t="s">
        <v>102</v>
      </c>
      <c r="D685" s="107">
        <v>3.86</v>
      </c>
    </row>
    <row r="686" spans="1:4" ht="38.25" x14ac:dyDescent="0.25">
      <c r="A686" s="104">
        <v>88422</v>
      </c>
      <c r="B686" s="105" t="s">
        <v>1376</v>
      </c>
      <c r="C686" s="106" t="s">
        <v>102</v>
      </c>
      <c r="D686" s="107">
        <v>0.45</v>
      </c>
    </row>
    <row r="687" spans="1:4" ht="38.25" x14ac:dyDescent="0.25">
      <c r="A687" s="104">
        <v>88425</v>
      </c>
      <c r="B687" s="105" t="s">
        <v>1377</v>
      </c>
      <c r="C687" s="106" t="s">
        <v>102</v>
      </c>
      <c r="D687" s="107">
        <v>4.22</v>
      </c>
    </row>
    <row r="688" spans="1:4" ht="38.25" x14ac:dyDescent="0.25">
      <c r="A688" s="104">
        <v>88427</v>
      </c>
      <c r="B688" s="105" t="s">
        <v>1378</v>
      </c>
      <c r="C688" s="106" t="s">
        <v>102</v>
      </c>
      <c r="D688" s="107">
        <v>3.85</v>
      </c>
    </row>
    <row r="689" spans="1:4" ht="38.25" x14ac:dyDescent="0.25">
      <c r="A689" s="104">
        <v>88434</v>
      </c>
      <c r="B689" s="105" t="s">
        <v>1379</v>
      </c>
      <c r="C689" s="106" t="s">
        <v>102</v>
      </c>
      <c r="D689" s="107">
        <v>5.1100000000000003</v>
      </c>
    </row>
    <row r="690" spans="1:4" ht="38.25" x14ac:dyDescent="0.25">
      <c r="A690" s="104">
        <v>88435</v>
      </c>
      <c r="B690" s="105" t="s">
        <v>1380</v>
      </c>
      <c r="C690" s="106" t="s">
        <v>102</v>
      </c>
      <c r="D690" s="107">
        <v>0.6</v>
      </c>
    </row>
    <row r="691" spans="1:4" ht="38.25" x14ac:dyDescent="0.25">
      <c r="A691" s="104">
        <v>88436</v>
      </c>
      <c r="B691" s="105" t="s">
        <v>1381</v>
      </c>
      <c r="C691" s="106" t="s">
        <v>102</v>
      </c>
      <c r="D691" s="107">
        <v>5.59</v>
      </c>
    </row>
    <row r="692" spans="1:4" ht="38.25" x14ac:dyDescent="0.25">
      <c r="A692" s="104">
        <v>88437</v>
      </c>
      <c r="B692" s="105" t="s">
        <v>1382</v>
      </c>
      <c r="C692" s="106" t="s">
        <v>102</v>
      </c>
      <c r="D692" s="107">
        <v>3.85</v>
      </c>
    </row>
    <row r="693" spans="1:4" ht="38.25" x14ac:dyDescent="0.25">
      <c r="A693" s="104">
        <v>88569</v>
      </c>
      <c r="B693" s="105" t="s">
        <v>1383</v>
      </c>
      <c r="C693" s="106" t="s">
        <v>102</v>
      </c>
      <c r="D693" s="107">
        <v>2.46</v>
      </c>
    </row>
    <row r="694" spans="1:4" ht="38.25" x14ac:dyDescent="0.25">
      <c r="A694" s="104">
        <v>88570</v>
      </c>
      <c r="B694" s="105" t="s">
        <v>1384</v>
      </c>
      <c r="C694" s="106" t="s">
        <v>102</v>
      </c>
      <c r="D694" s="107">
        <v>0.53</v>
      </c>
    </row>
    <row r="695" spans="1:4" ht="38.25" x14ac:dyDescent="0.25">
      <c r="A695" s="104">
        <v>88826</v>
      </c>
      <c r="B695" s="105" t="s">
        <v>1385</v>
      </c>
      <c r="C695" s="106" t="s">
        <v>102</v>
      </c>
      <c r="D695" s="107">
        <v>0.23</v>
      </c>
    </row>
    <row r="696" spans="1:4" ht="38.25" x14ac:dyDescent="0.25">
      <c r="A696" s="104">
        <v>88827</v>
      </c>
      <c r="B696" s="105" t="s">
        <v>1386</v>
      </c>
      <c r="C696" s="106" t="s">
        <v>102</v>
      </c>
      <c r="D696" s="107">
        <v>0.02</v>
      </c>
    </row>
    <row r="697" spans="1:4" ht="38.25" x14ac:dyDescent="0.25">
      <c r="A697" s="104">
        <v>88828</v>
      </c>
      <c r="B697" s="105" t="s">
        <v>1387</v>
      </c>
      <c r="C697" s="106" t="s">
        <v>102</v>
      </c>
      <c r="D697" s="107">
        <v>0.22</v>
      </c>
    </row>
    <row r="698" spans="1:4" ht="38.25" x14ac:dyDescent="0.25">
      <c r="A698" s="104">
        <v>88829</v>
      </c>
      <c r="B698" s="105" t="s">
        <v>1388</v>
      </c>
      <c r="C698" s="106" t="s">
        <v>102</v>
      </c>
      <c r="D698" s="107">
        <v>1.01</v>
      </c>
    </row>
    <row r="699" spans="1:4" ht="38.25" x14ac:dyDescent="0.25">
      <c r="A699" s="104">
        <v>88832</v>
      </c>
      <c r="B699" s="105" t="s">
        <v>1389</v>
      </c>
      <c r="C699" s="106" t="s">
        <v>102</v>
      </c>
      <c r="D699" s="107">
        <v>24.04</v>
      </c>
    </row>
    <row r="700" spans="1:4" ht="25.5" x14ac:dyDescent="0.25">
      <c r="A700" s="104">
        <v>88834</v>
      </c>
      <c r="B700" s="105" t="s">
        <v>1390</v>
      </c>
      <c r="C700" s="106" t="s">
        <v>102</v>
      </c>
      <c r="D700" s="107">
        <v>3.26</v>
      </c>
    </row>
    <row r="701" spans="1:4" ht="38.25" x14ac:dyDescent="0.25">
      <c r="A701" s="104">
        <v>88835</v>
      </c>
      <c r="B701" s="105" t="s">
        <v>1391</v>
      </c>
      <c r="C701" s="106" t="s">
        <v>102</v>
      </c>
      <c r="D701" s="107">
        <v>30.05</v>
      </c>
    </row>
    <row r="702" spans="1:4" ht="38.25" x14ac:dyDescent="0.25">
      <c r="A702" s="104">
        <v>88836</v>
      </c>
      <c r="B702" s="105" t="s">
        <v>1392</v>
      </c>
      <c r="C702" s="106" t="s">
        <v>102</v>
      </c>
      <c r="D702" s="107">
        <v>34.78</v>
      </c>
    </row>
    <row r="703" spans="1:4" ht="25.5" x14ac:dyDescent="0.25">
      <c r="A703" s="104">
        <v>88839</v>
      </c>
      <c r="B703" s="105" t="s">
        <v>1393</v>
      </c>
      <c r="C703" s="106" t="s">
        <v>102</v>
      </c>
      <c r="D703" s="107">
        <v>17.32</v>
      </c>
    </row>
    <row r="704" spans="1:4" ht="25.5" x14ac:dyDescent="0.25">
      <c r="A704" s="104">
        <v>88840</v>
      </c>
      <c r="B704" s="105" t="s">
        <v>1394</v>
      </c>
      <c r="C704" s="106" t="s">
        <v>102</v>
      </c>
      <c r="D704" s="107">
        <v>3.89</v>
      </c>
    </row>
    <row r="705" spans="1:4" ht="25.5" x14ac:dyDescent="0.25">
      <c r="A705" s="104">
        <v>88841</v>
      </c>
      <c r="B705" s="105" t="s">
        <v>1395</v>
      </c>
      <c r="C705" s="106" t="s">
        <v>102</v>
      </c>
      <c r="D705" s="107">
        <v>30.97</v>
      </c>
    </row>
    <row r="706" spans="1:4" ht="25.5" x14ac:dyDescent="0.25">
      <c r="A706" s="104">
        <v>88842</v>
      </c>
      <c r="B706" s="105" t="s">
        <v>1396</v>
      </c>
      <c r="C706" s="106" t="s">
        <v>102</v>
      </c>
      <c r="D706" s="107">
        <v>42.57</v>
      </c>
    </row>
    <row r="707" spans="1:4" ht="51" x14ac:dyDescent="0.25">
      <c r="A707" s="104">
        <v>88847</v>
      </c>
      <c r="B707" s="105" t="s">
        <v>1397</v>
      </c>
      <c r="C707" s="106" t="s">
        <v>102</v>
      </c>
      <c r="D707" s="107">
        <v>14.55</v>
      </c>
    </row>
    <row r="708" spans="1:4" ht="51" x14ac:dyDescent="0.25">
      <c r="A708" s="104">
        <v>88848</v>
      </c>
      <c r="B708" s="105" t="s">
        <v>1398</v>
      </c>
      <c r="C708" s="106" t="s">
        <v>102</v>
      </c>
      <c r="D708" s="107">
        <v>3.05</v>
      </c>
    </row>
    <row r="709" spans="1:4" ht="38.25" x14ac:dyDescent="0.25">
      <c r="A709" s="104">
        <v>88853</v>
      </c>
      <c r="B709" s="105" t="s">
        <v>1399</v>
      </c>
      <c r="C709" s="106" t="s">
        <v>102</v>
      </c>
      <c r="D709" s="107">
        <v>0.15</v>
      </c>
    </row>
    <row r="710" spans="1:4" ht="38.25" x14ac:dyDescent="0.25">
      <c r="A710" s="104">
        <v>88854</v>
      </c>
      <c r="B710" s="105" t="s">
        <v>1400</v>
      </c>
      <c r="C710" s="106" t="s">
        <v>102</v>
      </c>
      <c r="D710" s="107">
        <v>0.01</v>
      </c>
    </row>
    <row r="711" spans="1:4" ht="25.5" x14ac:dyDescent="0.25">
      <c r="A711" s="104">
        <v>88855</v>
      </c>
      <c r="B711" s="105" t="s">
        <v>1401</v>
      </c>
      <c r="C711" s="106" t="s">
        <v>102</v>
      </c>
      <c r="D711" s="107">
        <v>1.74</v>
      </c>
    </row>
    <row r="712" spans="1:4" ht="25.5" x14ac:dyDescent="0.25">
      <c r="A712" s="104">
        <v>88856</v>
      </c>
      <c r="B712" s="105" t="s">
        <v>1402</v>
      </c>
      <c r="C712" s="106" t="s">
        <v>102</v>
      </c>
      <c r="D712" s="107">
        <v>0.24</v>
      </c>
    </row>
    <row r="713" spans="1:4" ht="63.75" x14ac:dyDescent="0.25">
      <c r="A713" s="104">
        <v>88857</v>
      </c>
      <c r="B713" s="105" t="s">
        <v>1403</v>
      </c>
      <c r="C713" s="106" t="s">
        <v>102</v>
      </c>
      <c r="D713" s="107">
        <v>14.22</v>
      </c>
    </row>
    <row r="714" spans="1:4" ht="51" x14ac:dyDescent="0.25">
      <c r="A714" s="104">
        <v>88858</v>
      </c>
      <c r="B714" s="105" t="s">
        <v>1404</v>
      </c>
      <c r="C714" s="106" t="s">
        <v>102</v>
      </c>
      <c r="D714" s="107">
        <v>1.93</v>
      </c>
    </row>
    <row r="715" spans="1:4" ht="63.75" x14ac:dyDescent="0.25">
      <c r="A715" s="104">
        <v>88859</v>
      </c>
      <c r="B715" s="105" t="s">
        <v>1405</v>
      </c>
      <c r="C715" s="106" t="s">
        <v>102</v>
      </c>
      <c r="D715" s="107">
        <v>12.65</v>
      </c>
    </row>
    <row r="716" spans="1:4" ht="51" x14ac:dyDescent="0.25">
      <c r="A716" s="104">
        <v>88860</v>
      </c>
      <c r="B716" s="105" t="s">
        <v>1406</v>
      </c>
      <c r="C716" s="106" t="s">
        <v>102</v>
      </c>
      <c r="D716" s="107">
        <v>1.71</v>
      </c>
    </row>
    <row r="717" spans="1:4" ht="38.25" x14ac:dyDescent="0.25">
      <c r="A717" s="104">
        <v>88900</v>
      </c>
      <c r="B717" s="105" t="s">
        <v>1407</v>
      </c>
      <c r="C717" s="106" t="s">
        <v>102</v>
      </c>
      <c r="D717" s="107">
        <v>28.03</v>
      </c>
    </row>
    <row r="718" spans="1:4" ht="25.5" x14ac:dyDescent="0.25">
      <c r="A718" s="104">
        <v>88902</v>
      </c>
      <c r="B718" s="105" t="s">
        <v>1408</v>
      </c>
      <c r="C718" s="106" t="s">
        <v>102</v>
      </c>
      <c r="D718" s="107">
        <v>3.8</v>
      </c>
    </row>
    <row r="719" spans="1:4" ht="38.25" x14ac:dyDescent="0.25">
      <c r="A719" s="104">
        <v>88903</v>
      </c>
      <c r="B719" s="105" t="s">
        <v>1409</v>
      </c>
      <c r="C719" s="106" t="s">
        <v>102</v>
      </c>
      <c r="D719" s="107">
        <v>35.04</v>
      </c>
    </row>
    <row r="720" spans="1:4" ht="38.25" x14ac:dyDescent="0.25">
      <c r="A720" s="104">
        <v>88904</v>
      </c>
      <c r="B720" s="105" t="s">
        <v>1410</v>
      </c>
      <c r="C720" s="106" t="s">
        <v>102</v>
      </c>
      <c r="D720" s="107">
        <v>48.99</v>
      </c>
    </row>
    <row r="721" spans="1:4" ht="38.25" x14ac:dyDescent="0.25">
      <c r="A721" s="104">
        <v>89009</v>
      </c>
      <c r="B721" s="105" t="s">
        <v>1411</v>
      </c>
      <c r="C721" s="106" t="s">
        <v>102</v>
      </c>
      <c r="D721" s="107">
        <v>21.45</v>
      </c>
    </row>
    <row r="722" spans="1:4" ht="25.5" x14ac:dyDescent="0.25">
      <c r="A722" s="104">
        <v>89010</v>
      </c>
      <c r="B722" s="105" t="s">
        <v>1412</v>
      </c>
      <c r="C722" s="106" t="s">
        <v>102</v>
      </c>
      <c r="D722" s="107">
        <v>4.83</v>
      </c>
    </row>
    <row r="723" spans="1:4" ht="63.75" x14ac:dyDescent="0.25">
      <c r="A723" s="104">
        <v>89011</v>
      </c>
      <c r="B723" s="105" t="s">
        <v>1413</v>
      </c>
      <c r="C723" s="106" t="s">
        <v>102</v>
      </c>
      <c r="D723" s="107">
        <v>13.72</v>
      </c>
    </row>
    <row r="724" spans="1:4" ht="51" x14ac:dyDescent="0.25">
      <c r="A724" s="104">
        <v>89012</v>
      </c>
      <c r="B724" s="105" t="s">
        <v>1414</v>
      </c>
      <c r="C724" s="106" t="s">
        <v>102</v>
      </c>
      <c r="D724" s="107">
        <v>1.86</v>
      </c>
    </row>
    <row r="725" spans="1:4" ht="25.5" x14ac:dyDescent="0.25">
      <c r="A725" s="104">
        <v>89013</v>
      </c>
      <c r="B725" s="105" t="s">
        <v>1415</v>
      </c>
      <c r="C725" s="106" t="s">
        <v>102</v>
      </c>
      <c r="D725" s="107">
        <v>70.290000000000006</v>
      </c>
    </row>
    <row r="726" spans="1:4" ht="25.5" x14ac:dyDescent="0.25">
      <c r="A726" s="104">
        <v>89014</v>
      </c>
      <c r="B726" s="105" t="s">
        <v>1416</v>
      </c>
      <c r="C726" s="106" t="s">
        <v>102</v>
      </c>
      <c r="D726" s="107">
        <v>15.82</v>
      </c>
    </row>
    <row r="727" spans="1:4" ht="25.5" x14ac:dyDescent="0.25">
      <c r="A727" s="104">
        <v>89015</v>
      </c>
      <c r="B727" s="105" t="s">
        <v>1417</v>
      </c>
      <c r="C727" s="106" t="s">
        <v>102</v>
      </c>
      <c r="D727" s="107">
        <v>2.0099999999999998</v>
      </c>
    </row>
    <row r="728" spans="1:4" ht="25.5" x14ac:dyDescent="0.25">
      <c r="A728" s="104">
        <v>89016</v>
      </c>
      <c r="B728" s="105" t="s">
        <v>1418</v>
      </c>
      <c r="C728" s="106" t="s">
        <v>102</v>
      </c>
      <c r="D728" s="107">
        <v>0.27</v>
      </c>
    </row>
    <row r="729" spans="1:4" ht="25.5" x14ac:dyDescent="0.25">
      <c r="A729" s="104">
        <v>89017</v>
      </c>
      <c r="B729" s="105" t="s">
        <v>1419</v>
      </c>
      <c r="C729" s="106" t="s">
        <v>102</v>
      </c>
      <c r="D729" s="107">
        <v>21.32</v>
      </c>
    </row>
    <row r="730" spans="1:4" ht="25.5" x14ac:dyDescent="0.25">
      <c r="A730" s="104">
        <v>89018</v>
      </c>
      <c r="B730" s="105" t="s">
        <v>1420</v>
      </c>
      <c r="C730" s="106" t="s">
        <v>102</v>
      </c>
      <c r="D730" s="107">
        <v>4.8</v>
      </c>
    </row>
    <row r="731" spans="1:4" ht="38.25" x14ac:dyDescent="0.25">
      <c r="A731" s="104">
        <v>89019</v>
      </c>
      <c r="B731" s="105" t="s">
        <v>1421</v>
      </c>
      <c r="C731" s="106" t="s">
        <v>102</v>
      </c>
      <c r="D731" s="107">
        <v>0.27</v>
      </c>
    </row>
    <row r="732" spans="1:4" ht="38.25" x14ac:dyDescent="0.25">
      <c r="A732" s="104">
        <v>89020</v>
      </c>
      <c r="B732" s="105" t="s">
        <v>1422</v>
      </c>
      <c r="C732" s="106" t="s">
        <v>102</v>
      </c>
      <c r="D732" s="107">
        <v>0.03</v>
      </c>
    </row>
    <row r="733" spans="1:4" ht="25.5" x14ac:dyDescent="0.25">
      <c r="A733" s="104">
        <v>89023</v>
      </c>
      <c r="B733" s="105" t="s">
        <v>1423</v>
      </c>
      <c r="C733" s="106" t="s">
        <v>102</v>
      </c>
      <c r="D733" s="107">
        <v>2.62</v>
      </c>
    </row>
    <row r="734" spans="1:4" ht="25.5" x14ac:dyDescent="0.25">
      <c r="A734" s="104">
        <v>89024</v>
      </c>
      <c r="B734" s="105" t="s">
        <v>1424</v>
      </c>
      <c r="C734" s="106" t="s">
        <v>102</v>
      </c>
      <c r="D734" s="107">
        <v>0.43</v>
      </c>
    </row>
    <row r="735" spans="1:4" ht="25.5" x14ac:dyDescent="0.25">
      <c r="A735" s="104">
        <v>89025</v>
      </c>
      <c r="B735" s="105" t="s">
        <v>1425</v>
      </c>
      <c r="C735" s="106" t="s">
        <v>102</v>
      </c>
      <c r="D735" s="107">
        <v>4.91</v>
      </c>
    </row>
    <row r="736" spans="1:4" ht="25.5" x14ac:dyDescent="0.25">
      <c r="A736" s="104">
        <v>89026</v>
      </c>
      <c r="B736" s="105" t="s">
        <v>1426</v>
      </c>
      <c r="C736" s="106" t="s">
        <v>102</v>
      </c>
      <c r="D736" s="107">
        <v>108.49</v>
      </c>
    </row>
    <row r="737" spans="1:4" ht="25.5" x14ac:dyDescent="0.25">
      <c r="A737" s="104">
        <v>89029</v>
      </c>
      <c r="B737" s="105" t="s">
        <v>1427</v>
      </c>
      <c r="C737" s="106" t="s">
        <v>102</v>
      </c>
      <c r="D737" s="107">
        <v>16.55</v>
      </c>
    </row>
    <row r="738" spans="1:4" ht="25.5" x14ac:dyDescent="0.25">
      <c r="A738" s="104">
        <v>89030</v>
      </c>
      <c r="B738" s="105" t="s">
        <v>1428</v>
      </c>
      <c r="C738" s="106" t="s">
        <v>102</v>
      </c>
      <c r="D738" s="107">
        <v>3.72</v>
      </c>
    </row>
    <row r="739" spans="1:4" ht="25.5" x14ac:dyDescent="0.25">
      <c r="A739" s="104">
        <v>89033</v>
      </c>
      <c r="B739" s="105" t="s">
        <v>1429</v>
      </c>
      <c r="C739" s="106" t="s">
        <v>102</v>
      </c>
      <c r="D739" s="107">
        <v>7.19</v>
      </c>
    </row>
    <row r="740" spans="1:4" ht="25.5" x14ac:dyDescent="0.25">
      <c r="A740" s="104">
        <v>89034</v>
      </c>
      <c r="B740" s="105" t="s">
        <v>1430</v>
      </c>
      <c r="C740" s="106" t="s">
        <v>102</v>
      </c>
      <c r="D740" s="107">
        <v>0.99</v>
      </c>
    </row>
    <row r="741" spans="1:4" ht="38.25" x14ac:dyDescent="0.25">
      <c r="A741" s="104">
        <v>89128</v>
      </c>
      <c r="B741" s="105" t="s">
        <v>1431</v>
      </c>
      <c r="C741" s="106" t="s">
        <v>102</v>
      </c>
      <c r="D741" s="107">
        <v>21.55</v>
      </c>
    </row>
    <row r="742" spans="1:4" ht="38.25" x14ac:dyDescent="0.25">
      <c r="A742" s="104">
        <v>89129</v>
      </c>
      <c r="B742" s="105" t="s">
        <v>1432</v>
      </c>
      <c r="C742" s="106" t="s">
        <v>102</v>
      </c>
      <c r="D742" s="107">
        <v>2.92</v>
      </c>
    </row>
    <row r="743" spans="1:4" ht="38.25" x14ac:dyDescent="0.25">
      <c r="A743" s="104">
        <v>89130</v>
      </c>
      <c r="B743" s="105" t="s">
        <v>1433</v>
      </c>
      <c r="C743" s="106" t="s">
        <v>102</v>
      </c>
      <c r="D743" s="107">
        <v>29.89</v>
      </c>
    </row>
    <row r="744" spans="1:4" ht="38.25" x14ac:dyDescent="0.25">
      <c r="A744" s="104">
        <v>89131</v>
      </c>
      <c r="B744" s="105" t="s">
        <v>1434</v>
      </c>
      <c r="C744" s="106" t="s">
        <v>102</v>
      </c>
      <c r="D744" s="107">
        <v>4.05</v>
      </c>
    </row>
    <row r="745" spans="1:4" ht="51" x14ac:dyDescent="0.25">
      <c r="A745" s="104">
        <v>89210</v>
      </c>
      <c r="B745" s="105" t="s">
        <v>1435</v>
      </c>
      <c r="C745" s="106" t="s">
        <v>102</v>
      </c>
      <c r="D745" s="107">
        <v>15.91</v>
      </c>
    </row>
    <row r="746" spans="1:4" ht="51" x14ac:dyDescent="0.25">
      <c r="A746" s="104">
        <v>89211</v>
      </c>
      <c r="B746" s="105" t="s">
        <v>1436</v>
      </c>
      <c r="C746" s="106" t="s">
        <v>102</v>
      </c>
      <c r="D746" s="107">
        <v>2.21</v>
      </c>
    </row>
    <row r="747" spans="1:4" ht="25.5" x14ac:dyDescent="0.25">
      <c r="A747" s="104">
        <v>89212</v>
      </c>
      <c r="B747" s="105" t="s">
        <v>1437</v>
      </c>
      <c r="C747" s="106" t="s">
        <v>102</v>
      </c>
      <c r="D747" s="107">
        <v>15.18</v>
      </c>
    </row>
    <row r="748" spans="1:4" ht="25.5" x14ac:dyDescent="0.25">
      <c r="A748" s="104">
        <v>89213</v>
      </c>
      <c r="B748" s="105" t="s">
        <v>1438</v>
      </c>
      <c r="C748" s="106" t="s">
        <v>102</v>
      </c>
      <c r="D748" s="107">
        <v>2.39</v>
      </c>
    </row>
    <row r="749" spans="1:4" ht="25.5" x14ac:dyDescent="0.25">
      <c r="A749" s="104">
        <v>89214</v>
      </c>
      <c r="B749" s="105" t="s">
        <v>1439</v>
      </c>
      <c r="C749" s="106" t="s">
        <v>102</v>
      </c>
      <c r="D749" s="107">
        <v>14.25</v>
      </c>
    </row>
    <row r="750" spans="1:4" ht="25.5" x14ac:dyDescent="0.25">
      <c r="A750" s="104">
        <v>89215</v>
      </c>
      <c r="B750" s="105" t="s">
        <v>1440</v>
      </c>
      <c r="C750" s="106" t="s">
        <v>102</v>
      </c>
      <c r="D750" s="107">
        <v>50.59</v>
      </c>
    </row>
    <row r="751" spans="1:4" ht="38.25" x14ac:dyDescent="0.25">
      <c r="A751" s="104">
        <v>89221</v>
      </c>
      <c r="B751" s="105" t="s">
        <v>1441</v>
      </c>
      <c r="C751" s="106" t="s">
        <v>102</v>
      </c>
      <c r="D751" s="107">
        <v>0.96</v>
      </c>
    </row>
    <row r="752" spans="1:4" ht="38.25" x14ac:dyDescent="0.25">
      <c r="A752" s="104">
        <v>89222</v>
      </c>
      <c r="B752" s="105" t="s">
        <v>1442</v>
      </c>
      <c r="C752" s="106" t="s">
        <v>102</v>
      </c>
      <c r="D752" s="107">
        <v>0.11</v>
      </c>
    </row>
    <row r="753" spans="1:4" ht="38.25" x14ac:dyDescent="0.25">
      <c r="A753" s="104">
        <v>89223</v>
      </c>
      <c r="B753" s="105" t="s">
        <v>1443</v>
      </c>
      <c r="C753" s="106" t="s">
        <v>102</v>
      </c>
      <c r="D753" s="107">
        <v>0.9</v>
      </c>
    </row>
    <row r="754" spans="1:4" ht="38.25" x14ac:dyDescent="0.25">
      <c r="A754" s="104">
        <v>89224</v>
      </c>
      <c r="B754" s="105" t="s">
        <v>1444</v>
      </c>
      <c r="C754" s="106" t="s">
        <v>102</v>
      </c>
      <c r="D754" s="107">
        <v>2.02</v>
      </c>
    </row>
    <row r="755" spans="1:4" ht="38.25" x14ac:dyDescent="0.25">
      <c r="A755" s="104">
        <v>89228</v>
      </c>
      <c r="B755" s="105" t="s">
        <v>1445</v>
      </c>
      <c r="C755" s="106" t="s">
        <v>102</v>
      </c>
      <c r="D755" s="107">
        <v>21.68</v>
      </c>
    </row>
    <row r="756" spans="1:4" ht="38.25" x14ac:dyDescent="0.25">
      <c r="A756" s="104">
        <v>89229</v>
      </c>
      <c r="B756" s="105" t="s">
        <v>1446</v>
      </c>
      <c r="C756" s="106" t="s">
        <v>102</v>
      </c>
      <c r="D756" s="107">
        <v>3.9</v>
      </c>
    </row>
    <row r="757" spans="1:4" ht="25.5" x14ac:dyDescent="0.25">
      <c r="A757" s="104">
        <v>89230</v>
      </c>
      <c r="B757" s="105" t="s">
        <v>1447</v>
      </c>
      <c r="C757" s="106" t="s">
        <v>102</v>
      </c>
      <c r="D757" s="107">
        <v>89.84</v>
      </c>
    </row>
    <row r="758" spans="1:4" ht="25.5" x14ac:dyDescent="0.25">
      <c r="A758" s="104">
        <v>89231</v>
      </c>
      <c r="B758" s="105" t="s">
        <v>1448</v>
      </c>
      <c r="C758" s="106" t="s">
        <v>102</v>
      </c>
      <c r="D758" s="107">
        <v>14.23</v>
      </c>
    </row>
    <row r="759" spans="1:4" ht="25.5" x14ac:dyDescent="0.25">
      <c r="A759" s="104">
        <v>89232</v>
      </c>
      <c r="B759" s="105" t="s">
        <v>1449</v>
      </c>
      <c r="C759" s="106" t="s">
        <v>102</v>
      </c>
      <c r="D759" s="107">
        <v>160.26</v>
      </c>
    </row>
    <row r="760" spans="1:4" ht="25.5" x14ac:dyDescent="0.25">
      <c r="A760" s="104">
        <v>89233</v>
      </c>
      <c r="B760" s="105" t="s">
        <v>1450</v>
      </c>
      <c r="C760" s="106" t="s">
        <v>102</v>
      </c>
      <c r="D760" s="107">
        <v>91.05</v>
      </c>
    </row>
    <row r="761" spans="1:4" ht="25.5" x14ac:dyDescent="0.25">
      <c r="A761" s="104">
        <v>89236</v>
      </c>
      <c r="B761" s="105" t="s">
        <v>1451</v>
      </c>
      <c r="C761" s="106" t="s">
        <v>102</v>
      </c>
      <c r="D761" s="107">
        <v>209.88</v>
      </c>
    </row>
    <row r="762" spans="1:4" ht="25.5" x14ac:dyDescent="0.25">
      <c r="A762" s="104">
        <v>89237</v>
      </c>
      <c r="B762" s="105" t="s">
        <v>1452</v>
      </c>
      <c r="C762" s="106" t="s">
        <v>102</v>
      </c>
      <c r="D762" s="107">
        <v>33.25</v>
      </c>
    </row>
    <row r="763" spans="1:4" ht="25.5" x14ac:dyDescent="0.25">
      <c r="A763" s="104">
        <v>89238</v>
      </c>
      <c r="B763" s="105" t="s">
        <v>1453</v>
      </c>
      <c r="C763" s="106" t="s">
        <v>102</v>
      </c>
      <c r="D763" s="107">
        <v>374.37</v>
      </c>
    </row>
    <row r="764" spans="1:4" ht="25.5" x14ac:dyDescent="0.25">
      <c r="A764" s="104">
        <v>89239</v>
      </c>
      <c r="B764" s="105" t="s">
        <v>1454</v>
      </c>
      <c r="C764" s="106" t="s">
        <v>102</v>
      </c>
      <c r="D764" s="107">
        <v>240.78</v>
      </c>
    </row>
    <row r="765" spans="1:4" ht="38.25" x14ac:dyDescent="0.25">
      <c r="A765" s="104">
        <v>89240</v>
      </c>
      <c r="B765" s="105" t="s">
        <v>1455</v>
      </c>
      <c r="C765" s="106" t="s">
        <v>102</v>
      </c>
      <c r="D765" s="107">
        <v>64.41</v>
      </c>
    </row>
    <row r="766" spans="1:4" ht="38.25" x14ac:dyDescent="0.25">
      <c r="A766" s="104">
        <v>89241</v>
      </c>
      <c r="B766" s="105" t="s">
        <v>1456</v>
      </c>
      <c r="C766" s="106" t="s">
        <v>102</v>
      </c>
      <c r="D766" s="107">
        <v>11.59</v>
      </c>
    </row>
    <row r="767" spans="1:4" ht="25.5" x14ac:dyDescent="0.25">
      <c r="A767" s="104">
        <v>89246</v>
      </c>
      <c r="B767" s="105" t="s">
        <v>1457</v>
      </c>
      <c r="C767" s="106" t="s">
        <v>102</v>
      </c>
      <c r="D767" s="107">
        <v>182.37</v>
      </c>
    </row>
    <row r="768" spans="1:4" ht="25.5" x14ac:dyDescent="0.25">
      <c r="A768" s="104">
        <v>89247</v>
      </c>
      <c r="B768" s="105" t="s">
        <v>1458</v>
      </c>
      <c r="C768" s="106" t="s">
        <v>102</v>
      </c>
      <c r="D768" s="107">
        <v>28.89</v>
      </c>
    </row>
    <row r="769" spans="1:4" ht="25.5" x14ac:dyDescent="0.25">
      <c r="A769" s="104">
        <v>89248</v>
      </c>
      <c r="B769" s="105" t="s">
        <v>1459</v>
      </c>
      <c r="C769" s="106" t="s">
        <v>102</v>
      </c>
      <c r="D769" s="107">
        <v>325.3</v>
      </c>
    </row>
    <row r="770" spans="1:4" ht="25.5" x14ac:dyDescent="0.25">
      <c r="A770" s="104">
        <v>89249</v>
      </c>
      <c r="B770" s="105" t="s">
        <v>1460</v>
      </c>
      <c r="C770" s="106" t="s">
        <v>102</v>
      </c>
      <c r="D770" s="107">
        <v>205.24</v>
      </c>
    </row>
    <row r="771" spans="1:4" ht="38.25" x14ac:dyDescent="0.25">
      <c r="A771" s="104">
        <v>89253</v>
      </c>
      <c r="B771" s="105" t="s">
        <v>1461</v>
      </c>
      <c r="C771" s="106" t="s">
        <v>102</v>
      </c>
      <c r="D771" s="107">
        <v>52.78</v>
      </c>
    </row>
    <row r="772" spans="1:4" ht="38.25" x14ac:dyDescent="0.25">
      <c r="A772" s="104">
        <v>89254</v>
      </c>
      <c r="B772" s="105" t="s">
        <v>1462</v>
      </c>
      <c r="C772" s="106" t="s">
        <v>102</v>
      </c>
      <c r="D772" s="107">
        <v>9.5</v>
      </c>
    </row>
    <row r="773" spans="1:4" ht="38.25" x14ac:dyDescent="0.25">
      <c r="A773" s="104">
        <v>89255</v>
      </c>
      <c r="B773" s="105" t="s">
        <v>1463</v>
      </c>
      <c r="C773" s="106" t="s">
        <v>102</v>
      </c>
      <c r="D773" s="107">
        <v>84.85</v>
      </c>
    </row>
    <row r="774" spans="1:4" ht="38.25" x14ac:dyDescent="0.25">
      <c r="A774" s="104">
        <v>89256</v>
      </c>
      <c r="B774" s="105" t="s">
        <v>1464</v>
      </c>
      <c r="C774" s="106" t="s">
        <v>102</v>
      </c>
      <c r="D774" s="107">
        <v>46.19</v>
      </c>
    </row>
    <row r="775" spans="1:4" ht="51" x14ac:dyDescent="0.25">
      <c r="A775" s="104">
        <v>89259</v>
      </c>
      <c r="B775" s="105" t="s">
        <v>1465</v>
      </c>
      <c r="C775" s="106" t="s">
        <v>102</v>
      </c>
      <c r="D775" s="107">
        <v>9.32</v>
      </c>
    </row>
    <row r="776" spans="1:4" ht="51" x14ac:dyDescent="0.25">
      <c r="A776" s="104">
        <v>89260</v>
      </c>
      <c r="B776" s="105" t="s">
        <v>1466</v>
      </c>
      <c r="C776" s="106" t="s">
        <v>102</v>
      </c>
      <c r="D776" s="107">
        <v>1.95</v>
      </c>
    </row>
    <row r="777" spans="1:4" ht="51" x14ac:dyDescent="0.25">
      <c r="A777" s="104">
        <v>89262</v>
      </c>
      <c r="B777" s="105" t="s">
        <v>1467</v>
      </c>
      <c r="C777" s="106" t="s">
        <v>102</v>
      </c>
      <c r="D777" s="107">
        <v>17.489999999999998</v>
      </c>
    </row>
    <row r="778" spans="1:4" ht="51" x14ac:dyDescent="0.25">
      <c r="A778" s="104">
        <v>89264</v>
      </c>
      <c r="B778" s="105" t="s">
        <v>1468</v>
      </c>
      <c r="C778" s="106" t="s">
        <v>102</v>
      </c>
      <c r="D778" s="107">
        <v>7.42</v>
      </c>
    </row>
    <row r="779" spans="1:4" ht="51" x14ac:dyDescent="0.25">
      <c r="A779" s="104">
        <v>89265</v>
      </c>
      <c r="B779" s="105" t="s">
        <v>1469</v>
      </c>
      <c r="C779" s="106" t="s">
        <v>102</v>
      </c>
      <c r="D779" s="107">
        <v>1.55</v>
      </c>
    </row>
    <row r="780" spans="1:4" ht="51" x14ac:dyDescent="0.25">
      <c r="A780" s="104">
        <v>89266</v>
      </c>
      <c r="B780" s="105" t="s">
        <v>1470</v>
      </c>
      <c r="C780" s="106" t="s">
        <v>102</v>
      </c>
      <c r="D780" s="107">
        <v>0.59</v>
      </c>
    </row>
    <row r="781" spans="1:4" ht="38.25" x14ac:dyDescent="0.25">
      <c r="A781" s="104">
        <v>89267</v>
      </c>
      <c r="B781" s="105" t="s">
        <v>1471</v>
      </c>
      <c r="C781" s="106" t="s">
        <v>102</v>
      </c>
      <c r="D781" s="107">
        <v>26.42</v>
      </c>
    </row>
    <row r="782" spans="1:4" ht="38.25" x14ac:dyDescent="0.25">
      <c r="A782" s="104">
        <v>89268</v>
      </c>
      <c r="B782" s="105" t="s">
        <v>1472</v>
      </c>
      <c r="C782" s="106" t="s">
        <v>102</v>
      </c>
      <c r="D782" s="107">
        <v>4.75</v>
      </c>
    </row>
    <row r="783" spans="1:4" ht="38.25" x14ac:dyDescent="0.25">
      <c r="A783" s="104">
        <v>89269</v>
      </c>
      <c r="B783" s="105" t="s">
        <v>1473</v>
      </c>
      <c r="C783" s="106" t="s">
        <v>102</v>
      </c>
      <c r="D783" s="107">
        <v>1.84</v>
      </c>
    </row>
    <row r="784" spans="1:4" ht="38.25" x14ac:dyDescent="0.25">
      <c r="A784" s="104">
        <v>89270</v>
      </c>
      <c r="B784" s="105" t="s">
        <v>1474</v>
      </c>
      <c r="C784" s="106" t="s">
        <v>102</v>
      </c>
      <c r="D784" s="107">
        <v>42.48</v>
      </c>
    </row>
    <row r="785" spans="1:4" ht="38.25" x14ac:dyDescent="0.25">
      <c r="A785" s="104">
        <v>89271</v>
      </c>
      <c r="B785" s="105" t="s">
        <v>1475</v>
      </c>
      <c r="C785" s="106" t="s">
        <v>102</v>
      </c>
      <c r="D785" s="107">
        <v>15.81</v>
      </c>
    </row>
    <row r="786" spans="1:4" ht="38.25" x14ac:dyDescent="0.25">
      <c r="A786" s="104">
        <v>89274</v>
      </c>
      <c r="B786" s="105" t="s">
        <v>1476</v>
      </c>
      <c r="C786" s="106" t="s">
        <v>102</v>
      </c>
      <c r="D786" s="107">
        <v>1.17</v>
      </c>
    </row>
    <row r="787" spans="1:4" ht="38.25" x14ac:dyDescent="0.25">
      <c r="A787" s="104">
        <v>89275</v>
      </c>
      <c r="B787" s="105" t="s">
        <v>1477</v>
      </c>
      <c r="C787" s="106" t="s">
        <v>102</v>
      </c>
      <c r="D787" s="107">
        <v>0.13</v>
      </c>
    </row>
    <row r="788" spans="1:4" ht="38.25" x14ac:dyDescent="0.25">
      <c r="A788" s="104">
        <v>89276</v>
      </c>
      <c r="B788" s="105" t="s">
        <v>1478</v>
      </c>
      <c r="C788" s="106" t="s">
        <v>102</v>
      </c>
      <c r="D788" s="107">
        <v>1.0900000000000001</v>
      </c>
    </row>
    <row r="789" spans="1:4" ht="38.25" x14ac:dyDescent="0.25">
      <c r="A789" s="104">
        <v>89277</v>
      </c>
      <c r="B789" s="105" t="s">
        <v>1479</v>
      </c>
      <c r="C789" s="106" t="s">
        <v>102</v>
      </c>
      <c r="D789" s="107">
        <v>4.62</v>
      </c>
    </row>
    <row r="790" spans="1:4" ht="38.25" x14ac:dyDescent="0.25">
      <c r="A790" s="104">
        <v>89280</v>
      </c>
      <c r="B790" s="105" t="s">
        <v>1480</v>
      </c>
      <c r="C790" s="106" t="s">
        <v>102</v>
      </c>
      <c r="D790" s="107">
        <v>19.54</v>
      </c>
    </row>
    <row r="791" spans="1:4" ht="38.25" x14ac:dyDescent="0.25">
      <c r="A791" s="104">
        <v>89281</v>
      </c>
      <c r="B791" s="105" t="s">
        <v>1481</v>
      </c>
      <c r="C791" s="106" t="s">
        <v>102</v>
      </c>
      <c r="D791" s="107">
        <v>2.71</v>
      </c>
    </row>
    <row r="792" spans="1:4" ht="51" x14ac:dyDescent="0.25">
      <c r="A792" s="104">
        <v>89870</v>
      </c>
      <c r="B792" s="105" t="s">
        <v>1482</v>
      </c>
      <c r="C792" s="106" t="s">
        <v>102</v>
      </c>
      <c r="D792" s="107">
        <v>20.239999999999998</v>
      </c>
    </row>
    <row r="793" spans="1:4" ht="51" x14ac:dyDescent="0.25">
      <c r="A793" s="104">
        <v>89871</v>
      </c>
      <c r="B793" s="105" t="s">
        <v>1483</v>
      </c>
      <c r="C793" s="106" t="s">
        <v>102</v>
      </c>
      <c r="D793" s="107">
        <v>3.74</v>
      </c>
    </row>
    <row r="794" spans="1:4" ht="51" x14ac:dyDescent="0.25">
      <c r="A794" s="104">
        <v>89872</v>
      </c>
      <c r="B794" s="105" t="s">
        <v>1484</v>
      </c>
      <c r="C794" s="106" t="s">
        <v>102</v>
      </c>
      <c r="D794" s="107">
        <v>1.46</v>
      </c>
    </row>
    <row r="795" spans="1:4" ht="51" x14ac:dyDescent="0.25">
      <c r="A795" s="104">
        <v>89873</v>
      </c>
      <c r="B795" s="105" t="s">
        <v>1485</v>
      </c>
      <c r="C795" s="106" t="s">
        <v>102</v>
      </c>
      <c r="D795" s="107">
        <v>37.96</v>
      </c>
    </row>
    <row r="796" spans="1:4" ht="51" x14ac:dyDescent="0.25">
      <c r="A796" s="104">
        <v>89874</v>
      </c>
      <c r="B796" s="105" t="s">
        <v>1486</v>
      </c>
      <c r="C796" s="106" t="s">
        <v>102</v>
      </c>
      <c r="D796" s="107">
        <v>96.07</v>
      </c>
    </row>
    <row r="797" spans="1:4" ht="51" x14ac:dyDescent="0.25">
      <c r="A797" s="104">
        <v>89878</v>
      </c>
      <c r="B797" s="105" t="s">
        <v>1487</v>
      </c>
      <c r="C797" s="106" t="s">
        <v>102</v>
      </c>
      <c r="D797" s="107">
        <v>21.35</v>
      </c>
    </row>
    <row r="798" spans="1:4" ht="51" x14ac:dyDescent="0.25">
      <c r="A798" s="104">
        <v>89879</v>
      </c>
      <c r="B798" s="105" t="s">
        <v>1488</v>
      </c>
      <c r="C798" s="106" t="s">
        <v>102</v>
      </c>
      <c r="D798" s="107">
        <v>3.94</v>
      </c>
    </row>
    <row r="799" spans="1:4" ht="51" x14ac:dyDescent="0.25">
      <c r="A799" s="104">
        <v>89880</v>
      </c>
      <c r="B799" s="105" t="s">
        <v>1489</v>
      </c>
      <c r="C799" s="106" t="s">
        <v>102</v>
      </c>
      <c r="D799" s="107">
        <v>1.53</v>
      </c>
    </row>
    <row r="800" spans="1:4" ht="51" x14ac:dyDescent="0.25">
      <c r="A800" s="104">
        <v>89881</v>
      </c>
      <c r="B800" s="105" t="s">
        <v>1490</v>
      </c>
      <c r="C800" s="106" t="s">
        <v>102</v>
      </c>
      <c r="D800" s="107">
        <v>40.03</v>
      </c>
    </row>
    <row r="801" spans="1:4" ht="51" x14ac:dyDescent="0.25">
      <c r="A801" s="104">
        <v>89882</v>
      </c>
      <c r="B801" s="105" t="s">
        <v>1491</v>
      </c>
      <c r="C801" s="106" t="s">
        <v>102</v>
      </c>
      <c r="D801" s="107">
        <v>110.84</v>
      </c>
    </row>
    <row r="802" spans="1:4" ht="25.5" x14ac:dyDescent="0.25">
      <c r="A802" s="104">
        <v>90582</v>
      </c>
      <c r="B802" s="105" t="s">
        <v>1492</v>
      </c>
      <c r="C802" s="106" t="s">
        <v>102</v>
      </c>
      <c r="D802" s="107">
        <v>0.31</v>
      </c>
    </row>
    <row r="803" spans="1:4" ht="25.5" x14ac:dyDescent="0.25">
      <c r="A803" s="104">
        <v>90583</v>
      </c>
      <c r="B803" s="105" t="s">
        <v>1493</v>
      </c>
      <c r="C803" s="106" t="s">
        <v>102</v>
      </c>
      <c r="D803" s="107">
        <v>0.03</v>
      </c>
    </row>
    <row r="804" spans="1:4" ht="25.5" x14ac:dyDescent="0.25">
      <c r="A804" s="104">
        <v>90584</v>
      </c>
      <c r="B804" s="105" t="s">
        <v>1494</v>
      </c>
      <c r="C804" s="106" t="s">
        <v>102</v>
      </c>
      <c r="D804" s="107">
        <v>0.24</v>
      </c>
    </row>
    <row r="805" spans="1:4" ht="38.25" x14ac:dyDescent="0.25">
      <c r="A805" s="104">
        <v>90585</v>
      </c>
      <c r="B805" s="105" t="s">
        <v>1495</v>
      </c>
      <c r="C805" s="106" t="s">
        <v>102</v>
      </c>
      <c r="D805" s="107">
        <v>1.01</v>
      </c>
    </row>
    <row r="806" spans="1:4" ht="25.5" x14ac:dyDescent="0.25">
      <c r="A806" s="104">
        <v>90621</v>
      </c>
      <c r="B806" s="105" t="s">
        <v>1496</v>
      </c>
      <c r="C806" s="106" t="s">
        <v>102</v>
      </c>
      <c r="D806" s="107">
        <v>2.09</v>
      </c>
    </row>
    <row r="807" spans="1:4" ht="25.5" x14ac:dyDescent="0.25">
      <c r="A807" s="104">
        <v>90622</v>
      </c>
      <c r="B807" s="105" t="s">
        <v>1497</v>
      </c>
      <c r="C807" s="106" t="s">
        <v>102</v>
      </c>
      <c r="D807" s="107">
        <v>0.24</v>
      </c>
    </row>
    <row r="808" spans="1:4" ht="25.5" x14ac:dyDescent="0.25">
      <c r="A808" s="104">
        <v>90623</v>
      </c>
      <c r="B808" s="105" t="s">
        <v>1498</v>
      </c>
      <c r="C808" s="106" t="s">
        <v>102</v>
      </c>
      <c r="D808" s="107">
        <v>2.61</v>
      </c>
    </row>
    <row r="809" spans="1:4" ht="25.5" x14ac:dyDescent="0.25">
      <c r="A809" s="104">
        <v>90624</v>
      </c>
      <c r="B809" s="105" t="s">
        <v>1499</v>
      </c>
      <c r="C809" s="106" t="s">
        <v>102</v>
      </c>
      <c r="D809" s="107">
        <v>2.5299999999999998</v>
      </c>
    </row>
    <row r="810" spans="1:4" ht="38.25" x14ac:dyDescent="0.25">
      <c r="A810" s="104">
        <v>90627</v>
      </c>
      <c r="B810" s="105" t="s">
        <v>1500</v>
      </c>
      <c r="C810" s="106" t="s">
        <v>102</v>
      </c>
      <c r="D810" s="107">
        <v>25.65</v>
      </c>
    </row>
    <row r="811" spans="1:4" ht="38.25" x14ac:dyDescent="0.25">
      <c r="A811" s="104">
        <v>90628</v>
      </c>
      <c r="B811" s="105" t="s">
        <v>1501</v>
      </c>
      <c r="C811" s="106" t="s">
        <v>102</v>
      </c>
      <c r="D811" s="107">
        <v>3.65</v>
      </c>
    </row>
    <row r="812" spans="1:4" ht="38.25" x14ac:dyDescent="0.25">
      <c r="A812" s="104">
        <v>90629</v>
      </c>
      <c r="B812" s="105" t="s">
        <v>1502</v>
      </c>
      <c r="C812" s="106" t="s">
        <v>102</v>
      </c>
      <c r="D812" s="107">
        <v>32.090000000000003</v>
      </c>
    </row>
    <row r="813" spans="1:4" ht="38.25" x14ac:dyDescent="0.25">
      <c r="A813" s="104">
        <v>90630</v>
      </c>
      <c r="B813" s="105" t="s">
        <v>1503</v>
      </c>
      <c r="C813" s="106" t="s">
        <v>102</v>
      </c>
      <c r="D813" s="107">
        <v>10.27</v>
      </c>
    </row>
    <row r="814" spans="1:4" ht="51" x14ac:dyDescent="0.25">
      <c r="A814" s="104">
        <v>90633</v>
      </c>
      <c r="B814" s="105" t="s">
        <v>1504</v>
      </c>
      <c r="C814" s="106" t="s">
        <v>102</v>
      </c>
      <c r="D814" s="107">
        <v>2.97</v>
      </c>
    </row>
    <row r="815" spans="1:4" ht="38.25" x14ac:dyDescent="0.25">
      <c r="A815" s="104">
        <v>90634</v>
      </c>
      <c r="B815" s="105" t="s">
        <v>1505</v>
      </c>
      <c r="C815" s="106" t="s">
        <v>102</v>
      </c>
      <c r="D815" s="107">
        <v>0.35</v>
      </c>
    </row>
    <row r="816" spans="1:4" ht="51" x14ac:dyDescent="0.25">
      <c r="A816" s="104">
        <v>90635</v>
      </c>
      <c r="B816" s="105" t="s">
        <v>1506</v>
      </c>
      <c r="C816" s="106" t="s">
        <v>102</v>
      </c>
      <c r="D816" s="107">
        <v>3.24</v>
      </c>
    </row>
    <row r="817" spans="1:4" ht="51" x14ac:dyDescent="0.25">
      <c r="A817" s="104">
        <v>90636</v>
      </c>
      <c r="B817" s="105" t="s">
        <v>1507</v>
      </c>
      <c r="C817" s="106" t="s">
        <v>102</v>
      </c>
      <c r="D817" s="107">
        <v>5.07</v>
      </c>
    </row>
    <row r="818" spans="1:4" ht="38.25" x14ac:dyDescent="0.25">
      <c r="A818" s="104">
        <v>90639</v>
      </c>
      <c r="B818" s="105" t="s">
        <v>1508</v>
      </c>
      <c r="C818" s="106" t="s">
        <v>102</v>
      </c>
      <c r="D818" s="107">
        <v>4.43</v>
      </c>
    </row>
    <row r="819" spans="1:4" ht="38.25" x14ac:dyDescent="0.25">
      <c r="A819" s="104">
        <v>90640</v>
      </c>
      <c r="B819" s="105" t="s">
        <v>1509</v>
      </c>
      <c r="C819" s="106" t="s">
        <v>102</v>
      </c>
      <c r="D819" s="107">
        <v>0.52</v>
      </c>
    </row>
    <row r="820" spans="1:4" ht="38.25" x14ac:dyDescent="0.25">
      <c r="A820" s="104">
        <v>90641</v>
      </c>
      <c r="B820" s="105" t="s">
        <v>1510</v>
      </c>
      <c r="C820" s="106" t="s">
        <v>102</v>
      </c>
      <c r="D820" s="107">
        <v>4.84</v>
      </c>
    </row>
    <row r="821" spans="1:4" ht="38.25" x14ac:dyDescent="0.25">
      <c r="A821" s="104">
        <v>90642</v>
      </c>
      <c r="B821" s="105" t="s">
        <v>1511</v>
      </c>
      <c r="C821" s="106" t="s">
        <v>102</v>
      </c>
      <c r="D821" s="107">
        <v>5.0199999999999996</v>
      </c>
    </row>
    <row r="822" spans="1:4" ht="51" x14ac:dyDescent="0.25">
      <c r="A822" s="104">
        <v>90646</v>
      </c>
      <c r="B822" s="105" t="s">
        <v>1512</v>
      </c>
      <c r="C822" s="106" t="s">
        <v>102</v>
      </c>
      <c r="D822" s="107">
        <v>0.55000000000000004</v>
      </c>
    </row>
    <row r="823" spans="1:4" ht="38.25" x14ac:dyDescent="0.25">
      <c r="A823" s="104">
        <v>90647</v>
      </c>
      <c r="B823" s="105" t="s">
        <v>1513</v>
      </c>
      <c r="C823" s="106" t="s">
        <v>102</v>
      </c>
      <c r="D823" s="107">
        <v>0.06</v>
      </c>
    </row>
    <row r="824" spans="1:4" ht="51" x14ac:dyDescent="0.25">
      <c r="A824" s="104">
        <v>90648</v>
      </c>
      <c r="B824" s="105" t="s">
        <v>1514</v>
      </c>
      <c r="C824" s="106" t="s">
        <v>102</v>
      </c>
      <c r="D824" s="107">
        <v>0.6</v>
      </c>
    </row>
    <row r="825" spans="1:4" ht="51" x14ac:dyDescent="0.25">
      <c r="A825" s="104">
        <v>90649</v>
      </c>
      <c r="B825" s="105" t="s">
        <v>1515</v>
      </c>
      <c r="C825" s="106" t="s">
        <v>102</v>
      </c>
      <c r="D825" s="107">
        <v>7.89</v>
      </c>
    </row>
    <row r="826" spans="1:4" ht="25.5" x14ac:dyDescent="0.25">
      <c r="A826" s="104">
        <v>90652</v>
      </c>
      <c r="B826" s="105" t="s">
        <v>1516</v>
      </c>
      <c r="C826" s="106" t="s">
        <v>102</v>
      </c>
      <c r="D826" s="107">
        <v>2.88</v>
      </c>
    </row>
    <row r="827" spans="1:4" ht="25.5" x14ac:dyDescent="0.25">
      <c r="A827" s="104">
        <v>90653</v>
      </c>
      <c r="B827" s="105" t="s">
        <v>1517</v>
      </c>
      <c r="C827" s="106" t="s">
        <v>102</v>
      </c>
      <c r="D827" s="107">
        <v>0.34</v>
      </c>
    </row>
    <row r="828" spans="1:4" ht="25.5" x14ac:dyDescent="0.25">
      <c r="A828" s="104">
        <v>90654</v>
      </c>
      <c r="B828" s="105" t="s">
        <v>1518</v>
      </c>
      <c r="C828" s="106" t="s">
        <v>102</v>
      </c>
      <c r="D828" s="107">
        <v>3.15</v>
      </c>
    </row>
    <row r="829" spans="1:4" ht="25.5" x14ac:dyDescent="0.25">
      <c r="A829" s="104">
        <v>90655</v>
      </c>
      <c r="B829" s="105" t="s">
        <v>1519</v>
      </c>
      <c r="C829" s="106" t="s">
        <v>102</v>
      </c>
      <c r="D829" s="107">
        <v>5.19</v>
      </c>
    </row>
    <row r="830" spans="1:4" ht="25.5" x14ac:dyDescent="0.25">
      <c r="A830" s="104">
        <v>90658</v>
      </c>
      <c r="B830" s="105" t="s">
        <v>1520</v>
      </c>
      <c r="C830" s="106" t="s">
        <v>102</v>
      </c>
      <c r="D830" s="107">
        <v>3.09</v>
      </c>
    </row>
    <row r="831" spans="1:4" ht="25.5" x14ac:dyDescent="0.25">
      <c r="A831" s="104">
        <v>90659</v>
      </c>
      <c r="B831" s="105" t="s">
        <v>1521</v>
      </c>
      <c r="C831" s="106" t="s">
        <v>102</v>
      </c>
      <c r="D831" s="107">
        <v>0.36</v>
      </c>
    </row>
    <row r="832" spans="1:4" ht="25.5" x14ac:dyDescent="0.25">
      <c r="A832" s="104">
        <v>90660</v>
      </c>
      <c r="B832" s="105" t="s">
        <v>1522</v>
      </c>
      <c r="C832" s="106" t="s">
        <v>102</v>
      </c>
      <c r="D832" s="107">
        <v>3.38</v>
      </c>
    </row>
    <row r="833" spans="1:4" ht="25.5" x14ac:dyDescent="0.25">
      <c r="A833" s="104">
        <v>90661</v>
      </c>
      <c r="B833" s="105" t="s">
        <v>1523</v>
      </c>
      <c r="C833" s="106" t="s">
        <v>102</v>
      </c>
      <c r="D833" s="107">
        <v>5.19</v>
      </c>
    </row>
    <row r="834" spans="1:4" ht="51" x14ac:dyDescent="0.25">
      <c r="A834" s="104">
        <v>90664</v>
      </c>
      <c r="B834" s="105" t="s">
        <v>1524</v>
      </c>
      <c r="C834" s="106" t="s">
        <v>102</v>
      </c>
      <c r="D834" s="107">
        <v>3.77</v>
      </c>
    </row>
    <row r="835" spans="1:4" ht="51" x14ac:dyDescent="0.25">
      <c r="A835" s="104">
        <v>90665</v>
      </c>
      <c r="B835" s="105" t="s">
        <v>1525</v>
      </c>
      <c r="C835" s="106" t="s">
        <v>102</v>
      </c>
      <c r="D835" s="107">
        <v>0.43</v>
      </c>
    </row>
    <row r="836" spans="1:4" ht="51" x14ac:dyDescent="0.25">
      <c r="A836" s="104">
        <v>90666</v>
      </c>
      <c r="B836" s="105" t="s">
        <v>1526</v>
      </c>
      <c r="C836" s="106" t="s">
        <v>102</v>
      </c>
      <c r="D836" s="107">
        <v>4.12</v>
      </c>
    </row>
    <row r="837" spans="1:4" ht="51" x14ac:dyDescent="0.25">
      <c r="A837" s="104">
        <v>90667</v>
      </c>
      <c r="B837" s="105" t="s">
        <v>1527</v>
      </c>
      <c r="C837" s="106" t="s">
        <v>102</v>
      </c>
      <c r="D837" s="107">
        <v>8.15</v>
      </c>
    </row>
    <row r="838" spans="1:4" ht="63.75" x14ac:dyDescent="0.25">
      <c r="A838" s="104">
        <v>90670</v>
      </c>
      <c r="B838" s="105" t="s">
        <v>1528</v>
      </c>
      <c r="C838" s="106" t="s">
        <v>102</v>
      </c>
      <c r="D838" s="107">
        <v>117.71</v>
      </c>
    </row>
    <row r="839" spans="1:4" ht="51" x14ac:dyDescent="0.25">
      <c r="A839" s="104">
        <v>90671</v>
      </c>
      <c r="B839" s="105" t="s">
        <v>1529</v>
      </c>
      <c r="C839" s="106" t="s">
        <v>102</v>
      </c>
      <c r="D839" s="107">
        <v>16.34</v>
      </c>
    </row>
    <row r="840" spans="1:4" ht="63.75" x14ac:dyDescent="0.25">
      <c r="A840" s="104">
        <v>90672</v>
      </c>
      <c r="B840" s="105" t="s">
        <v>1530</v>
      </c>
      <c r="C840" s="106" t="s">
        <v>102</v>
      </c>
      <c r="D840" s="107">
        <v>147.31</v>
      </c>
    </row>
    <row r="841" spans="1:4" ht="63.75" x14ac:dyDescent="0.25">
      <c r="A841" s="104">
        <v>90673</v>
      </c>
      <c r="B841" s="105" t="s">
        <v>1531</v>
      </c>
      <c r="C841" s="106" t="s">
        <v>102</v>
      </c>
      <c r="D841" s="107">
        <v>65.2</v>
      </c>
    </row>
    <row r="842" spans="1:4" ht="51" x14ac:dyDescent="0.25">
      <c r="A842" s="104">
        <v>90676</v>
      </c>
      <c r="B842" s="105" t="s">
        <v>1532</v>
      </c>
      <c r="C842" s="106" t="s">
        <v>102</v>
      </c>
      <c r="D842" s="107">
        <v>60.21</v>
      </c>
    </row>
    <row r="843" spans="1:4" ht="51" x14ac:dyDescent="0.25">
      <c r="A843" s="104">
        <v>90677</v>
      </c>
      <c r="B843" s="105" t="s">
        <v>1533</v>
      </c>
      <c r="C843" s="106" t="s">
        <v>102</v>
      </c>
      <c r="D843" s="107">
        <v>8.35</v>
      </c>
    </row>
    <row r="844" spans="1:4" ht="51" x14ac:dyDescent="0.25">
      <c r="A844" s="104">
        <v>90678</v>
      </c>
      <c r="B844" s="105" t="s">
        <v>1534</v>
      </c>
      <c r="C844" s="106" t="s">
        <v>102</v>
      </c>
      <c r="D844" s="107">
        <v>75.349999999999994</v>
      </c>
    </row>
    <row r="845" spans="1:4" ht="51" x14ac:dyDescent="0.25">
      <c r="A845" s="104">
        <v>90679</v>
      </c>
      <c r="B845" s="105" t="s">
        <v>1535</v>
      </c>
      <c r="C845" s="106" t="s">
        <v>102</v>
      </c>
      <c r="D845" s="107">
        <v>49.97</v>
      </c>
    </row>
    <row r="846" spans="1:4" ht="38.25" x14ac:dyDescent="0.25">
      <c r="A846" s="104">
        <v>90682</v>
      </c>
      <c r="B846" s="105" t="s">
        <v>1536</v>
      </c>
      <c r="C846" s="106" t="s">
        <v>102</v>
      </c>
      <c r="D846" s="107">
        <v>23.82</v>
      </c>
    </row>
    <row r="847" spans="1:4" ht="38.25" x14ac:dyDescent="0.25">
      <c r="A847" s="104">
        <v>90683</v>
      </c>
      <c r="B847" s="105" t="s">
        <v>1537</v>
      </c>
      <c r="C847" s="106" t="s">
        <v>102</v>
      </c>
      <c r="D847" s="107">
        <v>2.82</v>
      </c>
    </row>
    <row r="848" spans="1:4" ht="38.25" x14ac:dyDescent="0.25">
      <c r="A848" s="104">
        <v>90684</v>
      </c>
      <c r="B848" s="105" t="s">
        <v>1538</v>
      </c>
      <c r="C848" s="106" t="s">
        <v>102</v>
      </c>
      <c r="D848" s="107">
        <v>26.06</v>
      </c>
    </row>
    <row r="849" spans="1:4" ht="38.25" x14ac:dyDescent="0.25">
      <c r="A849" s="104">
        <v>90685</v>
      </c>
      <c r="B849" s="105" t="s">
        <v>1539</v>
      </c>
      <c r="C849" s="106" t="s">
        <v>102</v>
      </c>
      <c r="D849" s="107">
        <v>31</v>
      </c>
    </row>
    <row r="850" spans="1:4" ht="38.25" x14ac:dyDescent="0.25">
      <c r="A850" s="104">
        <v>90688</v>
      </c>
      <c r="B850" s="105" t="s">
        <v>1540</v>
      </c>
      <c r="C850" s="106" t="s">
        <v>102</v>
      </c>
      <c r="D850" s="107">
        <v>13.46</v>
      </c>
    </row>
    <row r="851" spans="1:4" ht="25.5" x14ac:dyDescent="0.25">
      <c r="A851" s="104">
        <v>90689</v>
      </c>
      <c r="B851" s="105" t="s">
        <v>1541</v>
      </c>
      <c r="C851" s="106" t="s">
        <v>102</v>
      </c>
      <c r="D851" s="107">
        <v>1.36</v>
      </c>
    </row>
    <row r="852" spans="1:4" ht="38.25" x14ac:dyDescent="0.25">
      <c r="A852" s="104">
        <v>90690</v>
      </c>
      <c r="B852" s="105" t="s">
        <v>1542</v>
      </c>
      <c r="C852" s="106" t="s">
        <v>102</v>
      </c>
      <c r="D852" s="107">
        <v>16.829999999999998</v>
      </c>
    </row>
    <row r="853" spans="1:4" ht="38.25" x14ac:dyDescent="0.25">
      <c r="A853" s="104">
        <v>90691</v>
      </c>
      <c r="B853" s="105" t="s">
        <v>1543</v>
      </c>
      <c r="C853" s="106" t="s">
        <v>102</v>
      </c>
      <c r="D853" s="107">
        <v>28.55</v>
      </c>
    </row>
    <row r="854" spans="1:4" ht="38.25" x14ac:dyDescent="0.25">
      <c r="A854" s="104">
        <v>90957</v>
      </c>
      <c r="B854" s="105" t="s">
        <v>1544</v>
      </c>
      <c r="C854" s="106" t="s">
        <v>102</v>
      </c>
      <c r="D854" s="107">
        <v>2.33</v>
      </c>
    </row>
    <row r="855" spans="1:4" ht="38.25" x14ac:dyDescent="0.25">
      <c r="A855" s="104">
        <v>90958</v>
      </c>
      <c r="B855" s="105" t="s">
        <v>1545</v>
      </c>
      <c r="C855" s="106" t="s">
        <v>102</v>
      </c>
      <c r="D855" s="107">
        <v>0.32</v>
      </c>
    </row>
    <row r="856" spans="1:4" ht="38.25" x14ac:dyDescent="0.25">
      <c r="A856" s="104">
        <v>90960</v>
      </c>
      <c r="B856" s="105" t="s">
        <v>1546</v>
      </c>
      <c r="C856" s="106" t="s">
        <v>102</v>
      </c>
      <c r="D856" s="107">
        <v>3.11</v>
      </c>
    </row>
    <row r="857" spans="1:4" ht="38.25" x14ac:dyDescent="0.25">
      <c r="A857" s="104">
        <v>90961</v>
      </c>
      <c r="B857" s="105" t="s">
        <v>1547</v>
      </c>
      <c r="C857" s="106" t="s">
        <v>102</v>
      </c>
      <c r="D857" s="107">
        <v>0.43</v>
      </c>
    </row>
    <row r="858" spans="1:4" ht="38.25" x14ac:dyDescent="0.25">
      <c r="A858" s="104">
        <v>90962</v>
      </c>
      <c r="B858" s="105" t="s">
        <v>1548</v>
      </c>
      <c r="C858" s="106" t="s">
        <v>102</v>
      </c>
      <c r="D858" s="107">
        <v>3.89</v>
      </c>
    </row>
    <row r="859" spans="1:4" ht="38.25" x14ac:dyDescent="0.25">
      <c r="A859" s="104">
        <v>90963</v>
      </c>
      <c r="B859" s="105" t="s">
        <v>1549</v>
      </c>
      <c r="C859" s="106" t="s">
        <v>102</v>
      </c>
      <c r="D859" s="107">
        <v>8.15</v>
      </c>
    </row>
    <row r="860" spans="1:4" ht="38.25" x14ac:dyDescent="0.25">
      <c r="A860" s="104">
        <v>90968</v>
      </c>
      <c r="B860" s="105" t="s">
        <v>1550</v>
      </c>
      <c r="C860" s="106" t="s">
        <v>102</v>
      </c>
      <c r="D860" s="107">
        <v>3.12</v>
      </c>
    </row>
    <row r="861" spans="1:4" ht="38.25" x14ac:dyDescent="0.25">
      <c r="A861" s="104">
        <v>90969</v>
      </c>
      <c r="B861" s="105" t="s">
        <v>1551</v>
      </c>
      <c r="C861" s="106" t="s">
        <v>102</v>
      </c>
      <c r="D861" s="107">
        <v>0.43</v>
      </c>
    </row>
    <row r="862" spans="1:4" ht="38.25" x14ac:dyDescent="0.25">
      <c r="A862" s="104">
        <v>90970</v>
      </c>
      <c r="B862" s="105" t="s">
        <v>1552</v>
      </c>
      <c r="C862" s="106" t="s">
        <v>102</v>
      </c>
      <c r="D862" s="107">
        <v>3.91</v>
      </c>
    </row>
    <row r="863" spans="1:4" ht="38.25" x14ac:dyDescent="0.25">
      <c r="A863" s="104">
        <v>90971</v>
      </c>
      <c r="B863" s="105" t="s">
        <v>1553</v>
      </c>
      <c r="C863" s="106" t="s">
        <v>102</v>
      </c>
      <c r="D863" s="107">
        <v>33.020000000000003</v>
      </c>
    </row>
    <row r="864" spans="1:4" ht="38.25" x14ac:dyDescent="0.25">
      <c r="A864" s="104">
        <v>90975</v>
      </c>
      <c r="B864" s="105" t="s">
        <v>1554</v>
      </c>
      <c r="C864" s="106" t="s">
        <v>102</v>
      </c>
      <c r="D864" s="107">
        <v>7.93</v>
      </c>
    </row>
    <row r="865" spans="1:4" ht="38.25" x14ac:dyDescent="0.25">
      <c r="A865" s="104">
        <v>90976</v>
      </c>
      <c r="B865" s="105" t="s">
        <v>1555</v>
      </c>
      <c r="C865" s="106" t="s">
        <v>102</v>
      </c>
      <c r="D865" s="107">
        <v>1.1000000000000001</v>
      </c>
    </row>
    <row r="866" spans="1:4" ht="38.25" x14ac:dyDescent="0.25">
      <c r="A866" s="104">
        <v>90977</v>
      </c>
      <c r="B866" s="105" t="s">
        <v>1556</v>
      </c>
      <c r="C866" s="106" t="s">
        <v>102</v>
      </c>
      <c r="D866" s="107">
        <v>9.92</v>
      </c>
    </row>
    <row r="867" spans="1:4" ht="38.25" x14ac:dyDescent="0.25">
      <c r="A867" s="104">
        <v>90978</v>
      </c>
      <c r="B867" s="105" t="s">
        <v>1557</v>
      </c>
      <c r="C867" s="106" t="s">
        <v>102</v>
      </c>
      <c r="D867" s="107">
        <v>85.67</v>
      </c>
    </row>
    <row r="868" spans="1:4" ht="38.25" x14ac:dyDescent="0.25">
      <c r="A868" s="104">
        <v>90992</v>
      </c>
      <c r="B868" s="105" t="s">
        <v>1558</v>
      </c>
      <c r="C868" s="106" t="s">
        <v>102</v>
      </c>
      <c r="D868" s="107">
        <v>3.7</v>
      </c>
    </row>
    <row r="869" spans="1:4" ht="38.25" x14ac:dyDescent="0.25">
      <c r="A869" s="104">
        <v>90993</v>
      </c>
      <c r="B869" s="105" t="s">
        <v>1559</v>
      </c>
      <c r="C869" s="106" t="s">
        <v>102</v>
      </c>
      <c r="D869" s="107">
        <v>0.51</v>
      </c>
    </row>
    <row r="870" spans="1:4" ht="38.25" x14ac:dyDescent="0.25">
      <c r="A870" s="104">
        <v>90994</v>
      </c>
      <c r="B870" s="105" t="s">
        <v>1560</v>
      </c>
      <c r="C870" s="106" t="s">
        <v>102</v>
      </c>
      <c r="D870" s="107">
        <v>4.63</v>
      </c>
    </row>
    <row r="871" spans="1:4" ht="38.25" x14ac:dyDescent="0.25">
      <c r="A871" s="104">
        <v>90995</v>
      </c>
      <c r="B871" s="105" t="s">
        <v>1561</v>
      </c>
      <c r="C871" s="106" t="s">
        <v>102</v>
      </c>
      <c r="D871" s="107">
        <v>44.85</v>
      </c>
    </row>
    <row r="872" spans="1:4" ht="51" x14ac:dyDescent="0.25">
      <c r="A872" s="104">
        <v>91021</v>
      </c>
      <c r="B872" s="105" t="s">
        <v>1562</v>
      </c>
      <c r="C872" s="106" t="s">
        <v>102</v>
      </c>
      <c r="D872" s="107">
        <v>3.26</v>
      </c>
    </row>
    <row r="873" spans="1:4" ht="38.25" x14ac:dyDescent="0.25">
      <c r="A873" s="104">
        <v>91026</v>
      </c>
      <c r="B873" s="105" t="s">
        <v>1563</v>
      </c>
      <c r="C873" s="106" t="s">
        <v>102</v>
      </c>
      <c r="D873" s="107">
        <v>10.48</v>
      </c>
    </row>
    <row r="874" spans="1:4" ht="38.25" x14ac:dyDescent="0.25">
      <c r="A874" s="104">
        <v>91027</v>
      </c>
      <c r="B874" s="105" t="s">
        <v>1564</v>
      </c>
      <c r="C874" s="106" t="s">
        <v>102</v>
      </c>
      <c r="D874" s="107">
        <v>2.2000000000000002</v>
      </c>
    </row>
    <row r="875" spans="1:4" ht="51" x14ac:dyDescent="0.25">
      <c r="A875" s="104">
        <v>91028</v>
      </c>
      <c r="B875" s="105" t="s">
        <v>1565</v>
      </c>
      <c r="C875" s="106" t="s">
        <v>102</v>
      </c>
      <c r="D875" s="107">
        <v>0.84</v>
      </c>
    </row>
    <row r="876" spans="1:4" ht="38.25" x14ac:dyDescent="0.25">
      <c r="A876" s="104">
        <v>91029</v>
      </c>
      <c r="B876" s="105" t="s">
        <v>1566</v>
      </c>
      <c r="C876" s="106" t="s">
        <v>102</v>
      </c>
      <c r="D876" s="107">
        <v>19.64</v>
      </c>
    </row>
    <row r="877" spans="1:4" ht="51" x14ac:dyDescent="0.25">
      <c r="A877" s="104">
        <v>91030</v>
      </c>
      <c r="B877" s="105" t="s">
        <v>1567</v>
      </c>
      <c r="C877" s="106" t="s">
        <v>102</v>
      </c>
      <c r="D877" s="107">
        <v>77.58</v>
      </c>
    </row>
    <row r="878" spans="1:4" ht="38.25" x14ac:dyDescent="0.25">
      <c r="A878" s="104">
        <v>91273</v>
      </c>
      <c r="B878" s="105" t="s">
        <v>1568</v>
      </c>
      <c r="C878" s="106" t="s">
        <v>102</v>
      </c>
      <c r="D878" s="107">
        <v>0.34</v>
      </c>
    </row>
    <row r="879" spans="1:4" ht="38.25" x14ac:dyDescent="0.25">
      <c r="A879" s="104">
        <v>91274</v>
      </c>
      <c r="B879" s="105" t="s">
        <v>1569</v>
      </c>
      <c r="C879" s="106" t="s">
        <v>102</v>
      </c>
      <c r="D879" s="107">
        <v>0.04</v>
      </c>
    </row>
    <row r="880" spans="1:4" ht="38.25" x14ac:dyDescent="0.25">
      <c r="A880" s="104">
        <v>91275</v>
      </c>
      <c r="B880" s="105" t="s">
        <v>1570</v>
      </c>
      <c r="C880" s="106" t="s">
        <v>102</v>
      </c>
      <c r="D880" s="107">
        <v>0.43</v>
      </c>
    </row>
    <row r="881" spans="1:4" ht="38.25" x14ac:dyDescent="0.25">
      <c r="A881" s="104">
        <v>91276</v>
      </c>
      <c r="B881" s="105" t="s">
        <v>1571</v>
      </c>
      <c r="C881" s="106" t="s">
        <v>102</v>
      </c>
      <c r="D881" s="107">
        <v>5.52</v>
      </c>
    </row>
    <row r="882" spans="1:4" ht="51" x14ac:dyDescent="0.25">
      <c r="A882" s="104">
        <v>91279</v>
      </c>
      <c r="B882" s="105" t="s">
        <v>1572</v>
      </c>
      <c r="C882" s="106" t="s">
        <v>102</v>
      </c>
      <c r="D882" s="107">
        <v>0.77</v>
      </c>
    </row>
    <row r="883" spans="1:4" ht="51" x14ac:dyDescent="0.25">
      <c r="A883" s="104">
        <v>91280</v>
      </c>
      <c r="B883" s="105" t="s">
        <v>1573</v>
      </c>
      <c r="C883" s="106" t="s">
        <v>102</v>
      </c>
      <c r="D883" s="107">
        <v>0.08</v>
      </c>
    </row>
    <row r="884" spans="1:4" ht="51" x14ac:dyDescent="0.25">
      <c r="A884" s="104">
        <v>91281</v>
      </c>
      <c r="B884" s="105" t="s">
        <v>1574</v>
      </c>
      <c r="C884" s="106" t="s">
        <v>102</v>
      </c>
      <c r="D884" s="107">
        <v>0.96</v>
      </c>
    </row>
    <row r="885" spans="1:4" ht="51" x14ac:dyDescent="0.25">
      <c r="A885" s="104">
        <v>91282</v>
      </c>
      <c r="B885" s="105" t="s">
        <v>1575</v>
      </c>
      <c r="C885" s="106" t="s">
        <v>102</v>
      </c>
      <c r="D885" s="107">
        <v>13.2</v>
      </c>
    </row>
    <row r="886" spans="1:4" ht="38.25" x14ac:dyDescent="0.25">
      <c r="A886" s="104">
        <v>91354</v>
      </c>
      <c r="B886" s="105" t="s">
        <v>1576</v>
      </c>
      <c r="C886" s="106" t="s">
        <v>102</v>
      </c>
      <c r="D886" s="107">
        <v>8.09</v>
      </c>
    </row>
    <row r="887" spans="1:4" ht="38.25" x14ac:dyDescent="0.25">
      <c r="A887" s="104">
        <v>91355</v>
      </c>
      <c r="B887" s="105" t="s">
        <v>1577</v>
      </c>
      <c r="C887" s="106" t="s">
        <v>102</v>
      </c>
      <c r="D887" s="107">
        <v>1.69</v>
      </c>
    </row>
    <row r="888" spans="1:4" ht="38.25" x14ac:dyDescent="0.25">
      <c r="A888" s="104">
        <v>91356</v>
      </c>
      <c r="B888" s="105" t="s">
        <v>1578</v>
      </c>
      <c r="C888" s="106" t="s">
        <v>102</v>
      </c>
      <c r="D888" s="107">
        <v>0.66</v>
      </c>
    </row>
    <row r="889" spans="1:4" ht="51" x14ac:dyDescent="0.25">
      <c r="A889" s="104">
        <v>91359</v>
      </c>
      <c r="B889" s="105" t="s">
        <v>1579</v>
      </c>
      <c r="C889" s="106" t="s">
        <v>102</v>
      </c>
      <c r="D889" s="107">
        <v>9.32</v>
      </c>
    </row>
    <row r="890" spans="1:4" ht="38.25" x14ac:dyDescent="0.25">
      <c r="A890" s="104">
        <v>91360</v>
      </c>
      <c r="B890" s="105" t="s">
        <v>1580</v>
      </c>
      <c r="C890" s="106" t="s">
        <v>102</v>
      </c>
      <c r="D890" s="107">
        <v>1.95</v>
      </c>
    </row>
    <row r="891" spans="1:4" ht="51" x14ac:dyDescent="0.25">
      <c r="A891" s="104">
        <v>91361</v>
      </c>
      <c r="B891" s="105" t="s">
        <v>1581</v>
      </c>
      <c r="C891" s="106" t="s">
        <v>102</v>
      </c>
      <c r="D891" s="107">
        <v>0.75</v>
      </c>
    </row>
    <row r="892" spans="1:4" ht="38.25" x14ac:dyDescent="0.25">
      <c r="A892" s="104">
        <v>91367</v>
      </c>
      <c r="B892" s="105" t="s">
        <v>1582</v>
      </c>
      <c r="C892" s="106" t="s">
        <v>102</v>
      </c>
      <c r="D892" s="107">
        <v>11.96</v>
      </c>
    </row>
    <row r="893" spans="1:4" ht="38.25" x14ac:dyDescent="0.25">
      <c r="A893" s="104">
        <v>91368</v>
      </c>
      <c r="B893" s="105" t="s">
        <v>1583</v>
      </c>
      <c r="C893" s="106" t="s">
        <v>102</v>
      </c>
      <c r="D893" s="107">
        <v>2.21</v>
      </c>
    </row>
    <row r="894" spans="1:4" ht="51" x14ac:dyDescent="0.25">
      <c r="A894" s="104">
        <v>91369</v>
      </c>
      <c r="B894" s="105" t="s">
        <v>1584</v>
      </c>
      <c r="C894" s="106" t="s">
        <v>102</v>
      </c>
      <c r="D894" s="107">
        <v>0.85</v>
      </c>
    </row>
    <row r="895" spans="1:4" ht="38.25" x14ac:dyDescent="0.25">
      <c r="A895" s="104">
        <v>91375</v>
      </c>
      <c r="B895" s="105" t="s">
        <v>1585</v>
      </c>
      <c r="C895" s="106" t="s">
        <v>102</v>
      </c>
      <c r="D895" s="107">
        <v>6.81</v>
      </c>
    </row>
    <row r="896" spans="1:4" ht="38.25" x14ac:dyDescent="0.25">
      <c r="A896" s="104">
        <v>91376</v>
      </c>
      <c r="B896" s="105" t="s">
        <v>1586</v>
      </c>
      <c r="C896" s="106" t="s">
        <v>102</v>
      </c>
      <c r="D896" s="107">
        <v>1.43</v>
      </c>
    </row>
    <row r="897" spans="1:4" ht="38.25" x14ac:dyDescent="0.25">
      <c r="A897" s="104">
        <v>91377</v>
      </c>
      <c r="B897" s="105" t="s">
        <v>1587</v>
      </c>
      <c r="C897" s="106" t="s">
        <v>102</v>
      </c>
      <c r="D897" s="107">
        <v>0.55000000000000004</v>
      </c>
    </row>
    <row r="898" spans="1:4" ht="51" x14ac:dyDescent="0.25">
      <c r="A898" s="104">
        <v>91380</v>
      </c>
      <c r="B898" s="105" t="s">
        <v>1588</v>
      </c>
      <c r="C898" s="106" t="s">
        <v>102</v>
      </c>
      <c r="D898" s="107">
        <v>13.54</v>
      </c>
    </row>
    <row r="899" spans="1:4" ht="51" x14ac:dyDescent="0.25">
      <c r="A899" s="104">
        <v>91381</v>
      </c>
      <c r="B899" s="105" t="s">
        <v>1589</v>
      </c>
      <c r="C899" s="106" t="s">
        <v>102</v>
      </c>
      <c r="D899" s="107">
        <v>2.5</v>
      </c>
    </row>
    <row r="900" spans="1:4" ht="51" x14ac:dyDescent="0.25">
      <c r="A900" s="104">
        <v>91382</v>
      </c>
      <c r="B900" s="105" t="s">
        <v>1590</v>
      </c>
      <c r="C900" s="106" t="s">
        <v>102</v>
      </c>
      <c r="D900" s="107">
        <v>0.98</v>
      </c>
    </row>
    <row r="901" spans="1:4" ht="51" x14ac:dyDescent="0.25">
      <c r="A901" s="104">
        <v>91383</v>
      </c>
      <c r="B901" s="105" t="s">
        <v>1591</v>
      </c>
      <c r="C901" s="106" t="s">
        <v>102</v>
      </c>
      <c r="D901" s="107">
        <v>25.39</v>
      </c>
    </row>
    <row r="902" spans="1:4" ht="51" x14ac:dyDescent="0.25">
      <c r="A902" s="104">
        <v>91384</v>
      </c>
      <c r="B902" s="105" t="s">
        <v>1592</v>
      </c>
      <c r="C902" s="106" t="s">
        <v>102</v>
      </c>
      <c r="D902" s="107">
        <v>77.260000000000005</v>
      </c>
    </row>
    <row r="903" spans="1:4" ht="51" x14ac:dyDescent="0.25">
      <c r="A903" s="104">
        <v>91390</v>
      </c>
      <c r="B903" s="105" t="s">
        <v>1593</v>
      </c>
      <c r="C903" s="106" t="s">
        <v>102</v>
      </c>
      <c r="D903" s="107">
        <v>8.81</v>
      </c>
    </row>
    <row r="904" spans="1:4" ht="51" x14ac:dyDescent="0.25">
      <c r="A904" s="104">
        <v>91391</v>
      </c>
      <c r="B904" s="105" t="s">
        <v>1594</v>
      </c>
      <c r="C904" s="106" t="s">
        <v>102</v>
      </c>
      <c r="D904" s="107">
        <v>1.84</v>
      </c>
    </row>
    <row r="905" spans="1:4" ht="51" x14ac:dyDescent="0.25">
      <c r="A905" s="104">
        <v>91392</v>
      </c>
      <c r="B905" s="105" t="s">
        <v>1595</v>
      </c>
      <c r="C905" s="106" t="s">
        <v>102</v>
      </c>
      <c r="D905" s="107">
        <v>0.71</v>
      </c>
    </row>
    <row r="906" spans="1:4" ht="51" x14ac:dyDescent="0.25">
      <c r="A906" s="104">
        <v>91396</v>
      </c>
      <c r="B906" s="105" t="s">
        <v>1596</v>
      </c>
      <c r="C906" s="106" t="s">
        <v>102</v>
      </c>
      <c r="D906" s="107">
        <v>11.94</v>
      </c>
    </row>
    <row r="907" spans="1:4" ht="51" x14ac:dyDescent="0.25">
      <c r="A907" s="104">
        <v>91397</v>
      </c>
      <c r="B907" s="105" t="s">
        <v>1597</v>
      </c>
      <c r="C907" s="106" t="s">
        <v>102</v>
      </c>
      <c r="D907" s="107">
        <v>2.5</v>
      </c>
    </row>
    <row r="908" spans="1:4" ht="51" x14ac:dyDescent="0.25">
      <c r="A908" s="104">
        <v>91398</v>
      </c>
      <c r="B908" s="105" t="s">
        <v>1598</v>
      </c>
      <c r="C908" s="106" t="s">
        <v>102</v>
      </c>
      <c r="D908" s="107">
        <v>0.97</v>
      </c>
    </row>
    <row r="909" spans="1:4" ht="51" x14ac:dyDescent="0.25">
      <c r="A909" s="104">
        <v>91402</v>
      </c>
      <c r="B909" s="105" t="s">
        <v>1599</v>
      </c>
      <c r="C909" s="106" t="s">
        <v>102</v>
      </c>
      <c r="D909" s="107">
        <v>0.82</v>
      </c>
    </row>
    <row r="910" spans="1:4" ht="51" x14ac:dyDescent="0.25">
      <c r="A910" s="104">
        <v>91466</v>
      </c>
      <c r="B910" s="105" t="s">
        <v>1600</v>
      </c>
      <c r="C910" s="106" t="s">
        <v>102</v>
      </c>
      <c r="D910" s="107">
        <v>0.75</v>
      </c>
    </row>
    <row r="911" spans="1:4" ht="51" x14ac:dyDescent="0.25">
      <c r="A911" s="104">
        <v>91467</v>
      </c>
      <c r="B911" s="105" t="s">
        <v>1601</v>
      </c>
      <c r="C911" s="106" t="s">
        <v>102</v>
      </c>
      <c r="D911" s="107">
        <v>86.16</v>
      </c>
    </row>
    <row r="912" spans="1:4" ht="51" x14ac:dyDescent="0.25">
      <c r="A912" s="104">
        <v>91468</v>
      </c>
      <c r="B912" s="105" t="s">
        <v>1602</v>
      </c>
      <c r="C912" s="106" t="s">
        <v>102</v>
      </c>
      <c r="D912" s="107">
        <v>13.08</v>
      </c>
    </row>
    <row r="913" spans="1:4" ht="51" x14ac:dyDescent="0.25">
      <c r="A913" s="104">
        <v>91469</v>
      </c>
      <c r="B913" s="105" t="s">
        <v>1603</v>
      </c>
      <c r="C913" s="106" t="s">
        <v>102</v>
      </c>
      <c r="D913" s="107">
        <v>2.82</v>
      </c>
    </row>
    <row r="914" spans="1:4" ht="51" x14ac:dyDescent="0.25">
      <c r="A914" s="104">
        <v>91484</v>
      </c>
      <c r="B914" s="105" t="s">
        <v>1604</v>
      </c>
      <c r="C914" s="106" t="s">
        <v>102</v>
      </c>
      <c r="D914" s="107">
        <v>0.9</v>
      </c>
    </row>
    <row r="915" spans="1:4" ht="51" x14ac:dyDescent="0.25">
      <c r="A915" s="104">
        <v>91485</v>
      </c>
      <c r="B915" s="105" t="s">
        <v>1605</v>
      </c>
      <c r="C915" s="106" t="s">
        <v>102</v>
      </c>
      <c r="D915" s="107">
        <v>116.93</v>
      </c>
    </row>
    <row r="916" spans="1:4" ht="25.5" x14ac:dyDescent="0.25">
      <c r="A916" s="104">
        <v>91529</v>
      </c>
      <c r="B916" s="105" t="s">
        <v>1606</v>
      </c>
      <c r="C916" s="106" t="s">
        <v>102</v>
      </c>
      <c r="D916" s="107">
        <v>0.51</v>
      </c>
    </row>
    <row r="917" spans="1:4" ht="25.5" x14ac:dyDescent="0.25">
      <c r="A917" s="104">
        <v>91530</v>
      </c>
      <c r="B917" s="105" t="s">
        <v>1607</v>
      </c>
      <c r="C917" s="106" t="s">
        <v>102</v>
      </c>
      <c r="D917" s="107">
        <v>7.0000000000000007E-2</v>
      </c>
    </row>
    <row r="918" spans="1:4" ht="25.5" x14ac:dyDescent="0.25">
      <c r="A918" s="104">
        <v>91531</v>
      </c>
      <c r="B918" s="105" t="s">
        <v>1608</v>
      </c>
      <c r="C918" s="106" t="s">
        <v>102</v>
      </c>
      <c r="D918" s="107">
        <v>0.64</v>
      </c>
    </row>
    <row r="919" spans="1:4" ht="38.25" x14ac:dyDescent="0.25">
      <c r="A919" s="104">
        <v>91532</v>
      </c>
      <c r="B919" s="105" t="s">
        <v>1609</v>
      </c>
      <c r="C919" s="106" t="s">
        <v>102</v>
      </c>
      <c r="D919" s="107">
        <v>4</v>
      </c>
    </row>
    <row r="920" spans="1:4" ht="51" x14ac:dyDescent="0.25">
      <c r="A920" s="104">
        <v>91629</v>
      </c>
      <c r="B920" s="105" t="s">
        <v>1610</v>
      </c>
      <c r="C920" s="106" t="s">
        <v>102</v>
      </c>
      <c r="D920" s="107">
        <v>8.59</v>
      </c>
    </row>
    <row r="921" spans="1:4" ht="51" x14ac:dyDescent="0.25">
      <c r="A921" s="104">
        <v>91630</v>
      </c>
      <c r="B921" s="105" t="s">
        <v>1611</v>
      </c>
      <c r="C921" s="106" t="s">
        <v>102</v>
      </c>
      <c r="D921" s="107">
        <v>1.8</v>
      </c>
    </row>
    <row r="922" spans="1:4" ht="51" x14ac:dyDescent="0.25">
      <c r="A922" s="104">
        <v>91631</v>
      </c>
      <c r="B922" s="105" t="s">
        <v>1612</v>
      </c>
      <c r="C922" s="106" t="s">
        <v>102</v>
      </c>
      <c r="D922" s="107">
        <v>0.69</v>
      </c>
    </row>
    <row r="923" spans="1:4" ht="51" x14ac:dyDescent="0.25">
      <c r="A923" s="104">
        <v>91632</v>
      </c>
      <c r="B923" s="105" t="s">
        <v>1613</v>
      </c>
      <c r="C923" s="106" t="s">
        <v>102</v>
      </c>
      <c r="D923" s="107">
        <v>16.13</v>
      </c>
    </row>
    <row r="924" spans="1:4" ht="51" x14ac:dyDescent="0.25">
      <c r="A924" s="104">
        <v>91633</v>
      </c>
      <c r="B924" s="105" t="s">
        <v>1614</v>
      </c>
      <c r="C924" s="106" t="s">
        <v>102</v>
      </c>
      <c r="D924" s="107">
        <v>72.92</v>
      </c>
    </row>
    <row r="925" spans="1:4" ht="51" x14ac:dyDescent="0.25">
      <c r="A925" s="104">
        <v>91640</v>
      </c>
      <c r="B925" s="105" t="s">
        <v>1615</v>
      </c>
      <c r="C925" s="106" t="s">
        <v>102</v>
      </c>
      <c r="D925" s="107">
        <v>21.34</v>
      </c>
    </row>
    <row r="926" spans="1:4" ht="51" x14ac:dyDescent="0.25">
      <c r="A926" s="104">
        <v>91641</v>
      </c>
      <c r="B926" s="105" t="s">
        <v>1616</v>
      </c>
      <c r="C926" s="106" t="s">
        <v>102</v>
      </c>
      <c r="D926" s="107">
        <v>4.47</v>
      </c>
    </row>
    <row r="927" spans="1:4" ht="51" x14ac:dyDescent="0.25">
      <c r="A927" s="104">
        <v>91642</v>
      </c>
      <c r="B927" s="105" t="s">
        <v>1617</v>
      </c>
      <c r="C927" s="106" t="s">
        <v>102</v>
      </c>
      <c r="D927" s="107">
        <v>1.73</v>
      </c>
    </row>
    <row r="928" spans="1:4" ht="51" x14ac:dyDescent="0.25">
      <c r="A928" s="104">
        <v>91643</v>
      </c>
      <c r="B928" s="105" t="s">
        <v>1618</v>
      </c>
      <c r="C928" s="106" t="s">
        <v>102</v>
      </c>
      <c r="D928" s="107">
        <v>40.01</v>
      </c>
    </row>
    <row r="929" spans="1:4" ht="51" x14ac:dyDescent="0.25">
      <c r="A929" s="104">
        <v>91644</v>
      </c>
      <c r="B929" s="105" t="s">
        <v>1619</v>
      </c>
      <c r="C929" s="106" t="s">
        <v>102</v>
      </c>
      <c r="D929" s="107">
        <v>164.1</v>
      </c>
    </row>
    <row r="930" spans="1:4" ht="25.5" x14ac:dyDescent="0.25">
      <c r="A930" s="104">
        <v>91688</v>
      </c>
      <c r="B930" s="105" t="s">
        <v>1620</v>
      </c>
      <c r="C930" s="106" t="s">
        <v>102</v>
      </c>
      <c r="D930" s="107">
        <v>0.08</v>
      </c>
    </row>
    <row r="931" spans="1:4" ht="25.5" x14ac:dyDescent="0.25">
      <c r="A931" s="104">
        <v>91689</v>
      </c>
      <c r="B931" s="105" t="s">
        <v>1621</v>
      </c>
      <c r="C931" s="106" t="s">
        <v>102</v>
      </c>
      <c r="D931" s="107">
        <v>0.01</v>
      </c>
    </row>
    <row r="932" spans="1:4" ht="25.5" x14ac:dyDescent="0.25">
      <c r="A932" s="104">
        <v>91690</v>
      </c>
      <c r="B932" s="105" t="s">
        <v>1622</v>
      </c>
      <c r="C932" s="106" t="s">
        <v>102</v>
      </c>
      <c r="D932" s="107">
        <v>0.06</v>
      </c>
    </row>
    <row r="933" spans="1:4" ht="38.25" x14ac:dyDescent="0.25">
      <c r="A933" s="104">
        <v>91691</v>
      </c>
      <c r="B933" s="105" t="s">
        <v>1623</v>
      </c>
      <c r="C933" s="106" t="s">
        <v>102</v>
      </c>
      <c r="D933" s="107">
        <v>2.56</v>
      </c>
    </row>
    <row r="934" spans="1:4" ht="25.5" x14ac:dyDescent="0.25">
      <c r="A934" s="104">
        <v>92040</v>
      </c>
      <c r="B934" s="105" t="s">
        <v>1624</v>
      </c>
      <c r="C934" s="106" t="s">
        <v>102</v>
      </c>
      <c r="D934" s="107">
        <v>4.13</v>
      </c>
    </row>
    <row r="935" spans="1:4" ht="25.5" x14ac:dyDescent="0.25">
      <c r="A935" s="104">
        <v>92041</v>
      </c>
      <c r="B935" s="105" t="s">
        <v>1625</v>
      </c>
      <c r="C935" s="106" t="s">
        <v>102</v>
      </c>
      <c r="D935" s="107">
        <v>0.43</v>
      </c>
    </row>
    <row r="936" spans="1:4" ht="25.5" x14ac:dyDescent="0.25">
      <c r="A936" s="104">
        <v>92042</v>
      </c>
      <c r="B936" s="105" t="s">
        <v>1626</v>
      </c>
      <c r="C936" s="106" t="s">
        <v>102</v>
      </c>
      <c r="D936" s="107">
        <v>3.44</v>
      </c>
    </row>
    <row r="937" spans="1:4" ht="63.75" x14ac:dyDescent="0.25">
      <c r="A937" s="104">
        <v>92101</v>
      </c>
      <c r="B937" s="105" t="s">
        <v>1627</v>
      </c>
      <c r="C937" s="106" t="s">
        <v>102</v>
      </c>
      <c r="D937" s="107">
        <v>13.43</v>
      </c>
    </row>
    <row r="938" spans="1:4" ht="63.75" x14ac:dyDescent="0.25">
      <c r="A938" s="104">
        <v>92102</v>
      </c>
      <c r="B938" s="105" t="s">
        <v>1628</v>
      </c>
      <c r="C938" s="106" t="s">
        <v>102</v>
      </c>
      <c r="D938" s="107">
        <v>2.81</v>
      </c>
    </row>
    <row r="939" spans="1:4" ht="63.75" x14ac:dyDescent="0.25">
      <c r="A939" s="104">
        <v>92103</v>
      </c>
      <c r="B939" s="105" t="s">
        <v>1629</v>
      </c>
      <c r="C939" s="106" t="s">
        <v>102</v>
      </c>
      <c r="D939" s="107">
        <v>1.0900000000000001</v>
      </c>
    </row>
    <row r="940" spans="1:4" ht="63.75" x14ac:dyDescent="0.25">
      <c r="A940" s="104">
        <v>92104</v>
      </c>
      <c r="B940" s="105" t="s">
        <v>1630</v>
      </c>
      <c r="C940" s="106" t="s">
        <v>102</v>
      </c>
      <c r="D940" s="107">
        <v>25.19</v>
      </c>
    </row>
    <row r="941" spans="1:4" ht="63.75" x14ac:dyDescent="0.25">
      <c r="A941" s="104">
        <v>92105</v>
      </c>
      <c r="B941" s="105" t="s">
        <v>1631</v>
      </c>
      <c r="C941" s="106" t="s">
        <v>102</v>
      </c>
      <c r="D941" s="107">
        <v>104.84</v>
      </c>
    </row>
    <row r="942" spans="1:4" ht="38.25" x14ac:dyDescent="0.25">
      <c r="A942" s="104">
        <v>92108</v>
      </c>
      <c r="B942" s="105" t="s">
        <v>1632</v>
      </c>
      <c r="C942" s="106" t="s">
        <v>102</v>
      </c>
      <c r="D942" s="107">
        <v>0.69</v>
      </c>
    </row>
    <row r="943" spans="1:4" ht="38.25" x14ac:dyDescent="0.25">
      <c r="A943" s="104">
        <v>92109</v>
      </c>
      <c r="B943" s="105" t="s">
        <v>1633</v>
      </c>
      <c r="C943" s="106" t="s">
        <v>102</v>
      </c>
      <c r="D943" s="107">
        <v>0.08</v>
      </c>
    </row>
    <row r="944" spans="1:4" ht="38.25" x14ac:dyDescent="0.25">
      <c r="A944" s="104">
        <v>92110</v>
      </c>
      <c r="B944" s="105" t="s">
        <v>1634</v>
      </c>
      <c r="C944" s="106" t="s">
        <v>102</v>
      </c>
      <c r="D944" s="107">
        <v>0.54</v>
      </c>
    </row>
    <row r="945" spans="1:4" ht="38.25" x14ac:dyDescent="0.25">
      <c r="A945" s="104">
        <v>92111</v>
      </c>
      <c r="B945" s="105" t="s">
        <v>1635</v>
      </c>
      <c r="C945" s="106" t="s">
        <v>102</v>
      </c>
      <c r="D945" s="107">
        <v>1.01</v>
      </c>
    </row>
    <row r="946" spans="1:4" ht="25.5" x14ac:dyDescent="0.25">
      <c r="A946" s="104">
        <v>92114</v>
      </c>
      <c r="B946" s="105" t="s">
        <v>1636</v>
      </c>
      <c r="C946" s="106" t="s">
        <v>102</v>
      </c>
      <c r="D946" s="107">
        <v>7.0000000000000007E-2</v>
      </c>
    </row>
    <row r="947" spans="1:4" x14ac:dyDescent="0.25">
      <c r="A947" s="104">
        <v>92115</v>
      </c>
      <c r="B947" s="105" t="s">
        <v>1637</v>
      </c>
      <c r="C947" s="106" t="s">
        <v>102</v>
      </c>
      <c r="D947" s="107">
        <v>0</v>
      </c>
    </row>
    <row r="948" spans="1:4" ht="25.5" x14ac:dyDescent="0.25">
      <c r="A948" s="104">
        <v>92116</v>
      </c>
      <c r="B948" s="105" t="s">
        <v>1638</v>
      </c>
      <c r="C948" s="106" t="s">
        <v>102</v>
      </c>
      <c r="D948" s="107">
        <v>0.09</v>
      </c>
    </row>
    <row r="949" spans="1:4" ht="25.5" x14ac:dyDescent="0.25">
      <c r="A949" s="104">
        <v>92133</v>
      </c>
      <c r="B949" s="105" t="s">
        <v>1639</v>
      </c>
      <c r="C949" s="106" t="s">
        <v>102</v>
      </c>
      <c r="D949" s="107">
        <v>7.62</v>
      </c>
    </row>
    <row r="950" spans="1:4" ht="25.5" x14ac:dyDescent="0.25">
      <c r="A950" s="104">
        <v>92134</v>
      </c>
      <c r="B950" s="105" t="s">
        <v>1640</v>
      </c>
      <c r="C950" s="106" t="s">
        <v>102</v>
      </c>
      <c r="D950" s="107">
        <v>1.2</v>
      </c>
    </row>
    <row r="951" spans="1:4" ht="25.5" x14ac:dyDescent="0.25">
      <c r="A951" s="104">
        <v>92135</v>
      </c>
      <c r="B951" s="105" t="s">
        <v>1641</v>
      </c>
      <c r="C951" s="106" t="s">
        <v>102</v>
      </c>
      <c r="D951" s="107">
        <v>0.47</v>
      </c>
    </row>
    <row r="952" spans="1:4" ht="25.5" x14ac:dyDescent="0.25">
      <c r="A952" s="104">
        <v>92136</v>
      </c>
      <c r="B952" s="105" t="s">
        <v>1642</v>
      </c>
      <c r="C952" s="106" t="s">
        <v>102</v>
      </c>
      <c r="D952" s="107">
        <v>9.5299999999999994</v>
      </c>
    </row>
    <row r="953" spans="1:4" ht="25.5" x14ac:dyDescent="0.25">
      <c r="A953" s="104">
        <v>92137</v>
      </c>
      <c r="B953" s="105" t="s">
        <v>1643</v>
      </c>
      <c r="C953" s="106" t="s">
        <v>102</v>
      </c>
      <c r="D953" s="107">
        <v>21.58</v>
      </c>
    </row>
    <row r="954" spans="1:4" ht="38.25" x14ac:dyDescent="0.25">
      <c r="A954" s="104">
        <v>92140</v>
      </c>
      <c r="B954" s="105" t="s">
        <v>1644</v>
      </c>
      <c r="C954" s="106" t="s">
        <v>102</v>
      </c>
      <c r="D954" s="107">
        <v>2.3199999999999998</v>
      </c>
    </row>
    <row r="955" spans="1:4" ht="25.5" x14ac:dyDescent="0.25">
      <c r="A955" s="104">
        <v>92141</v>
      </c>
      <c r="B955" s="105" t="s">
        <v>1645</v>
      </c>
      <c r="C955" s="106" t="s">
        <v>102</v>
      </c>
      <c r="D955" s="107">
        <v>0.36</v>
      </c>
    </row>
    <row r="956" spans="1:4" ht="38.25" x14ac:dyDescent="0.25">
      <c r="A956" s="104">
        <v>92142</v>
      </c>
      <c r="B956" s="105" t="s">
        <v>1646</v>
      </c>
      <c r="C956" s="106" t="s">
        <v>102</v>
      </c>
      <c r="D956" s="107">
        <v>0.14000000000000001</v>
      </c>
    </row>
    <row r="957" spans="1:4" ht="38.25" x14ac:dyDescent="0.25">
      <c r="A957" s="104">
        <v>92143</v>
      </c>
      <c r="B957" s="105" t="s">
        <v>1647</v>
      </c>
      <c r="C957" s="106" t="s">
        <v>102</v>
      </c>
      <c r="D957" s="107">
        <v>2.9</v>
      </c>
    </row>
    <row r="958" spans="1:4" ht="38.25" x14ac:dyDescent="0.25">
      <c r="A958" s="104">
        <v>92144</v>
      </c>
      <c r="B958" s="105" t="s">
        <v>1648</v>
      </c>
      <c r="C958" s="106" t="s">
        <v>102</v>
      </c>
      <c r="D958" s="107">
        <v>26.02</v>
      </c>
    </row>
    <row r="959" spans="1:4" ht="51" x14ac:dyDescent="0.25">
      <c r="A959" s="104">
        <v>92237</v>
      </c>
      <c r="B959" s="105" t="s">
        <v>1649</v>
      </c>
      <c r="C959" s="106" t="s">
        <v>102</v>
      </c>
      <c r="D959" s="107">
        <v>15.62</v>
      </c>
    </row>
    <row r="960" spans="1:4" ht="51" x14ac:dyDescent="0.25">
      <c r="A960" s="104">
        <v>92238</v>
      </c>
      <c r="B960" s="105" t="s">
        <v>1650</v>
      </c>
      <c r="C960" s="106" t="s">
        <v>102</v>
      </c>
      <c r="D960" s="107">
        <v>3.27</v>
      </c>
    </row>
    <row r="961" spans="1:4" ht="51" x14ac:dyDescent="0.25">
      <c r="A961" s="104">
        <v>92239</v>
      </c>
      <c r="B961" s="105" t="s">
        <v>1651</v>
      </c>
      <c r="C961" s="106" t="s">
        <v>102</v>
      </c>
      <c r="D961" s="107">
        <v>1.27</v>
      </c>
    </row>
    <row r="962" spans="1:4" ht="51" x14ac:dyDescent="0.25">
      <c r="A962" s="104">
        <v>92240</v>
      </c>
      <c r="B962" s="105" t="s">
        <v>1652</v>
      </c>
      <c r="C962" s="106" t="s">
        <v>102</v>
      </c>
      <c r="D962" s="107">
        <v>29.28</v>
      </c>
    </row>
    <row r="963" spans="1:4" ht="51" x14ac:dyDescent="0.25">
      <c r="A963" s="104">
        <v>92241</v>
      </c>
      <c r="B963" s="105" t="s">
        <v>1653</v>
      </c>
      <c r="C963" s="106" t="s">
        <v>102</v>
      </c>
      <c r="D963" s="107">
        <v>150.44</v>
      </c>
    </row>
    <row r="964" spans="1:4" ht="25.5" x14ac:dyDescent="0.25">
      <c r="A964" s="104">
        <v>92712</v>
      </c>
      <c r="B964" s="105" t="s">
        <v>1654</v>
      </c>
      <c r="C964" s="106" t="s">
        <v>102</v>
      </c>
      <c r="D964" s="107">
        <v>0.27</v>
      </c>
    </row>
    <row r="965" spans="1:4" ht="25.5" x14ac:dyDescent="0.25">
      <c r="A965" s="104">
        <v>92713</v>
      </c>
      <c r="B965" s="105" t="s">
        <v>1655</v>
      </c>
      <c r="C965" s="106" t="s">
        <v>102</v>
      </c>
      <c r="D965" s="107">
        <v>0.03</v>
      </c>
    </row>
    <row r="966" spans="1:4" ht="25.5" x14ac:dyDescent="0.25">
      <c r="A966" s="104">
        <v>92714</v>
      </c>
      <c r="B966" s="105" t="s">
        <v>1656</v>
      </c>
      <c r="C966" s="106" t="s">
        <v>102</v>
      </c>
      <c r="D966" s="107">
        <v>0.34</v>
      </c>
    </row>
    <row r="967" spans="1:4" ht="38.25" x14ac:dyDescent="0.25">
      <c r="A967" s="104">
        <v>92715</v>
      </c>
      <c r="B967" s="105" t="s">
        <v>1657</v>
      </c>
      <c r="C967" s="106" t="s">
        <v>102</v>
      </c>
      <c r="D967" s="107">
        <v>26.1</v>
      </c>
    </row>
    <row r="968" spans="1:4" ht="25.5" x14ac:dyDescent="0.25">
      <c r="A968" s="104">
        <v>92956</v>
      </c>
      <c r="B968" s="105" t="s">
        <v>1658</v>
      </c>
      <c r="C968" s="106" t="s">
        <v>102</v>
      </c>
      <c r="D968" s="107">
        <v>3.75</v>
      </c>
    </row>
    <row r="969" spans="1:4" ht="25.5" x14ac:dyDescent="0.25">
      <c r="A969" s="104">
        <v>92957</v>
      </c>
      <c r="B969" s="105" t="s">
        <v>1659</v>
      </c>
      <c r="C969" s="106" t="s">
        <v>102</v>
      </c>
      <c r="D969" s="107">
        <v>0.44</v>
      </c>
    </row>
    <row r="970" spans="1:4" ht="25.5" x14ac:dyDescent="0.25">
      <c r="A970" s="104">
        <v>92958</v>
      </c>
      <c r="B970" s="105" t="s">
        <v>1660</v>
      </c>
      <c r="C970" s="106" t="s">
        <v>102</v>
      </c>
      <c r="D970" s="107">
        <v>4.1100000000000003</v>
      </c>
    </row>
    <row r="971" spans="1:4" ht="25.5" x14ac:dyDescent="0.25">
      <c r="A971" s="104">
        <v>92959</v>
      </c>
      <c r="B971" s="105" t="s">
        <v>1661</v>
      </c>
      <c r="C971" s="106" t="s">
        <v>102</v>
      </c>
      <c r="D971" s="107">
        <v>5.05</v>
      </c>
    </row>
    <row r="972" spans="1:4" ht="25.5" x14ac:dyDescent="0.25">
      <c r="A972" s="104">
        <v>92963</v>
      </c>
      <c r="B972" s="105" t="s">
        <v>1662</v>
      </c>
      <c r="C972" s="106" t="s">
        <v>102</v>
      </c>
      <c r="D972" s="107">
        <v>1.61</v>
      </c>
    </row>
    <row r="973" spans="1:4" ht="25.5" x14ac:dyDescent="0.25">
      <c r="A973" s="104">
        <v>92964</v>
      </c>
      <c r="B973" s="105" t="s">
        <v>1663</v>
      </c>
      <c r="C973" s="106" t="s">
        <v>102</v>
      </c>
      <c r="D973" s="107">
        <v>0.19</v>
      </c>
    </row>
    <row r="974" spans="1:4" ht="25.5" x14ac:dyDescent="0.25">
      <c r="A974" s="104">
        <v>92965</v>
      </c>
      <c r="B974" s="105" t="s">
        <v>1664</v>
      </c>
      <c r="C974" s="106" t="s">
        <v>102</v>
      </c>
      <c r="D974" s="107">
        <v>2.02</v>
      </c>
    </row>
    <row r="975" spans="1:4" ht="63.75" x14ac:dyDescent="0.25">
      <c r="A975" s="104">
        <v>93220</v>
      </c>
      <c r="B975" s="105" t="s">
        <v>1665</v>
      </c>
      <c r="C975" s="106" t="s">
        <v>102</v>
      </c>
      <c r="D975" s="107">
        <v>183.04</v>
      </c>
    </row>
    <row r="976" spans="1:4" ht="51" x14ac:dyDescent="0.25">
      <c r="A976" s="104">
        <v>93221</v>
      </c>
      <c r="B976" s="105" t="s">
        <v>1666</v>
      </c>
      <c r="C976" s="106" t="s">
        <v>102</v>
      </c>
      <c r="D976" s="107">
        <v>25.41</v>
      </c>
    </row>
    <row r="977" spans="1:4" ht="63.75" x14ac:dyDescent="0.25">
      <c r="A977" s="104">
        <v>93222</v>
      </c>
      <c r="B977" s="105" t="s">
        <v>1667</v>
      </c>
      <c r="C977" s="106" t="s">
        <v>102</v>
      </c>
      <c r="D977" s="107">
        <v>229.06</v>
      </c>
    </row>
    <row r="978" spans="1:4" ht="63.75" x14ac:dyDescent="0.25">
      <c r="A978" s="104">
        <v>93223</v>
      </c>
      <c r="B978" s="105" t="s">
        <v>1668</v>
      </c>
      <c r="C978" s="106" t="s">
        <v>102</v>
      </c>
      <c r="D978" s="107">
        <v>85.15</v>
      </c>
    </row>
    <row r="979" spans="1:4" ht="38.25" x14ac:dyDescent="0.25">
      <c r="A979" s="104">
        <v>93229</v>
      </c>
      <c r="B979" s="105" t="s">
        <v>1669</v>
      </c>
      <c r="C979" s="106" t="s">
        <v>102</v>
      </c>
      <c r="D979" s="107">
        <v>0.28999999999999998</v>
      </c>
    </row>
    <row r="980" spans="1:4" ht="38.25" x14ac:dyDescent="0.25">
      <c r="A980" s="104">
        <v>93230</v>
      </c>
      <c r="B980" s="105" t="s">
        <v>1670</v>
      </c>
      <c r="C980" s="106" t="s">
        <v>102</v>
      </c>
      <c r="D980" s="107">
        <v>0.03</v>
      </c>
    </row>
    <row r="981" spans="1:4" ht="38.25" x14ac:dyDescent="0.25">
      <c r="A981" s="104">
        <v>93231</v>
      </c>
      <c r="B981" s="105" t="s">
        <v>1671</v>
      </c>
      <c r="C981" s="106" t="s">
        <v>102</v>
      </c>
      <c r="D981" s="107">
        <v>0.27</v>
      </c>
    </row>
    <row r="982" spans="1:4" ht="38.25" x14ac:dyDescent="0.25">
      <c r="A982" s="104">
        <v>93232</v>
      </c>
      <c r="B982" s="105" t="s">
        <v>1672</v>
      </c>
      <c r="C982" s="106" t="s">
        <v>102</v>
      </c>
      <c r="D982" s="107">
        <v>5.6</v>
      </c>
    </row>
    <row r="983" spans="1:4" ht="25.5" x14ac:dyDescent="0.25">
      <c r="A983" s="104">
        <v>93235</v>
      </c>
      <c r="B983" s="105" t="s">
        <v>1673</v>
      </c>
      <c r="C983" s="106" t="s">
        <v>102</v>
      </c>
      <c r="D983" s="107">
        <v>0.79</v>
      </c>
    </row>
    <row r="984" spans="1:4" ht="38.25" x14ac:dyDescent="0.25">
      <c r="A984" s="104">
        <v>93238</v>
      </c>
      <c r="B984" s="105" t="s">
        <v>1674</v>
      </c>
      <c r="C984" s="106" t="s">
        <v>102</v>
      </c>
      <c r="D984" s="107">
        <v>0.66</v>
      </c>
    </row>
    <row r="985" spans="1:4" ht="38.25" x14ac:dyDescent="0.25">
      <c r="A985" s="104">
        <v>93239</v>
      </c>
      <c r="B985" s="105" t="s">
        <v>1675</v>
      </c>
      <c r="C985" s="106" t="s">
        <v>102</v>
      </c>
      <c r="D985" s="107">
        <v>3.01</v>
      </c>
    </row>
    <row r="986" spans="1:4" ht="51" x14ac:dyDescent="0.25">
      <c r="A986" s="104">
        <v>93240</v>
      </c>
      <c r="B986" s="105" t="s">
        <v>1676</v>
      </c>
      <c r="C986" s="106" t="s">
        <v>102</v>
      </c>
      <c r="D986" s="107">
        <v>6.52</v>
      </c>
    </row>
    <row r="987" spans="1:4" ht="25.5" x14ac:dyDescent="0.25">
      <c r="A987" s="104">
        <v>93267</v>
      </c>
      <c r="B987" s="105" t="s">
        <v>1677</v>
      </c>
      <c r="C987" s="106" t="s">
        <v>102</v>
      </c>
      <c r="D987" s="107">
        <v>24.17</v>
      </c>
    </row>
    <row r="988" spans="1:4" ht="25.5" x14ac:dyDescent="0.25">
      <c r="A988" s="104">
        <v>93269</v>
      </c>
      <c r="B988" s="105" t="s">
        <v>1678</v>
      </c>
      <c r="C988" s="106" t="s">
        <v>102</v>
      </c>
      <c r="D988" s="107">
        <v>2.87</v>
      </c>
    </row>
    <row r="989" spans="1:4" ht="25.5" x14ac:dyDescent="0.25">
      <c r="A989" s="104">
        <v>93270</v>
      </c>
      <c r="B989" s="105" t="s">
        <v>1679</v>
      </c>
      <c r="C989" s="106" t="s">
        <v>102</v>
      </c>
      <c r="D989" s="107">
        <v>26.44</v>
      </c>
    </row>
    <row r="990" spans="1:4" ht="25.5" x14ac:dyDescent="0.25">
      <c r="A990" s="104">
        <v>93271</v>
      </c>
      <c r="B990" s="105" t="s">
        <v>1680</v>
      </c>
      <c r="C990" s="106" t="s">
        <v>102</v>
      </c>
      <c r="D990" s="107">
        <v>7.57</v>
      </c>
    </row>
    <row r="991" spans="1:4" ht="25.5" x14ac:dyDescent="0.25">
      <c r="A991" s="104">
        <v>93277</v>
      </c>
      <c r="B991" s="105" t="s">
        <v>1681</v>
      </c>
      <c r="C991" s="106" t="s">
        <v>102</v>
      </c>
      <c r="D991" s="107">
        <v>0.26</v>
      </c>
    </row>
    <row r="992" spans="1:4" ht="25.5" x14ac:dyDescent="0.25">
      <c r="A992" s="104">
        <v>93278</v>
      </c>
      <c r="B992" s="105" t="s">
        <v>1682</v>
      </c>
      <c r="C992" s="106" t="s">
        <v>102</v>
      </c>
      <c r="D992" s="107">
        <v>0.03</v>
      </c>
    </row>
    <row r="993" spans="1:4" ht="25.5" x14ac:dyDescent="0.25">
      <c r="A993" s="104">
        <v>93279</v>
      </c>
      <c r="B993" s="105" t="s">
        <v>1683</v>
      </c>
      <c r="C993" s="106" t="s">
        <v>102</v>
      </c>
      <c r="D993" s="107">
        <v>0.25</v>
      </c>
    </row>
    <row r="994" spans="1:4" ht="38.25" x14ac:dyDescent="0.25">
      <c r="A994" s="104">
        <v>93280</v>
      </c>
      <c r="B994" s="105" t="s">
        <v>1684</v>
      </c>
      <c r="C994" s="106" t="s">
        <v>102</v>
      </c>
      <c r="D994" s="107">
        <v>0.63</v>
      </c>
    </row>
    <row r="995" spans="1:4" ht="38.25" x14ac:dyDescent="0.25">
      <c r="A995" s="104">
        <v>93283</v>
      </c>
      <c r="B995" s="105" t="s">
        <v>1685</v>
      </c>
      <c r="C995" s="106" t="s">
        <v>102</v>
      </c>
      <c r="D995" s="107">
        <v>50.81</v>
      </c>
    </row>
    <row r="996" spans="1:4" ht="38.25" x14ac:dyDescent="0.25">
      <c r="A996" s="104">
        <v>93284</v>
      </c>
      <c r="B996" s="105" t="s">
        <v>1686</v>
      </c>
      <c r="C996" s="106" t="s">
        <v>102</v>
      </c>
      <c r="D996" s="107">
        <v>9.65</v>
      </c>
    </row>
    <row r="997" spans="1:4" ht="38.25" x14ac:dyDescent="0.25">
      <c r="A997" s="104">
        <v>93285</v>
      </c>
      <c r="B997" s="105" t="s">
        <v>1687</v>
      </c>
      <c r="C997" s="106" t="s">
        <v>102</v>
      </c>
      <c r="D997" s="107">
        <v>81.69</v>
      </c>
    </row>
    <row r="998" spans="1:4" ht="38.25" x14ac:dyDescent="0.25">
      <c r="A998" s="104">
        <v>93286</v>
      </c>
      <c r="B998" s="105" t="s">
        <v>1688</v>
      </c>
      <c r="C998" s="106" t="s">
        <v>102</v>
      </c>
      <c r="D998" s="107">
        <v>179.01</v>
      </c>
    </row>
    <row r="999" spans="1:4" ht="38.25" x14ac:dyDescent="0.25">
      <c r="A999" s="104">
        <v>93296</v>
      </c>
      <c r="B999" s="105" t="s">
        <v>1689</v>
      </c>
      <c r="C999" s="106" t="s">
        <v>102</v>
      </c>
      <c r="D999" s="107">
        <v>3.55</v>
      </c>
    </row>
    <row r="1000" spans="1:4" ht="51" x14ac:dyDescent="0.25">
      <c r="A1000" s="104">
        <v>93397</v>
      </c>
      <c r="B1000" s="105" t="s">
        <v>1690</v>
      </c>
      <c r="C1000" s="106" t="s">
        <v>102</v>
      </c>
      <c r="D1000" s="107">
        <v>8.59</v>
      </c>
    </row>
    <row r="1001" spans="1:4" ht="51" x14ac:dyDescent="0.25">
      <c r="A1001" s="104">
        <v>93398</v>
      </c>
      <c r="B1001" s="105" t="s">
        <v>1691</v>
      </c>
      <c r="C1001" s="106" t="s">
        <v>102</v>
      </c>
      <c r="D1001" s="107">
        <v>1.8</v>
      </c>
    </row>
    <row r="1002" spans="1:4" ht="51" x14ac:dyDescent="0.25">
      <c r="A1002" s="104">
        <v>93399</v>
      </c>
      <c r="B1002" s="105" t="s">
        <v>1692</v>
      </c>
      <c r="C1002" s="106" t="s">
        <v>102</v>
      </c>
      <c r="D1002" s="107">
        <v>0.69</v>
      </c>
    </row>
    <row r="1003" spans="1:4" ht="51" x14ac:dyDescent="0.25">
      <c r="A1003" s="104">
        <v>93400</v>
      </c>
      <c r="B1003" s="105" t="s">
        <v>1693</v>
      </c>
      <c r="C1003" s="106" t="s">
        <v>102</v>
      </c>
      <c r="D1003" s="107">
        <v>16.13</v>
      </c>
    </row>
    <row r="1004" spans="1:4" ht="51" x14ac:dyDescent="0.25">
      <c r="A1004" s="104">
        <v>93401</v>
      </c>
      <c r="B1004" s="105" t="s">
        <v>1694</v>
      </c>
      <c r="C1004" s="106" t="s">
        <v>102</v>
      </c>
      <c r="D1004" s="107">
        <v>86.16</v>
      </c>
    </row>
    <row r="1005" spans="1:4" ht="63.75" x14ac:dyDescent="0.25">
      <c r="A1005" s="104">
        <v>93404</v>
      </c>
      <c r="B1005" s="105" t="s">
        <v>10780</v>
      </c>
      <c r="C1005" s="106" t="s">
        <v>102</v>
      </c>
      <c r="D1005" s="107">
        <v>4.3899999999999997</v>
      </c>
    </row>
    <row r="1006" spans="1:4" ht="51" x14ac:dyDescent="0.25">
      <c r="A1006" s="104">
        <v>93405</v>
      </c>
      <c r="B1006" s="105" t="s">
        <v>10781</v>
      </c>
      <c r="C1006" s="106" t="s">
        <v>102</v>
      </c>
      <c r="D1006" s="107">
        <v>0.44</v>
      </c>
    </row>
    <row r="1007" spans="1:4" ht="63.75" x14ac:dyDescent="0.25">
      <c r="A1007" s="104">
        <v>93406</v>
      </c>
      <c r="B1007" s="105" t="s">
        <v>10782</v>
      </c>
      <c r="C1007" s="106" t="s">
        <v>102</v>
      </c>
      <c r="D1007" s="107">
        <v>5.49</v>
      </c>
    </row>
    <row r="1008" spans="1:4" ht="63.75" x14ac:dyDescent="0.25">
      <c r="A1008" s="104">
        <v>93407</v>
      </c>
      <c r="B1008" s="105" t="s">
        <v>10783</v>
      </c>
      <c r="C1008" s="106" t="s">
        <v>102</v>
      </c>
      <c r="D1008" s="107">
        <v>25.68</v>
      </c>
    </row>
    <row r="1009" spans="1:4" ht="25.5" x14ac:dyDescent="0.25">
      <c r="A1009" s="104">
        <v>93411</v>
      </c>
      <c r="B1009" s="105" t="s">
        <v>1695</v>
      </c>
      <c r="C1009" s="106" t="s">
        <v>102</v>
      </c>
      <c r="D1009" s="107">
        <v>0.21</v>
      </c>
    </row>
    <row r="1010" spans="1:4" ht="25.5" x14ac:dyDescent="0.25">
      <c r="A1010" s="104">
        <v>93412</v>
      </c>
      <c r="B1010" s="105" t="s">
        <v>1696</v>
      </c>
      <c r="C1010" s="106" t="s">
        <v>102</v>
      </c>
      <c r="D1010" s="107">
        <v>0.03</v>
      </c>
    </row>
    <row r="1011" spans="1:4" ht="25.5" x14ac:dyDescent="0.25">
      <c r="A1011" s="104">
        <v>93413</v>
      </c>
      <c r="B1011" s="105" t="s">
        <v>1697</v>
      </c>
      <c r="C1011" s="106" t="s">
        <v>102</v>
      </c>
      <c r="D1011" s="107">
        <v>0.18</v>
      </c>
    </row>
    <row r="1012" spans="1:4" ht="38.25" x14ac:dyDescent="0.25">
      <c r="A1012" s="104">
        <v>93414</v>
      </c>
      <c r="B1012" s="105" t="s">
        <v>1698</v>
      </c>
      <c r="C1012" s="106" t="s">
        <v>102</v>
      </c>
      <c r="D1012" s="107">
        <v>9.65</v>
      </c>
    </row>
    <row r="1013" spans="1:4" ht="25.5" x14ac:dyDescent="0.25">
      <c r="A1013" s="104">
        <v>93417</v>
      </c>
      <c r="B1013" s="105" t="s">
        <v>1699</v>
      </c>
      <c r="C1013" s="106" t="s">
        <v>102</v>
      </c>
      <c r="D1013" s="107">
        <v>2.76</v>
      </c>
    </row>
    <row r="1014" spans="1:4" ht="25.5" x14ac:dyDescent="0.25">
      <c r="A1014" s="104">
        <v>93418</v>
      </c>
      <c r="B1014" s="105" t="s">
        <v>1700</v>
      </c>
      <c r="C1014" s="106" t="s">
        <v>102</v>
      </c>
      <c r="D1014" s="107">
        <v>0.49</v>
      </c>
    </row>
    <row r="1015" spans="1:4" ht="25.5" x14ac:dyDescent="0.25">
      <c r="A1015" s="104">
        <v>93419</v>
      </c>
      <c r="B1015" s="105" t="s">
        <v>1701</v>
      </c>
      <c r="C1015" s="106" t="s">
        <v>102</v>
      </c>
      <c r="D1015" s="107">
        <v>2.46</v>
      </c>
    </row>
    <row r="1016" spans="1:4" ht="25.5" x14ac:dyDescent="0.25">
      <c r="A1016" s="104">
        <v>93420</v>
      </c>
      <c r="B1016" s="105" t="s">
        <v>1702</v>
      </c>
      <c r="C1016" s="106" t="s">
        <v>102</v>
      </c>
      <c r="D1016" s="107">
        <v>36.54</v>
      </c>
    </row>
    <row r="1017" spans="1:4" ht="25.5" x14ac:dyDescent="0.25">
      <c r="A1017" s="104">
        <v>93423</v>
      </c>
      <c r="B1017" s="105" t="s">
        <v>1703</v>
      </c>
      <c r="C1017" s="106" t="s">
        <v>102</v>
      </c>
      <c r="D1017" s="107">
        <v>3.91</v>
      </c>
    </row>
    <row r="1018" spans="1:4" ht="25.5" x14ac:dyDescent="0.25">
      <c r="A1018" s="104">
        <v>93424</v>
      </c>
      <c r="B1018" s="105" t="s">
        <v>1704</v>
      </c>
      <c r="C1018" s="106" t="s">
        <v>102</v>
      </c>
      <c r="D1018" s="107">
        <v>0.7</v>
      </c>
    </row>
    <row r="1019" spans="1:4" ht="25.5" x14ac:dyDescent="0.25">
      <c r="A1019" s="104">
        <v>93425</v>
      </c>
      <c r="B1019" s="105" t="s">
        <v>1705</v>
      </c>
      <c r="C1019" s="106" t="s">
        <v>102</v>
      </c>
      <c r="D1019" s="107">
        <v>3.48</v>
      </c>
    </row>
    <row r="1020" spans="1:4" ht="25.5" x14ac:dyDescent="0.25">
      <c r="A1020" s="104">
        <v>93426</v>
      </c>
      <c r="B1020" s="105" t="s">
        <v>1706</v>
      </c>
      <c r="C1020" s="106" t="s">
        <v>102</v>
      </c>
      <c r="D1020" s="107">
        <v>87.33</v>
      </c>
    </row>
    <row r="1021" spans="1:4" ht="25.5" x14ac:dyDescent="0.25">
      <c r="A1021" s="104">
        <v>93429</v>
      </c>
      <c r="B1021" s="105" t="s">
        <v>1707</v>
      </c>
      <c r="C1021" s="106" t="s">
        <v>102</v>
      </c>
      <c r="D1021" s="107">
        <v>66</v>
      </c>
    </row>
    <row r="1022" spans="1:4" ht="25.5" x14ac:dyDescent="0.25">
      <c r="A1022" s="104">
        <v>93430</v>
      </c>
      <c r="B1022" s="105" t="s">
        <v>1708</v>
      </c>
      <c r="C1022" s="106" t="s">
        <v>102</v>
      </c>
      <c r="D1022" s="107">
        <v>11.88</v>
      </c>
    </row>
    <row r="1023" spans="1:4" ht="25.5" x14ac:dyDescent="0.25">
      <c r="A1023" s="104">
        <v>93431</v>
      </c>
      <c r="B1023" s="105" t="s">
        <v>1709</v>
      </c>
      <c r="C1023" s="106" t="s">
        <v>102</v>
      </c>
      <c r="D1023" s="107">
        <v>106.09</v>
      </c>
    </row>
    <row r="1024" spans="1:4" ht="25.5" x14ac:dyDescent="0.25">
      <c r="A1024" s="104">
        <v>93432</v>
      </c>
      <c r="B1024" s="105" t="s">
        <v>1710</v>
      </c>
      <c r="C1024" s="106" t="s">
        <v>102</v>
      </c>
      <c r="D1024" s="107">
        <v>1564.8</v>
      </c>
    </row>
    <row r="1025" spans="1:4" ht="25.5" x14ac:dyDescent="0.25">
      <c r="A1025" s="104">
        <v>93435</v>
      </c>
      <c r="B1025" s="105" t="s">
        <v>1711</v>
      </c>
      <c r="C1025" s="106" t="s">
        <v>102</v>
      </c>
      <c r="D1025" s="107">
        <v>3.57</v>
      </c>
    </row>
    <row r="1026" spans="1:4" ht="25.5" x14ac:dyDescent="0.25">
      <c r="A1026" s="104">
        <v>93436</v>
      </c>
      <c r="B1026" s="105" t="s">
        <v>1712</v>
      </c>
      <c r="C1026" s="106" t="s">
        <v>102</v>
      </c>
      <c r="D1026" s="107">
        <v>0.75</v>
      </c>
    </row>
    <row r="1027" spans="1:4" ht="25.5" x14ac:dyDescent="0.25">
      <c r="A1027" s="104">
        <v>93437</v>
      </c>
      <c r="B1027" s="105" t="s">
        <v>1713</v>
      </c>
      <c r="C1027" s="106" t="s">
        <v>102</v>
      </c>
      <c r="D1027" s="107">
        <v>6.69</v>
      </c>
    </row>
    <row r="1028" spans="1:4" ht="25.5" x14ac:dyDescent="0.25">
      <c r="A1028" s="104">
        <v>93438</v>
      </c>
      <c r="B1028" s="105" t="s">
        <v>1714</v>
      </c>
      <c r="C1028" s="106" t="s">
        <v>102</v>
      </c>
      <c r="D1028" s="107">
        <v>16.170000000000002</v>
      </c>
    </row>
    <row r="1029" spans="1:4" ht="25.5" x14ac:dyDescent="0.25">
      <c r="A1029" s="104">
        <v>95114</v>
      </c>
      <c r="B1029" s="105" t="s">
        <v>1715</v>
      </c>
      <c r="C1029" s="106" t="s">
        <v>102</v>
      </c>
      <c r="D1029" s="107">
        <v>1.57</v>
      </c>
    </row>
    <row r="1030" spans="1:4" ht="25.5" x14ac:dyDescent="0.25">
      <c r="A1030" s="104">
        <v>95115</v>
      </c>
      <c r="B1030" s="105" t="s">
        <v>1716</v>
      </c>
      <c r="C1030" s="106" t="s">
        <v>102</v>
      </c>
      <c r="D1030" s="107">
        <v>0.18</v>
      </c>
    </row>
    <row r="1031" spans="1:4" ht="25.5" x14ac:dyDescent="0.25">
      <c r="A1031" s="104">
        <v>95116</v>
      </c>
      <c r="B1031" s="105" t="s">
        <v>1717</v>
      </c>
      <c r="C1031" s="106" t="s">
        <v>102</v>
      </c>
      <c r="D1031" s="107">
        <v>31.99</v>
      </c>
    </row>
    <row r="1032" spans="1:4" ht="25.5" x14ac:dyDescent="0.25">
      <c r="A1032" s="104">
        <v>95117</v>
      </c>
      <c r="B1032" s="105" t="s">
        <v>1718</v>
      </c>
      <c r="C1032" s="106" t="s">
        <v>102</v>
      </c>
      <c r="D1032" s="109">
        <v>5.04</v>
      </c>
    </row>
    <row r="1033" spans="1:4" ht="25.5" x14ac:dyDescent="0.25">
      <c r="A1033" s="104">
        <v>95118</v>
      </c>
      <c r="B1033" s="105" t="s">
        <v>1719</v>
      </c>
      <c r="C1033" s="106" t="s">
        <v>102</v>
      </c>
      <c r="D1033" s="107">
        <v>34.04</v>
      </c>
    </row>
    <row r="1034" spans="1:4" ht="25.5" x14ac:dyDescent="0.25">
      <c r="A1034" s="104">
        <v>95119</v>
      </c>
      <c r="B1034" s="105" t="s">
        <v>1720</v>
      </c>
      <c r="C1034" s="106" t="s">
        <v>102</v>
      </c>
      <c r="D1034" s="107">
        <v>6.12</v>
      </c>
    </row>
    <row r="1035" spans="1:4" ht="25.5" x14ac:dyDescent="0.25">
      <c r="A1035" s="104">
        <v>95120</v>
      </c>
      <c r="B1035" s="105" t="s">
        <v>1721</v>
      </c>
      <c r="C1035" s="106" t="s">
        <v>102</v>
      </c>
      <c r="D1035" s="107">
        <v>51.63</v>
      </c>
    </row>
    <row r="1036" spans="1:4" ht="25.5" x14ac:dyDescent="0.25">
      <c r="A1036" s="104">
        <v>95123</v>
      </c>
      <c r="B1036" s="105" t="s">
        <v>1722</v>
      </c>
      <c r="C1036" s="106" t="s">
        <v>102</v>
      </c>
      <c r="D1036" s="107">
        <v>11.4</v>
      </c>
    </row>
    <row r="1037" spans="1:4" ht="25.5" x14ac:dyDescent="0.25">
      <c r="A1037" s="104">
        <v>95124</v>
      </c>
      <c r="B1037" s="105" t="s">
        <v>1723</v>
      </c>
      <c r="C1037" s="106" t="s">
        <v>102</v>
      </c>
      <c r="D1037" s="107">
        <v>1.79</v>
      </c>
    </row>
    <row r="1038" spans="1:4" ht="25.5" x14ac:dyDescent="0.25">
      <c r="A1038" s="104">
        <v>95125</v>
      </c>
      <c r="B1038" s="105" t="s">
        <v>1724</v>
      </c>
      <c r="C1038" s="106" t="s">
        <v>102</v>
      </c>
      <c r="D1038" s="107">
        <v>12.47</v>
      </c>
    </row>
    <row r="1039" spans="1:4" ht="25.5" x14ac:dyDescent="0.25">
      <c r="A1039" s="104">
        <v>95126</v>
      </c>
      <c r="B1039" s="105" t="s">
        <v>1725</v>
      </c>
      <c r="C1039" s="106" t="s">
        <v>102</v>
      </c>
      <c r="D1039" s="107">
        <v>80.22</v>
      </c>
    </row>
    <row r="1040" spans="1:4" ht="25.5" x14ac:dyDescent="0.25">
      <c r="A1040" s="104">
        <v>95129</v>
      </c>
      <c r="B1040" s="105" t="s">
        <v>1726</v>
      </c>
      <c r="C1040" s="106" t="s">
        <v>102</v>
      </c>
      <c r="D1040" s="107">
        <v>20.23</v>
      </c>
    </row>
    <row r="1041" spans="1:4" ht="25.5" x14ac:dyDescent="0.25">
      <c r="A1041" s="104">
        <v>95130</v>
      </c>
      <c r="B1041" s="105" t="s">
        <v>1727</v>
      </c>
      <c r="C1041" s="106" t="s">
        <v>102</v>
      </c>
      <c r="D1041" s="107">
        <v>3.64</v>
      </c>
    </row>
    <row r="1042" spans="1:4" ht="25.5" x14ac:dyDescent="0.25">
      <c r="A1042" s="104">
        <v>95131</v>
      </c>
      <c r="B1042" s="105" t="s">
        <v>1728</v>
      </c>
      <c r="C1042" s="106" t="s">
        <v>102</v>
      </c>
      <c r="D1042" s="107">
        <v>37.94</v>
      </c>
    </row>
    <row r="1043" spans="1:4" ht="38.25" x14ac:dyDescent="0.25">
      <c r="A1043" s="104">
        <v>95132</v>
      </c>
      <c r="B1043" s="105" t="s">
        <v>1729</v>
      </c>
      <c r="C1043" s="106" t="s">
        <v>102</v>
      </c>
      <c r="D1043" s="107">
        <v>17.57</v>
      </c>
    </row>
    <row r="1044" spans="1:4" ht="25.5" x14ac:dyDescent="0.25">
      <c r="A1044" s="104">
        <v>95136</v>
      </c>
      <c r="B1044" s="105" t="s">
        <v>1730</v>
      </c>
      <c r="C1044" s="106" t="s">
        <v>102</v>
      </c>
      <c r="D1044" s="107">
        <v>0.03</v>
      </c>
    </row>
    <row r="1045" spans="1:4" ht="25.5" x14ac:dyDescent="0.25">
      <c r="A1045" s="104">
        <v>95137</v>
      </c>
      <c r="B1045" s="105" t="s">
        <v>1731</v>
      </c>
      <c r="C1045" s="106" t="s">
        <v>102</v>
      </c>
      <c r="D1045" s="107">
        <v>0.01</v>
      </c>
    </row>
    <row r="1046" spans="1:4" ht="25.5" x14ac:dyDescent="0.25">
      <c r="A1046" s="104">
        <v>95138</v>
      </c>
      <c r="B1046" s="105" t="s">
        <v>1732</v>
      </c>
      <c r="C1046" s="106" t="s">
        <v>102</v>
      </c>
      <c r="D1046" s="107">
        <v>0.02</v>
      </c>
    </row>
    <row r="1047" spans="1:4" ht="25.5" x14ac:dyDescent="0.25">
      <c r="A1047" s="104">
        <v>95208</v>
      </c>
      <c r="B1047" s="105" t="s">
        <v>1733</v>
      </c>
      <c r="C1047" s="106" t="s">
        <v>102</v>
      </c>
      <c r="D1047" s="107">
        <v>27.39</v>
      </c>
    </row>
    <row r="1048" spans="1:4" ht="25.5" x14ac:dyDescent="0.25">
      <c r="A1048" s="104">
        <v>95209</v>
      </c>
      <c r="B1048" s="105" t="s">
        <v>1734</v>
      </c>
      <c r="C1048" s="106" t="s">
        <v>102</v>
      </c>
      <c r="D1048" s="107">
        <v>3.25</v>
      </c>
    </row>
    <row r="1049" spans="1:4" ht="25.5" x14ac:dyDescent="0.25">
      <c r="A1049" s="104">
        <v>95210</v>
      </c>
      <c r="B1049" s="105" t="s">
        <v>1735</v>
      </c>
      <c r="C1049" s="106" t="s">
        <v>102</v>
      </c>
      <c r="D1049" s="107">
        <v>29.96</v>
      </c>
    </row>
    <row r="1050" spans="1:4" ht="25.5" x14ac:dyDescent="0.25">
      <c r="A1050" s="104">
        <v>95211</v>
      </c>
      <c r="B1050" s="105" t="s">
        <v>1736</v>
      </c>
      <c r="C1050" s="106" t="s">
        <v>102</v>
      </c>
      <c r="D1050" s="107">
        <v>7.57</v>
      </c>
    </row>
    <row r="1051" spans="1:4" ht="25.5" x14ac:dyDescent="0.25">
      <c r="A1051" s="104">
        <v>95214</v>
      </c>
      <c r="B1051" s="105" t="s">
        <v>1737</v>
      </c>
      <c r="C1051" s="106" t="s">
        <v>102</v>
      </c>
      <c r="D1051" s="107">
        <v>0.49</v>
      </c>
    </row>
    <row r="1052" spans="1:4" ht="25.5" x14ac:dyDescent="0.25">
      <c r="A1052" s="104">
        <v>95215</v>
      </c>
      <c r="B1052" s="105" t="s">
        <v>1738</v>
      </c>
      <c r="C1052" s="106" t="s">
        <v>102</v>
      </c>
      <c r="D1052" s="107">
        <v>0.05</v>
      </c>
    </row>
    <row r="1053" spans="1:4" ht="25.5" x14ac:dyDescent="0.25">
      <c r="A1053" s="104">
        <v>95216</v>
      </c>
      <c r="B1053" s="105" t="s">
        <v>1739</v>
      </c>
      <c r="C1053" s="106" t="s">
        <v>102</v>
      </c>
      <c r="D1053" s="107">
        <v>0.34</v>
      </c>
    </row>
    <row r="1054" spans="1:4" ht="25.5" x14ac:dyDescent="0.25">
      <c r="A1054" s="104">
        <v>95217</v>
      </c>
      <c r="B1054" s="105" t="s">
        <v>1740</v>
      </c>
      <c r="C1054" s="106" t="s">
        <v>102</v>
      </c>
      <c r="D1054" s="107">
        <v>0.51</v>
      </c>
    </row>
    <row r="1055" spans="1:4" ht="25.5" x14ac:dyDescent="0.25">
      <c r="A1055" s="104">
        <v>95255</v>
      </c>
      <c r="B1055" s="105" t="s">
        <v>1741</v>
      </c>
      <c r="C1055" s="106" t="s">
        <v>102</v>
      </c>
      <c r="D1055" s="107">
        <v>1.39</v>
      </c>
    </row>
    <row r="1056" spans="1:4" ht="25.5" x14ac:dyDescent="0.25">
      <c r="A1056" s="104">
        <v>95256</v>
      </c>
      <c r="B1056" s="105" t="s">
        <v>1742</v>
      </c>
      <c r="C1056" s="106" t="s">
        <v>102</v>
      </c>
      <c r="D1056" s="107">
        <v>0.16</v>
      </c>
    </row>
    <row r="1057" spans="1:4" ht="25.5" x14ac:dyDescent="0.25">
      <c r="A1057" s="104">
        <v>95257</v>
      </c>
      <c r="B1057" s="105" t="s">
        <v>1743</v>
      </c>
      <c r="C1057" s="106" t="s">
        <v>102</v>
      </c>
      <c r="D1057" s="107">
        <v>1.74</v>
      </c>
    </row>
    <row r="1058" spans="1:4" ht="25.5" x14ac:dyDescent="0.25">
      <c r="A1058" s="104">
        <v>95260</v>
      </c>
      <c r="B1058" s="105" t="s">
        <v>1744</v>
      </c>
      <c r="C1058" s="106" t="s">
        <v>102</v>
      </c>
      <c r="D1058" s="107">
        <v>0.41</v>
      </c>
    </row>
    <row r="1059" spans="1:4" ht="25.5" x14ac:dyDescent="0.25">
      <c r="A1059" s="104">
        <v>95261</v>
      </c>
      <c r="B1059" s="105" t="s">
        <v>1745</v>
      </c>
      <c r="C1059" s="106" t="s">
        <v>102</v>
      </c>
      <c r="D1059" s="107">
        <v>0.16</v>
      </c>
    </row>
    <row r="1060" spans="1:4" ht="25.5" x14ac:dyDescent="0.25">
      <c r="A1060" s="104">
        <v>95262</v>
      </c>
      <c r="B1060" s="105" t="s">
        <v>1746</v>
      </c>
      <c r="C1060" s="106" t="s">
        <v>102</v>
      </c>
      <c r="D1060" s="107">
        <v>1.45</v>
      </c>
    </row>
    <row r="1061" spans="1:4" ht="25.5" x14ac:dyDescent="0.25">
      <c r="A1061" s="104">
        <v>95263</v>
      </c>
      <c r="B1061" s="105" t="s">
        <v>1747</v>
      </c>
      <c r="C1061" s="106" t="s">
        <v>102</v>
      </c>
      <c r="D1061" s="107">
        <v>2.99</v>
      </c>
    </row>
    <row r="1062" spans="1:4" ht="38.25" x14ac:dyDescent="0.25">
      <c r="A1062" s="104">
        <v>95266</v>
      </c>
      <c r="B1062" s="105" t="s">
        <v>1748</v>
      </c>
      <c r="C1062" s="106" t="s">
        <v>102</v>
      </c>
      <c r="D1062" s="107">
        <v>0.42</v>
      </c>
    </row>
    <row r="1063" spans="1:4" ht="38.25" x14ac:dyDescent="0.25">
      <c r="A1063" s="104">
        <v>95267</v>
      </c>
      <c r="B1063" s="105" t="s">
        <v>1749</v>
      </c>
      <c r="C1063" s="106" t="s">
        <v>102</v>
      </c>
      <c r="D1063" s="107">
        <v>0.04</v>
      </c>
    </row>
    <row r="1064" spans="1:4" ht="38.25" x14ac:dyDescent="0.25">
      <c r="A1064" s="104">
        <v>95268</v>
      </c>
      <c r="B1064" s="105" t="s">
        <v>1750</v>
      </c>
      <c r="C1064" s="106" t="s">
        <v>102</v>
      </c>
      <c r="D1064" s="107">
        <v>0.41</v>
      </c>
    </row>
    <row r="1065" spans="1:4" ht="38.25" x14ac:dyDescent="0.25">
      <c r="A1065" s="104">
        <v>95269</v>
      </c>
      <c r="B1065" s="105" t="s">
        <v>1751</v>
      </c>
      <c r="C1065" s="106" t="s">
        <v>102</v>
      </c>
      <c r="D1065" s="107">
        <v>5.6</v>
      </c>
    </row>
    <row r="1066" spans="1:4" ht="25.5" x14ac:dyDescent="0.25">
      <c r="A1066" s="104">
        <v>95272</v>
      </c>
      <c r="B1066" s="105" t="s">
        <v>1752</v>
      </c>
      <c r="C1066" s="106" t="s">
        <v>102</v>
      </c>
      <c r="D1066" s="107">
        <v>0.41</v>
      </c>
    </row>
    <row r="1067" spans="1:4" ht="25.5" x14ac:dyDescent="0.25">
      <c r="A1067" s="104">
        <v>95273</v>
      </c>
      <c r="B1067" s="105" t="s">
        <v>1753</v>
      </c>
      <c r="C1067" s="106" t="s">
        <v>102</v>
      </c>
      <c r="D1067" s="107">
        <v>0.04</v>
      </c>
    </row>
    <row r="1068" spans="1:4" ht="25.5" x14ac:dyDescent="0.25">
      <c r="A1068" s="104">
        <v>95274</v>
      </c>
      <c r="B1068" s="105" t="s">
        <v>1754</v>
      </c>
      <c r="C1068" s="106" t="s">
        <v>102</v>
      </c>
      <c r="D1068" s="107">
        <v>0.32</v>
      </c>
    </row>
    <row r="1069" spans="1:4" ht="38.25" x14ac:dyDescent="0.25">
      <c r="A1069" s="104">
        <v>95275</v>
      </c>
      <c r="B1069" s="105" t="s">
        <v>1755</v>
      </c>
      <c r="C1069" s="106" t="s">
        <v>102</v>
      </c>
      <c r="D1069" s="107">
        <v>2.0499999999999998</v>
      </c>
    </row>
    <row r="1070" spans="1:4" ht="25.5" x14ac:dyDescent="0.25">
      <c r="A1070" s="104">
        <v>95278</v>
      </c>
      <c r="B1070" s="105" t="s">
        <v>1756</v>
      </c>
      <c r="C1070" s="106" t="s">
        <v>102</v>
      </c>
      <c r="D1070" s="107">
        <v>0.45</v>
      </c>
    </row>
    <row r="1071" spans="1:4" ht="25.5" x14ac:dyDescent="0.25">
      <c r="A1071" s="104">
        <v>95279</v>
      </c>
      <c r="B1071" s="105" t="s">
        <v>1757</v>
      </c>
      <c r="C1071" s="106" t="s">
        <v>102</v>
      </c>
      <c r="D1071" s="107">
        <v>0.05</v>
      </c>
    </row>
    <row r="1072" spans="1:4" ht="25.5" x14ac:dyDescent="0.25">
      <c r="A1072" s="104">
        <v>95280</v>
      </c>
      <c r="B1072" s="105" t="s">
        <v>1758</v>
      </c>
      <c r="C1072" s="106" t="s">
        <v>102</v>
      </c>
      <c r="D1072" s="107">
        <v>0.35</v>
      </c>
    </row>
    <row r="1073" spans="1:4" ht="25.5" x14ac:dyDescent="0.25">
      <c r="A1073" s="104">
        <v>95281</v>
      </c>
      <c r="B1073" s="105" t="s">
        <v>1759</v>
      </c>
      <c r="C1073" s="106" t="s">
        <v>102</v>
      </c>
      <c r="D1073" s="107">
        <v>5.6</v>
      </c>
    </row>
    <row r="1074" spans="1:4" ht="38.25" x14ac:dyDescent="0.25">
      <c r="A1074" s="104">
        <v>95617</v>
      </c>
      <c r="B1074" s="105" t="s">
        <v>1760</v>
      </c>
      <c r="C1074" s="106" t="s">
        <v>102</v>
      </c>
      <c r="D1074" s="107">
        <v>1.1399999999999999</v>
      </c>
    </row>
    <row r="1075" spans="1:4" ht="38.25" x14ac:dyDescent="0.25">
      <c r="A1075" s="104">
        <v>95618</v>
      </c>
      <c r="B1075" s="105" t="s">
        <v>1761</v>
      </c>
      <c r="C1075" s="106" t="s">
        <v>102</v>
      </c>
      <c r="D1075" s="107">
        <v>0.13</v>
      </c>
    </row>
    <row r="1076" spans="1:4" ht="38.25" x14ac:dyDescent="0.25">
      <c r="A1076" s="104">
        <v>95619</v>
      </c>
      <c r="B1076" s="105" t="s">
        <v>1762</v>
      </c>
      <c r="C1076" s="106" t="s">
        <v>102</v>
      </c>
      <c r="D1076" s="107">
        <v>1.43</v>
      </c>
    </row>
    <row r="1077" spans="1:4" ht="38.25" x14ac:dyDescent="0.25">
      <c r="A1077" s="104">
        <v>95627</v>
      </c>
      <c r="B1077" s="105" t="s">
        <v>1763</v>
      </c>
      <c r="C1077" s="106" t="s">
        <v>102</v>
      </c>
      <c r="D1077" s="107">
        <v>23.81</v>
      </c>
    </row>
    <row r="1078" spans="1:4" ht="38.25" x14ac:dyDescent="0.25">
      <c r="A1078" s="104">
        <v>95628</v>
      </c>
      <c r="B1078" s="105" t="s">
        <v>1764</v>
      </c>
      <c r="C1078" s="106" t="s">
        <v>102</v>
      </c>
      <c r="D1078" s="107">
        <v>3.3</v>
      </c>
    </row>
    <row r="1079" spans="1:4" ht="38.25" x14ac:dyDescent="0.25">
      <c r="A1079" s="104">
        <v>95629</v>
      </c>
      <c r="B1079" s="105" t="s">
        <v>1765</v>
      </c>
      <c r="C1079" s="106" t="s">
        <v>102</v>
      </c>
      <c r="D1079" s="107">
        <v>29.79</v>
      </c>
    </row>
    <row r="1080" spans="1:4" ht="38.25" x14ac:dyDescent="0.25">
      <c r="A1080" s="104">
        <v>95630</v>
      </c>
      <c r="B1080" s="105" t="s">
        <v>1766</v>
      </c>
      <c r="C1080" s="106" t="s">
        <v>102</v>
      </c>
      <c r="D1080" s="107">
        <v>48.63</v>
      </c>
    </row>
    <row r="1081" spans="1:4" ht="25.5" x14ac:dyDescent="0.25">
      <c r="A1081" s="104">
        <v>95698</v>
      </c>
      <c r="B1081" s="105" t="s">
        <v>1767</v>
      </c>
      <c r="C1081" s="106" t="s">
        <v>102</v>
      </c>
      <c r="D1081" s="107">
        <v>4.6399999999999997</v>
      </c>
    </row>
    <row r="1082" spans="1:4" ht="25.5" x14ac:dyDescent="0.25">
      <c r="A1082" s="104">
        <v>95699</v>
      </c>
      <c r="B1082" s="105" t="s">
        <v>1768</v>
      </c>
      <c r="C1082" s="106" t="s">
        <v>102</v>
      </c>
      <c r="D1082" s="107">
        <v>0.55000000000000004</v>
      </c>
    </row>
    <row r="1083" spans="1:4" ht="25.5" x14ac:dyDescent="0.25">
      <c r="A1083" s="104">
        <v>95700</v>
      </c>
      <c r="B1083" s="105" t="s">
        <v>1769</v>
      </c>
      <c r="C1083" s="106" t="s">
        <v>102</v>
      </c>
      <c r="D1083" s="107">
        <v>5.8</v>
      </c>
    </row>
    <row r="1084" spans="1:4" ht="38.25" x14ac:dyDescent="0.25">
      <c r="A1084" s="104">
        <v>95701</v>
      </c>
      <c r="B1084" s="105" t="s">
        <v>1770</v>
      </c>
      <c r="C1084" s="106" t="s">
        <v>102</v>
      </c>
      <c r="D1084" s="107">
        <v>2.5299999999999998</v>
      </c>
    </row>
    <row r="1085" spans="1:4" ht="38.25" x14ac:dyDescent="0.25">
      <c r="A1085" s="104">
        <v>95704</v>
      </c>
      <c r="B1085" s="105" t="s">
        <v>1771</v>
      </c>
      <c r="C1085" s="106" t="s">
        <v>102</v>
      </c>
      <c r="D1085" s="107">
        <v>24.58</v>
      </c>
    </row>
    <row r="1086" spans="1:4" ht="25.5" x14ac:dyDescent="0.25">
      <c r="A1086" s="104">
        <v>95705</v>
      </c>
      <c r="B1086" s="105" t="s">
        <v>1772</v>
      </c>
      <c r="C1086" s="106" t="s">
        <v>102</v>
      </c>
      <c r="D1086" s="107">
        <v>3.5</v>
      </c>
    </row>
    <row r="1087" spans="1:4" ht="38.25" x14ac:dyDescent="0.25">
      <c r="A1087" s="104">
        <v>95706</v>
      </c>
      <c r="B1087" s="105" t="s">
        <v>1773</v>
      </c>
      <c r="C1087" s="106" t="s">
        <v>102</v>
      </c>
      <c r="D1087" s="107">
        <v>30.76</v>
      </c>
    </row>
    <row r="1088" spans="1:4" ht="38.25" x14ac:dyDescent="0.25">
      <c r="A1088" s="104">
        <v>95707</v>
      </c>
      <c r="B1088" s="105" t="s">
        <v>1774</v>
      </c>
      <c r="C1088" s="106" t="s">
        <v>102</v>
      </c>
      <c r="D1088" s="107">
        <v>28.25</v>
      </c>
    </row>
    <row r="1089" spans="1:4" ht="38.25" x14ac:dyDescent="0.25">
      <c r="A1089" s="104">
        <v>95710</v>
      </c>
      <c r="B1089" s="105" t="s">
        <v>1775</v>
      </c>
      <c r="C1089" s="106" t="s">
        <v>102</v>
      </c>
      <c r="D1089" s="107">
        <v>29.54</v>
      </c>
    </row>
    <row r="1090" spans="1:4" ht="38.25" x14ac:dyDescent="0.25">
      <c r="A1090" s="104">
        <v>95711</v>
      </c>
      <c r="B1090" s="105" t="s">
        <v>1776</v>
      </c>
      <c r="C1090" s="106" t="s">
        <v>102</v>
      </c>
      <c r="D1090" s="107">
        <v>4.01</v>
      </c>
    </row>
    <row r="1091" spans="1:4" ht="38.25" x14ac:dyDescent="0.25">
      <c r="A1091" s="104">
        <v>95712</v>
      </c>
      <c r="B1091" s="105" t="s">
        <v>1777</v>
      </c>
      <c r="C1091" s="106" t="s">
        <v>102</v>
      </c>
      <c r="D1091" s="107">
        <v>36.93</v>
      </c>
    </row>
    <row r="1092" spans="1:4" ht="51" x14ac:dyDescent="0.25">
      <c r="A1092" s="104">
        <v>95713</v>
      </c>
      <c r="B1092" s="105" t="s">
        <v>1778</v>
      </c>
      <c r="C1092" s="106" t="s">
        <v>102</v>
      </c>
      <c r="D1092" s="107">
        <v>48.99</v>
      </c>
    </row>
    <row r="1093" spans="1:4" ht="51" x14ac:dyDescent="0.25">
      <c r="A1093" s="104">
        <v>95716</v>
      </c>
      <c r="B1093" s="105" t="s">
        <v>1779</v>
      </c>
      <c r="C1093" s="106" t="s">
        <v>102</v>
      </c>
      <c r="D1093" s="107">
        <v>28.44</v>
      </c>
    </row>
    <row r="1094" spans="1:4" ht="51" x14ac:dyDescent="0.25">
      <c r="A1094" s="104">
        <v>95717</v>
      </c>
      <c r="B1094" s="105" t="s">
        <v>1780</v>
      </c>
      <c r="C1094" s="106" t="s">
        <v>102</v>
      </c>
      <c r="D1094" s="107">
        <v>3.86</v>
      </c>
    </row>
    <row r="1095" spans="1:4" ht="51" x14ac:dyDescent="0.25">
      <c r="A1095" s="104">
        <v>95718</v>
      </c>
      <c r="B1095" s="105" t="s">
        <v>1781</v>
      </c>
      <c r="C1095" s="106" t="s">
        <v>102</v>
      </c>
      <c r="D1095" s="107">
        <v>35.549999999999997</v>
      </c>
    </row>
    <row r="1096" spans="1:4" ht="51" x14ac:dyDescent="0.25">
      <c r="A1096" s="104">
        <v>95719</v>
      </c>
      <c r="B1096" s="105" t="s">
        <v>1782</v>
      </c>
      <c r="C1096" s="106" t="s">
        <v>102</v>
      </c>
      <c r="D1096" s="107">
        <v>48.99</v>
      </c>
    </row>
    <row r="1097" spans="1:4" ht="25.5" x14ac:dyDescent="0.25">
      <c r="A1097" s="104">
        <v>95869</v>
      </c>
      <c r="B1097" s="105" t="s">
        <v>1783</v>
      </c>
      <c r="C1097" s="106" t="s">
        <v>102</v>
      </c>
      <c r="D1097" s="107">
        <v>1.1200000000000001</v>
      </c>
    </row>
    <row r="1098" spans="1:4" ht="25.5" x14ac:dyDescent="0.25">
      <c r="A1098" s="104">
        <v>95870</v>
      </c>
      <c r="B1098" s="105" t="s">
        <v>1784</v>
      </c>
      <c r="C1098" s="106" t="s">
        <v>102</v>
      </c>
      <c r="D1098" s="107">
        <v>5.57</v>
      </c>
    </row>
    <row r="1099" spans="1:4" ht="38.25" x14ac:dyDescent="0.25">
      <c r="A1099" s="104">
        <v>95871</v>
      </c>
      <c r="B1099" s="105" t="s">
        <v>1785</v>
      </c>
      <c r="C1099" s="106" t="s">
        <v>102</v>
      </c>
      <c r="D1099" s="107">
        <v>148.78</v>
      </c>
    </row>
    <row r="1100" spans="1:4" ht="25.5" x14ac:dyDescent="0.25">
      <c r="A1100" s="104">
        <v>95874</v>
      </c>
      <c r="B1100" s="105" t="s">
        <v>1786</v>
      </c>
      <c r="C1100" s="106" t="s">
        <v>102</v>
      </c>
      <c r="D1100" s="107">
        <v>6.24</v>
      </c>
    </row>
    <row r="1101" spans="1:4" ht="25.5" x14ac:dyDescent="0.25">
      <c r="A1101" s="104">
        <v>96008</v>
      </c>
      <c r="B1101" s="105" t="s">
        <v>1787</v>
      </c>
      <c r="C1101" s="106" t="s">
        <v>102</v>
      </c>
      <c r="D1101" s="107">
        <v>11.72</v>
      </c>
    </row>
    <row r="1102" spans="1:4" ht="25.5" x14ac:dyDescent="0.25">
      <c r="A1102" s="104">
        <v>96009</v>
      </c>
      <c r="B1102" s="105" t="s">
        <v>1788</v>
      </c>
      <c r="C1102" s="106" t="s">
        <v>102</v>
      </c>
      <c r="D1102" s="107">
        <v>1.62</v>
      </c>
    </row>
    <row r="1103" spans="1:4" ht="25.5" x14ac:dyDescent="0.25">
      <c r="A1103" s="104">
        <v>96011</v>
      </c>
      <c r="B1103" s="105" t="s">
        <v>1789</v>
      </c>
      <c r="C1103" s="106" t="s">
        <v>102</v>
      </c>
      <c r="D1103" s="107">
        <v>12.82</v>
      </c>
    </row>
    <row r="1104" spans="1:4" ht="38.25" x14ac:dyDescent="0.25">
      <c r="A1104" s="104">
        <v>96012</v>
      </c>
      <c r="B1104" s="105" t="s">
        <v>1790</v>
      </c>
      <c r="C1104" s="106" t="s">
        <v>102</v>
      </c>
      <c r="D1104" s="107">
        <v>93.65</v>
      </c>
    </row>
    <row r="1105" spans="1:4" ht="25.5" x14ac:dyDescent="0.25">
      <c r="A1105" s="104">
        <v>96015</v>
      </c>
      <c r="B1105" s="105" t="s">
        <v>1791</v>
      </c>
      <c r="C1105" s="106" t="s">
        <v>102</v>
      </c>
      <c r="D1105" s="107">
        <v>11.61</v>
      </c>
    </row>
    <row r="1106" spans="1:4" ht="25.5" x14ac:dyDescent="0.25">
      <c r="A1106" s="104">
        <v>96016</v>
      </c>
      <c r="B1106" s="105" t="s">
        <v>1792</v>
      </c>
      <c r="C1106" s="106" t="s">
        <v>102</v>
      </c>
      <c r="D1106" s="107">
        <v>1.61</v>
      </c>
    </row>
    <row r="1107" spans="1:4" ht="25.5" x14ac:dyDescent="0.25">
      <c r="A1107" s="104">
        <v>96018</v>
      </c>
      <c r="B1107" s="105" t="s">
        <v>1793</v>
      </c>
      <c r="C1107" s="106" t="s">
        <v>102</v>
      </c>
      <c r="D1107" s="107">
        <v>12.7</v>
      </c>
    </row>
    <row r="1108" spans="1:4" ht="25.5" x14ac:dyDescent="0.25">
      <c r="A1108" s="104">
        <v>96019</v>
      </c>
      <c r="B1108" s="105" t="s">
        <v>1794</v>
      </c>
      <c r="C1108" s="106" t="s">
        <v>102</v>
      </c>
      <c r="D1108" s="107">
        <v>93.65</v>
      </c>
    </row>
    <row r="1109" spans="1:4" ht="25.5" x14ac:dyDescent="0.25">
      <c r="A1109" s="104">
        <v>96023</v>
      </c>
      <c r="B1109" s="105" t="s">
        <v>1795</v>
      </c>
      <c r="C1109" s="106" t="s">
        <v>102</v>
      </c>
      <c r="D1109" s="107">
        <v>8.99</v>
      </c>
    </row>
    <row r="1110" spans="1:4" ht="25.5" x14ac:dyDescent="0.25">
      <c r="A1110" s="104">
        <v>96024</v>
      </c>
      <c r="B1110" s="105" t="s">
        <v>1796</v>
      </c>
      <c r="C1110" s="106" t="s">
        <v>102</v>
      </c>
      <c r="D1110" s="107">
        <v>1.24</v>
      </c>
    </row>
    <row r="1111" spans="1:4" ht="25.5" x14ac:dyDescent="0.25">
      <c r="A1111" s="104">
        <v>96026</v>
      </c>
      <c r="B1111" s="105" t="s">
        <v>1797</v>
      </c>
      <c r="C1111" s="106" t="s">
        <v>102</v>
      </c>
      <c r="D1111" s="107">
        <v>9.84</v>
      </c>
    </row>
    <row r="1112" spans="1:4" ht="25.5" x14ac:dyDescent="0.25">
      <c r="A1112" s="104">
        <v>96027</v>
      </c>
      <c r="B1112" s="105" t="s">
        <v>1798</v>
      </c>
      <c r="C1112" s="106" t="s">
        <v>102</v>
      </c>
      <c r="D1112" s="107">
        <v>65.260000000000005</v>
      </c>
    </row>
    <row r="1113" spans="1:4" ht="38.25" x14ac:dyDescent="0.25">
      <c r="A1113" s="104">
        <v>96030</v>
      </c>
      <c r="B1113" s="105" t="s">
        <v>1799</v>
      </c>
      <c r="C1113" s="106" t="s">
        <v>102</v>
      </c>
      <c r="D1113" s="107">
        <v>15.83</v>
      </c>
    </row>
    <row r="1114" spans="1:4" ht="38.25" x14ac:dyDescent="0.25">
      <c r="A1114" s="104">
        <v>96031</v>
      </c>
      <c r="B1114" s="105" t="s">
        <v>1800</v>
      </c>
      <c r="C1114" s="106" t="s">
        <v>102</v>
      </c>
      <c r="D1114" s="107">
        <v>2.92</v>
      </c>
    </row>
    <row r="1115" spans="1:4" ht="38.25" x14ac:dyDescent="0.25">
      <c r="A1115" s="104">
        <v>96032</v>
      </c>
      <c r="B1115" s="105" t="s">
        <v>1801</v>
      </c>
      <c r="C1115" s="106" t="s">
        <v>102</v>
      </c>
      <c r="D1115" s="107">
        <v>1.1399999999999999</v>
      </c>
    </row>
    <row r="1116" spans="1:4" ht="38.25" x14ac:dyDescent="0.25">
      <c r="A1116" s="104">
        <v>96033</v>
      </c>
      <c r="B1116" s="105" t="s">
        <v>1802</v>
      </c>
      <c r="C1116" s="106" t="s">
        <v>102</v>
      </c>
      <c r="D1116" s="107">
        <v>29.69</v>
      </c>
    </row>
    <row r="1117" spans="1:4" ht="38.25" x14ac:dyDescent="0.25">
      <c r="A1117" s="104">
        <v>96034</v>
      </c>
      <c r="B1117" s="105" t="s">
        <v>1803</v>
      </c>
      <c r="C1117" s="106" t="s">
        <v>102</v>
      </c>
      <c r="D1117" s="107">
        <v>77.260000000000005</v>
      </c>
    </row>
    <row r="1118" spans="1:4" ht="25.5" x14ac:dyDescent="0.25">
      <c r="A1118" s="104">
        <v>96053</v>
      </c>
      <c r="B1118" s="105" t="s">
        <v>1804</v>
      </c>
      <c r="C1118" s="106" t="s">
        <v>102</v>
      </c>
      <c r="D1118" s="107">
        <v>9.1</v>
      </c>
    </row>
    <row r="1119" spans="1:4" ht="38.25" x14ac:dyDescent="0.25">
      <c r="A1119" s="104">
        <v>96054</v>
      </c>
      <c r="B1119" s="105" t="s">
        <v>1805</v>
      </c>
      <c r="C1119" s="106" t="s">
        <v>102</v>
      </c>
      <c r="D1119" s="107">
        <v>16.329999999999998</v>
      </c>
    </row>
    <row r="1120" spans="1:4" ht="25.5" x14ac:dyDescent="0.25">
      <c r="A1120" s="104">
        <v>96055</v>
      </c>
      <c r="B1120" s="105" t="s">
        <v>1806</v>
      </c>
      <c r="C1120" s="106" t="s">
        <v>102</v>
      </c>
      <c r="D1120" s="107">
        <v>1.25</v>
      </c>
    </row>
    <row r="1121" spans="1:4" ht="25.5" x14ac:dyDescent="0.25">
      <c r="A1121" s="104">
        <v>96056</v>
      </c>
      <c r="B1121" s="105" t="s">
        <v>1807</v>
      </c>
      <c r="C1121" s="106" t="s">
        <v>102</v>
      </c>
      <c r="D1121" s="107">
        <v>9.9600000000000009</v>
      </c>
    </row>
    <row r="1122" spans="1:4" ht="38.25" x14ac:dyDescent="0.25">
      <c r="A1122" s="104">
        <v>96057</v>
      </c>
      <c r="B1122" s="105" t="s">
        <v>1808</v>
      </c>
      <c r="C1122" s="106" t="s">
        <v>102</v>
      </c>
      <c r="D1122" s="107">
        <v>65.260000000000005</v>
      </c>
    </row>
    <row r="1123" spans="1:4" ht="38.25" x14ac:dyDescent="0.25">
      <c r="A1123" s="104">
        <v>96060</v>
      </c>
      <c r="B1123" s="105" t="s">
        <v>1809</v>
      </c>
      <c r="C1123" s="106" t="s">
        <v>102</v>
      </c>
      <c r="D1123" s="107">
        <v>1.65</v>
      </c>
    </row>
    <row r="1124" spans="1:4" ht="38.25" x14ac:dyDescent="0.25">
      <c r="A1124" s="104">
        <v>96061</v>
      </c>
      <c r="B1124" s="105" t="s">
        <v>1810</v>
      </c>
      <c r="C1124" s="106" t="s">
        <v>102</v>
      </c>
      <c r="D1124" s="107">
        <v>20.420000000000002</v>
      </c>
    </row>
    <row r="1125" spans="1:4" ht="38.25" x14ac:dyDescent="0.25">
      <c r="A1125" s="104">
        <v>96062</v>
      </c>
      <c r="B1125" s="105" t="s">
        <v>1811</v>
      </c>
      <c r="C1125" s="106" t="s">
        <v>102</v>
      </c>
      <c r="D1125" s="107">
        <v>28.55</v>
      </c>
    </row>
    <row r="1126" spans="1:4" ht="25.5" x14ac:dyDescent="0.25">
      <c r="A1126" s="104">
        <v>96241</v>
      </c>
      <c r="B1126" s="105" t="s">
        <v>1812</v>
      </c>
      <c r="C1126" s="106" t="s">
        <v>102</v>
      </c>
      <c r="D1126" s="107">
        <v>14.31</v>
      </c>
    </row>
    <row r="1127" spans="1:4" ht="25.5" x14ac:dyDescent="0.25">
      <c r="A1127" s="104">
        <v>96242</v>
      </c>
      <c r="B1127" s="105" t="s">
        <v>1813</v>
      </c>
      <c r="C1127" s="106" t="s">
        <v>102</v>
      </c>
      <c r="D1127" s="107">
        <v>1.94</v>
      </c>
    </row>
    <row r="1128" spans="1:4" ht="25.5" x14ac:dyDescent="0.25">
      <c r="A1128" s="104">
        <v>96243</v>
      </c>
      <c r="B1128" s="105" t="s">
        <v>1814</v>
      </c>
      <c r="C1128" s="106" t="s">
        <v>102</v>
      </c>
      <c r="D1128" s="107">
        <v>17.89</v>
      </c>
    </row>
    <row r="1129" spans="1:4" ht="38.25" x14ac:dyDescent="0.25">
      <c r="A1129" s="104">
        <v>96244</v>
      </c>
      <c r="B1129" s="105" t="s">
        <v>1815</v>
      </c>
      <c r="C1129" s="106" t="s">
        <v>102</v>
      </c>
      <c r="D1129" s="107">
        <v>9.48</v>
      </c>
    </row>
    <row r="1130" spans="1:4" ht="25.5" x14ac:dyDescent="0.25">
      <c r="A1130" s="104">
        <v>96298</v>
      </c>
      <c r="B1130" s="105" t="s">
        <v>1816</v>
      </c>
      <c r="C1130" s="106" t="s">
        <v>102</v>
      </c>
      <c r="D1130" s="107">
        <v>38.380000000000003</v>
      </c>
    </row>
    <row r="1131" spans="1:4" ht="25.5" x14ac:dyDescent="0.25">
      <c r="A1131" s="104">
        <v>96299</v>
      </c>
      <c r="B1131" s="105" t="s">
        <v>1817</v>
      </c>
      <c r="C1131" s="106" t="s">
        <v>102</v>
      </c>
      <c r="D1131" s="107">
        <v>5.32</v>
      </c>
    </row>
    <row r="1132" spans="1:4" ht="25.5" x14ac:dyDescent="0.25">
      <c r="A1132" s="104">
        <v>96300</v>
      </c>
      <c r="B1132" s="105" t="s">
        <v>1818</v>
      </c>
      <c r="C1132" s="106" t="s">
        <v>102</v>
      </c>
      <c r="D1132" s="107">
        <v>48.03</v>
      </c>
    </row>
    <row r="1133" spans="1:4" ht="38.25" x14ac:dyDescent="0.25">
      <c r="A1133" s="104">
        <v>96301</v>
      </c>
      <c r="B1133" s="105" t="s">
        <v>1819</v>
      </c>
      <c r="C1133" s="106" t="s">
        <v>102</v>
      </c>
      <c r="D1133" s="107">
        <v>26.76</v>
      </c>
    </row>
    <row r="1134" spans="1:4" ht="38.25" x14ac:dyDescent="0.25">
      <c r="A1134" s="104">
        <v>96304</v>
      </c>
      <c r="B1134" s="105" t="s">
        <v>1820</v>
      </c>
      <c r="C1134" s="106" t="s">
        <v>102</v>
      </c>
      <c r="D1134" s="107">
        <v>0.11</v>
      </c>
    </row>
    <row r="1135" spans="1:4" ht="38.25" x14ac:dyDescent="0.25">
      <c r="A1135" s="104">
        <v>96305</v>
      </c>
      <c r="B1135" s="105" t="s">
        <v>1821</v>
      </c>
      <c r="C1135" s="106" t="s">
        <v>102</v>
      </c>
      <c r="D1135" s="107">
        <v>0.01</v>
      </c>
    </row>
    <row r="1136" spans="1:4" ht="38.25" x14ac:dyDescent="0.25">
      <c r="A1136" s="104">
        <v>96306</v>
      </c>
      <c r="B1136" s="105" t="s">
        <v>1822</v>
      </c>
      <c r="C1136" s="106" t="s">
        <v>102</v>
      </c>
      <c r="D1136" s="107">
        <v>0.14000000000000001</v>
      </c>
    </row>
    <row r="1137" spans="1:4" ht="38.25" x14ac:dyDescent="0.25">
      <c r="A1137" s="104">
        <v>96307</v>
      </c>
      <c r="B1137" s="105" t="s">
        <v>1823</v>
      </c>
      <c r="C1137" s="106" t="s">
        <v>102</v>
      </c>
      <c r="D1137" s="107">
        <v>1.02</v>
      </c>
    </row>
    <row r="1138" spans="1:4" ht="38.25" x14ac:dyDescent="0.25">
      <c r="A1138" s="104">
        <v>96457</v>
      </c>
      <c r="B1138" s="105" t="s">
        <v>1824</v>
      </c>
      <c r="C1138" s="106" t="s">
        <v>102</v>
      </c>
      <c r="D1138" s="107">
        <v>34.78</v>
      </c>
    </row>
    <row r="1139" spans="1:4" ht="38.25" x14ac:dyDescent="0.25">
      <c r="A1139" s="104">
        <v>96458</v>
      </c>
      <c r="B1139" s="105" t="s">
        <v>1825</v>
      </c>
      <c r="C1139" s="106" t="s">
        <v>102</v>
      </c>
      <c r="D1139" s="107">
        <v>33.04</v>
      </c>
    </row>
    <row r="1140" spans="1:4" ht="38.25" x14ac:dyDescent="0.25">
      <c r="A1140" s="104">
        <v>96459</v>
      </c>
      <c r="B1140" s="105" t="s">
        <v>1826</v>
      </c>
      <c r="C1140" s="106" t="s">
        <v>102</v>
      </c>
      <c r="D1140" s="107">
        <v>3.66</v>
      </c>
    </row>
    <row r="1141" spans="1:4" ht="38.25" x14ac:dyDescent="0.25">
      <c r="A1141" s="104">
        <v>96460</v>
      </c>
      <c r="B1141" s="105" t="s">
        <v>1827</v>
      </c>
      <c r="C1141" s="106" t="s">
        <v>102</v>
      </c>
      <c r="D1141" s="107">
        <v>26.4</v>
      </c>
    </row>
    <row r="1142" spans="1:4" ht="38.25" x14ac:dyDescent="0.25">
      <c r="A1142" s="104">
        <v>98760</v>
      </c>
      <c r="B1142" s="105" t="s">
        <v>1828</v>
      </c>
      <c r="C1142" s="106" t="s">
        <v>102</v>
      </c>
      <c r="D1142" s="107">
        <v>0.1</v>
      </c>
    </row>
    <row r="1143" spans="1:4" ht="38.25" x14ac:dyDescent="0.25">
      <c r="A1143" s="104">
        <v>98761</v>
      </c>
      <c r="B1143" s="105" t="s">
        <v>1829</v>
      </c>
      <c r="C1143" s="106" t="s">
        <v>102</v>
      </c>
      <c r="D1143" s="107">
        <v>0.02</v>
      </c>
    </row>
    <row r="1144" spans="1:4" ht="38.25" x14ac:dyDescent="0.25">
      <c r="A1144" s="104">
        <v>98762</v>
      </c>
      <c r="B1144" s="105" t="s">
        <v>1830</v>
      </c>
      <c r="C1144" s="106" t="s">
        <v>102</v>
      </c>
      <c r="D1144" s="107">
        <v>0.12</v>
      </c>
    </row>
    <row r="1145" spans="1:4" ht="38.25" x14ac:dyDescent="0.25">
      <c r="A1145" s="104">
        <v>98763</v>
      </c>
      <c r="B1145" s="105" t="s">
        <v>1831</v>
      </c>
      <c r="C1145" s="106" t="s">
        <v>102</v>
      </c>
      <c r="D1145" s="107">
        <v>3.71</v>
      </c>
    </row>
    <row r="1146" spans="1:4" ht="38.25" x14ac:dyDescent="0.25">
      <c r="A1146" s="104">
        <v>99829</v>
      </c>
      <c r="B1146" s="105" t="s">
        <v>1832</v>
      </c>
      <c r="C1146" s="106" t="s">
        <v>102</v>
      </c>
      <c r="D1146" s="107">
        <v>0.26</v>
      </c>
    </row>
    <row r="1147" spans="1:4" ht="38.25" x14ac:dyDescent="0.25">
      <c r="A1147" s="104">
        <v>99830</v>
      </c>
      <c r="B1147" s="105" t="s">
        <v>1833</v>
      </c>
      <c r="C1147" s="106" t="s">
        <v>102</v>
      </c>
      <c r="D1147" s="107">
        <v>0.03</v>
      </c>
    </row>
    <row r="1148" spans="1:4" ht="38.25" x14ac:dyDescent="0.25">
      <c r="A1148" s="104">
        <v>99831</v>
      </c>
      <c r="B1148" s="105" t="s">
        <v>1834</v>
      </c>
      <c r="C1148" s="106" t="s">
        <v>102</v>
      </c>
      <c r="D1148" s="107">
        <v>0.37</v>
      </c>
    </row>
    <row r="1149" spans="1:4" ht="38.25" x14ac:dyDescent="0.25">
      <c r="A1149" s="104">
        <v>99832</v>
      </c>
      <c r="B1149" s="105" t="s">
        <v>1835</v>
      </c>
      <c r="C1149" s="106" t="s">
        <v>102</v>
      </c>
      <c r="D1149" s="107">
        <v>0.96</v>
      </c>
    </row>
    <row r="1150" spans="1:4" ht="25.5" x14ac:dyDescent="0.25">
      <c r="A1150" s="104">
        <v>100637</v>
      </c>
      <c r="B1150" s="105" t="s">
        <v>10784</v>
      </c>
      <c r="C1150" s="106" t="s">
        <v>102</v>
      </c>
      <c r="D1150" s="107">
        <v>81.06</v>
      </c>
    </row>
    <row r="1151" spans="1:4" ht="25.5" x14ac:dyDescent="0.25">
      <c r="A1151" s="104">
        <v>100638</v>
      </c>
      <c r="B1151" s="105" t="s">
        <v>10785</v>
      </c>
      <c r="C1151" s="106" t="s">
        <v>102</v>
      </c>
      <c r="D1151" s="107">
        <v>14.59</v>
      </c>
    </row>
    <row r="1152" spans="1:4" ht="25.5" x14ac:dyDescent="0.25">
      <c r="A1152" s="104">
        <v>100639</v>
      </c>
      <c r="B1152" s="105" t="s">
        <v>10786</v>
      </c>
      <c r="C1152" s="106" t="s">
        <v>102</v>
      </c>
      <c r="D1152" s="107">
        <v>130.31</v>
      </c>
    </row>
    <row r="1153" spans="1:4" ht="25.5" x14ac:dyDescent="0.25">
      <c r="A1153" s="104">
        <v>100640</v>
      </c>
      <c r="B1153" s="105" t="s">
        <v>10787</v>
      </c>
      <c r="C1153" s="106" t="s">
        <v>102</v>
      </c>
      <c r="D1153" s="107">
        <v>192.78</v>
      </c>
    </row>
    <row r="1154" spans="1:4" ht="25.5" x14ac:dyDescent="0.25">
      <c r="A1154" s="104">
        <v>100643</v>
      </c>
      <c r="B1154" s="105" t="s">
        <v>10788</v>
      </c>
      <c r="C1154" s="106" t="s">
        <v>102</v>
      </c>
      <c r="D1154" s="107">
        <v>213.45</v>
      </c>
    </row>
    <row r="1155" spans="1:4" ht="25.5" x14ac:dyDescent="0.25">
      <c r="A1155" s="104">
        <v>100644</v>
      </c>
      <c r="B1155" s="105" t="s">
        <v>10789</v>
      </c>
      <c r="C1155" s="106" t="s">
        <v>102</v>
      </c>
      <c r="D1155" s="107">
        <v>38.42</v>
      </c>
    </row>
    <row r="1156" spans="1:4" ht="25.5" x14ac:dyDescent="0.25">
      <c r="A1156" s="104">
        <v>100645</v>
      </c>
      <c r="B1156" s="105" t="s">
        <v>10790</v>
      </c>
      <c r="C1156" s="106" t="s">
        <v>102</v>
      </c>
      <c r="D1156" s="107">
        <v>343.12</v>
      </c>
    </row>
    <row r="1157" spans="1:4" ht="25.5" x14ac:dyDescent="0.25">
      <c r="A1157" s="104">
        <v>100646</v>
      </c>
      <c r="B1157" s="105" t="s">
        <v>10791</v>
      </c>
      <c r="C1157" s="106" t="s">
        <v>102</v>
      </c>
      <c r="D1157" s="107">
        <v>275.39999999999998</v>
      </c>
    </row>
    <row r="1158" spans="1:4" ht="25.5" x14ac:dyDescent="0.25">
      <c r="A1158" s="104">
        <v>55960</v>
      </c>
      <c r="B1158" s="105" t="s">
        <v>1836</v>
      </c>
      <c r="C1158" s="106" t="s">
        <v>8</v>
      </c>
      <c r="D1158" s="107">
        <v>4.3099999999999996</v>
      </c>
    </row>
    <row r="1159" spans="1:4" ht="38.25" x14ac:dyDescent="0.25">
      <c r="A1159" s="104">
        <v>92259</v>
      </c>
      <c r="B1159" s="105" t="s">
        <v>10792</v>
      </c>
      <c r="C1159" s="106" t="s">
        <v>801</v>
      </c>
      <c r="D1159" s="107">
        <v>246.78</v>
      </c>
    </row>
    <row r="1160" spans="1:4" ht="38.25" x14ac:dyDescent="0.25">
      <c r="A1160" s="104">
        <v>92260</v>
      </c>
      <c r="B1160" s="105" t="s">
        <v>10793</v>
      </c>
      <c r="C1160" s="106" t="s">
        <v>801</v>
      </c>
      <c r="D1160" s="107">
        <v>288.92</v>
      </c>
    </row>
    <row r="1161" spans="1:4" ht="38.25" x14ac:dyDescent="0.25">
      <c r="A1161" s="104">
        <v>92261</v>
      </c>
      <c r="B1161" s="105" t="s">
        <v>10794</v>
      </c>
      <c r="C1161" s="106" t="s">
        <v>801</v>
      </c>
      <c r="D1161" s="107">
        <v>329.77</v>
      </c>
    </row>
    <row r="1162" spans="1:4" ht="38.25" x14ac:dyDescent="0.25">
      <c r="A1162" s="104">
        <v>92262</v>
      </c>
      <c r="B1162" s="105" t="s">
        <v>10795</v>
      </c>
      <c r="C1162" s="106" t="s">
        <v>801</v>
      </c>
      <c r="D1162" s="107">
        <v>395.54</v>
      </c>
    </row>
    <row r="1163" spans="1:4" ht="38.25" x14ac:dyDescent="0.25">
      <c r="A1163" s="104">
        <v>92539</v>
      </c>
      <c r="B1163" s="105" t="s">
        <v>10796</v>
      </c>
      <c r="C1163" s="106" t="s">
        <v>8</v>
      </c>
      <c r="D1163" s="107">
        <v>38.340000000000003</v>
      </c>
    </row>
    <row r="1164" spans="1:4" ht="51" x14ac:dyDescent="0.25">
      <c r="A1164" s="104">
        <v>92540</v>
      </c>
      <c r="B1164" s="105" t="s">
        <v>10797</v>
      </c>
      <c r="C1164" s="106" t="s">
        <v>8</v>
      </c>
      <c r="D1164" s="107">
        <v>44.52</v>
      </c>
    </row>
    <row r="1165" spans="1:4" ht="38.25" x14ac:dyDescent="0.25">
      <c r="A1165" s="104">
        <v>92541</v>
      </c>
      <c r="B1165" s="105" t="s">
        <v>10798</v>
      </c>
      <c r="C1165" s="106" t="s">
        <v>8</v>
      </c>
      <c r="D1165" s="107">
        <v>40.909999999999997</v>
      </c>
    </row>
    <row r="1166" spans="1:4" ht="38.25" x14ac:dyDescent="0.25">
      <c r="A1166" s="104">
        <v>92542</v>
      </c>
      <c r="B1166" s="105" t="s">
        <v>10799</v>
      </c>
      <c r="C1166" s="106" t="s">
        <v>8</v>
      </c>
      <c r="D1166" s="107">
        <v>50.52</v>
      </c>
    </row>
    <row r="1167" spans="1:4" ht="51" x14ac:dyDescent="0.25">
      <c r="A1167" s="104">
        <v>92543</v>
      </c>
      <c r="B1167" s="105" t="s">
        <v>10800</v>
      </c>
      <c r="C1167" s="106" t="s">
        <v>8</v>
      </c>
      <c r="D1167" s="107">
        <v>10.55</v>
      </c>
    </row>
    <row r="1168" spans="1:4" ht="38.25" x14ac:dyDescent="0.25">
      <c r="A1168" s="104">
        <v>92544</v>
      </c>
      <c r="B1168" s="105" t="s">
        <v>10801</v>
      </c>
      <c r="C1168" s="106" t="s">
        <v>8</v>
      </c>
      <c r="D1168" s="107">
        <v>8.9</v>
      </c>
    </row>
    <row r="1169" spans="1:4" ht="38.25" x14ac:dyDescent="0.25">
      <c r="A1169" s="104">
        <v>92545</v>
      </c>
      <c r="B1169" s="105" t="s">
        <v>10802</v>
      </c>
      <c r="C1169" s="106" t="s">
        <v>801</v>
      </c>
      <c r="D1169" s="107">
        <v>533.83000000000004</v>
      </c>
    </row>
    <row r="1170" spans="1:4" ht="38.25" x14ac:dyDescent="0.25">
      <c r="A1170" s="104">
        <v>92546</v>
      </c>
      <c r="B1170" s="105" t="s">
        <v>10803</v>
      </c>
      <c r="C1170" s="106" t="s">
        <v>801</v>
      </c>
      <c r="D1170" s="107">
        <v>656.24</v>
      </c>
    </row>
    <row r="1171" spans="1:4" ht="38.25" x14ac:dyDescent="0.25">
      <c r="A1171" s="104">
        <v>92547</v>
      </c>
      <c r="B1171" s="105" t="s">
        <v>10804</v>
      </c>
      <c r="C1171" s="106" t="s">
        <v>801</v>
      </c>
      <c r="D1171" s="107">
        <v>685.16</v>
      </c>
    </row>
    <row r="1172" spans="1:4" ht="38.25" x14ac:dyDescent="0.25">
      <c r="A1172" s="104">
        <v>92548</v>
      </c>
      <c r="B1172" s="105" t="s">
        <v>10805</v>
      </c>
      <c r="C1172" s="106" t="s">
        <v>801</v>
      </c>
      <c r="D1172" s="109">
        <v>761.78</v>
      </c>
    </row>
    <row r="1173" spans="1:4" ht="38.25" x14ac:dyDescent="0.25">
      <c r="A1173" s="104">
        <v>92549</v>
      </c>
      <c r="B1173" s="105" t="s">
        <v>10806</v>
      </c>
      <c r="C1173" s="106" t="s">
        <v>801</v>
      </c>
      <c r="D1173" s="109">
        <v>972.02</v>
      </c>
    </row>
    <row r="1174" spans="1:4" ht="38.25" x14ac:dyDescent="0.25">
      <c r="A1174" s="104">
        <v>92550</v>
      </c>
      <c r="B1174" s="105" t="s">
        <v>10807</v>
      </c>
      <c r="C1174" s="106" t="s">
        <v>801</v>
      </c>
      <c r="D1174" s="109">
        <v>1229.67</v>
      </c>
    </row>
    <row r="1175" spans="1:4" ht="38.25" x14ac:dyDescent="0.25">
      <c r="A1175" s="104">
        <v>92551</v>
      </c>
      <c r="B1175" s="105" t="s">
        <v>10808</v>
      </c>
      <c r="C1175" s="106" t="s">
        <v>801</v>
      </c>
      <c r="D1175" s="109">
        <v>1267.77</v>
      </c>
    </row>
    <row r="1176" spans="1:4" ht="38.25" x14ac:dyDescent="0.25">
      <c r="A1176" s="104">
        <v>92552</v>
      </c>
      <c r="B1176" s="105" t="s">
        <v>10809</v>
      </c>
      <c r="C1176" s="106" t="s">
        <v>801</v>
      </c>
      <c r="D1176" s="109">
        <v>1377.21</v>
      </c>
    </row>
    <row r="1177" spans="1:4" ht="38.25" x14ac:dyDescent="0.25">
      <c r="A1177" s="104">
        <v>92553</v>
      </c>
      <c r="B1177" s="105" t="s">
        <v>10810</v>
      </c>
      <c r="C1177" s="106" t="s">
        <v>801</v>
      </c>
      <c r="D1177" s="107">
        <v>1595.01</v>
      </c>
    </row>
    <row r="1178" spans="1:4" ht="38.25" x14ac:dyDescent="0.25">
      <c r="A1178" s="104">
        <v>92554</v>
      </c>
      <c r="B1178" s="105" t="s">
        <v>10811</v>
      </c>
      <c r="C1178" s="106" t="s">
        <v>801</v>
      </c>
      <c r="D1178" s="107">
        <v>1638.28</v>
      </c>
    </row>
    <row r="1179" spans="1:4" ht="51" x14ac:dyDescent="0.25">
      <c r="A1179" s="104">
        <v>92555</v>
      </c>
      <c r="B1179" s="105" t="s">
        <v>10812</v>
      </c>
      <c r="C1179" s="106" t="s">
        <v>801</v>
      </c>
      <c r="D1179" s="107">
        <v>528.28</v>
      </c>
    </row>
    <row r="1180" spans="1:4" ht="51" x14ac:dyDescent="0.25">
      <c r="A1180" s="104">
        <v>92556</v>
      </c>
      <c r="B1180" s="105" t="s">
        <v>10813</v>
      </c>
      <c r="C1180" s="106" t="s">
        <v>801</v>
      </c>
      <c r="D1180" s="107">
        <v>647.07000000000005</v>
      </c>
    </row>
    <row r="1181" spans="1:4" ht="51" x14ac:dyDescent="0.25">
      <c r="A1181" s="104">
        <v>92557</v>
      </c>
      <c r="B1181" s="105" t="s">
        <v>10814</v>
      </c>
      <c r="C1181" s="106" t="s">
        <v>801</v>
      </c>
      <c r="D1181" s="107">
        <v>675.98</v>
      </c>
    </row>
    <row r="1182" spans="1:4" ht="51" x14ac:dyDescent="0.25">
      <c r="A1182" s="104">
        <v>92558</v>
      </c>
      <c r="B1182" s="105" t="s">
        <v>10815</v>
      </c>
      <c r="C1182" s="106" t="s">
        <v>801</v>
      </c>
      <c r="D1182" s="109">
        <v>756.22</v>
      </c>
    </row>
    <row r="1183" spans="1:4" ht="51" x14ac:dyDescent="0.25">
      <c r="A1183" s="104">
        <v>92559</v>
      </c>
      <c r="B1183" s="105" t="s">
        <v>10816</v>
      </c>
      <c r="C1183" s="106" t="s">
        <v>801</v>
      </c>
      <c r="D1183" s="109">
        <v>962.24</v>
      </c>
    </row>
    <row r="1184" spans="1:4" ht="51" x14ac:dyDescent="0.25">
      <c r="A1184" s="104">
        <v>92560</v>
      </c>
      <c r="B1184" s="105" t="s">
        <v>10817</v>
      </c>
      <c r="C1184" s="106" t="s">
        <v>801</v>
      </c>
      <c r="D1184" s="109">
        <v>1214.76</v>
      </c>
    </row>
    <row r="1185" spans="1:4" ht="51" x14ac:dyDescent="0.25">
      <c r="A1185" s="104">
        <v>92561</v>
      </c>
      <c r="B1185" s="105" t="s">
        <v>10818</v>
      </c>
      <c r="C1185" s="106" t="s">
        <v>801</v>
      </c>
      <c r="D1185" s="109">
        <v>1253.52</v>
      </c>
    </row>
    <row r="1186" spans="1:4" ht="51" x14ac:dyDescent="0.25">
      <c r="A1186" s="104">
        <v>92562</v>
      </c>
      <c r="B1186" s="105" t="s">
        <v>10819</v>
      </c>
      <c r="C1186" s="106" t="s">
        <v>801</v>
      </c>
      <c r="D1186" s="109">
        <v>1353.79</v>
      </c>
    </row>
    <row r="1187" spans="1:4" ht="51" x14ac:dyDescent="0.25">
      <c r="A1187" s="104">
        <v>92563</v>
      </c>
      <c r="B1187" s="105" t="s">
        <v>10820</v>
      </c>
      <c r="C1187" s="106" t="s">
        <v>801</v>
      </c>
      <c r="D1187" s="107">
        <v>1566.53</v>
      </c>
    </row>
    <row r="1188" spans="1:4" ht="51" x14ac:dyDescent="0.25">
      <c r="A1188" s="104">
        <v>92564</v>
      </c>
      <c r="B1188" s="105" t="s">
        <v>10821</v>
      </c>
      <c r="C1188" s="106" t="s">
        <v>801</v>
      </c>
      <c r="D1188" s="107">
        <v>1603.65</v>
      </c>
    </row>
    <row r="1189" spans="1:4" ht="51" x14ac:dyDescent="0.25">
      <c r="A1189" s="104">
        <v>92565</v>
      </c>
      <c r="B1189" s="105" t="s">
        <v>1837</v>
      </c>
      <c r="C1189" s="106" t="s">
        <v>8</v>
      </c>
      <c r="D1189" s="107">
        <v>19.96</v>
      </c>
    </row>
    <row r="1190" spans="1:4" ht="51" x14ac:dyDescent="0.25">
      <c r="A1190" s="104">
        <v>92566</v>
      </c>
      <c r="B1190" s="105" t="s">
        <v>1838</v>
      </c>
      <c r="C1190" s="106" t="s">
        <v>8</v>
      </c>
      <c r="D1190" s="107">
        <v>11.42</v>
      </c>
    </row>
    <row r="1191" spans="1:4" ht="51" x14ac:dyDescent="0.25">
      <c r="A1191" s="104">
        <v>92567</v>
      </c>
      <c r="B1191" s="105" t="s">
        <v>1839</v>
      </c>
      <c r="C1191" s="106" t="s">
        <v>8</v>
      </c>
      <c r="D1191" s="107">
        <v>17.52</v>
      </c>
    </row>
    <row r="1192" spans="1:4" ht="51" x14ac:dyDescent="0.25">
      <c r="A1192" s="104">
        <v>100379</v>
      </c>
      <c r="B1192" s="105" t="s">
        <v>10822</v>
      </c>
      <c r="C1192" s="106" t="s">
        <v>8</v>
      </c>
      <c r="D1192" s="107">
        <v>19.96</v>
      </c>
    </row>
    <row r="1193" spans="1:4" ht="51" x14ac:dyDescent="0.25">
      <c r="A1193" s="104">
        <v>100380</v>
      </c>
      <c r="B1193" s="105" t="s">
        <v>10823</v>
      </c>
      <c r="C1193" s="106" t="s">
        <v>8</v>
      </c>
      <c r="D1193" s="107">
        <v>27.18</v>
      </c>
    </row>
    <row r="1194" spans="1:4" ht="51" x14ac:dyDescent="0.25">
      <c r="A1194" s="104">
        <v>100381</v>
      </c>
      <c r="B1194" s="105" t="s">
        <v>10824</v>
      </c>
      <c r="C1194" s="106" t="s">
        <v>8</v>
      </c>
      <c r="D1194" s="107">
        <v>30.94</v>
      </c>
    </row>
    <row r="1195" spans="1:4" ht="63.75" x14ac:dyDescent="0.25">
      <c r="A1195" s="104">
        <v>100383</v>
      </c>
      <c r="B1195" s="105" t="s">
        <v>10825</v>
      </c>
      <c r="C1195" s="106" t="s">
        <v>8</v>
      </c>
      <c r="D1195" s="107">
        <v>12.56</v>
      </c>
    </row>
    <row r="1196" spans="1:4" ht="51" x14ac:dyDescent="0.25">
      <c r="A1196" s="104">
        <v>100384</v>
      </c>
      <c r="B1196" s="105" t="s">
        <v>10826</v>
      </c>
      <c r="C1196" s="106" t="s">
        <v>8</v>
      </c>
      <c r="D1196" s="107">
        <v>13.38</v>
      </c>
    </row>
    <row r="1197" spans="1:4" ht="51" x14ac:dyDescent="0.25">
      <c r="A1197" s="104">
        <v>100385</v>
      </c>
      <c r="B1197" s="105" t="s">
        <v>10827</v>
      </c>
      <c r="C1197" s="106" t="s">
        <v>8</v>
      </c>
      <c r="D1197" s="107">
        <v>17.52</v>
      </c>
    </row>
    <row r="1198" spans="1:4" ht="51" x14ac:dyDescent="0.25">
      <c r="A1198" s="104">
        <v>100386</v>
      </c>
      <c r="B1198" s="105" t="s">
        <v>10828</v>
      </c>
      <c r="C1198" s="106" t="s">
        <v>8</v>
      </c>
      <c r="D1198" s="107">
        <v>22.99</v>
      </c>
    </row>
    <row r="1199" spans="1:4" ht="51" x14ac:dyDescent="0.25">
      <c r="A1199" s="104">
        <v>100387</v>
      </c>
      <c r="B1199" s="105" t="s">
        <v>10829</v>
      </c>
      <c r="C1199" s="106" t="s">
        <v>8</v>
      </c>
      <c r="D1199" s="107">
        <v>28.03</v>
      </c>
    </row>
    <row r="1200" spans="1:4" ht="38.25" x14ac:dyDescent="0.25">
      <c r="A1200" s="104">
        <v>100388</v>
      </c>
      <c r="B1200" s="105" t="s">
        <v>10830</v>
      </c>
      <c r="C1200" s="106" t="s">
        <v>8</v>
      </c>
      <c r="D1200" s="107">
        <v>11.31</v>
      </c>
    </row>
    <row r="1201" spans="1:4" ht="38.25" x14ac:dyDescent="0.25">
      <c r="A1201" s="104">
        <v>100389</v>
      </c>
      <c r="B1201" s="105" t="s">
        <v>10831</v>
      </c>
      <c r="C1201" s="106" t="s">
        <v>8</v>
      </c>
      <c r="D1201" s="107">
        <v>10.130000000000001</v>
      </c>
    </row>
    <row r="1202" spans="1:4" ht="38.25" x14ac:dyDescent="0.25">
      <c r="A1202" s="104">
        <v>100390</v>
      </c>
      <c r="B1202" s="105" t="s">
        <v>10832</v>
      </c>
      <c r="C1202" s="106" t="s">
        <v>8</v>
      </c>
      <c r="D1202" s="107">
        <v>13.79</v>
      </c>
    </row>
    <row r="1203" spans="1:4" ht="38.25" x14ac:dyDescent="0.25">
      <c r="A1203" s="104">
        <v>100391</v>
      </c>
      <c r="B1203" s="105" t="s">
        <v>10833</v>
      </c>
      <c r="C1203" s="106" t="s">
        <v>8</v>
      </c>
      <c r="D1203" s="107">
        <v>11.84</v>
      </c>
    </row>
    <row r="1204" spans="1:4" ht="38.25" x14ac:dyDescent="0.25">
      <c r="A1204" s="104">
        <v>100392</v>
      </c>
      <c r="B1204" s="105" t="s">
        <v>10834</v>
      </c>
      <c r="C1204" s="106" t="s">
        <v>8</v>
      </c>
      <c r="D1204" s="107">
        <v>8.91</v>
      </c>
    </row>
    <row r="1205" spans="1:4" ht="38.25" x14ac:dyDescent="0.25">
      <c r="A1205" s="104">
        <v>100393</v>
      </c>
      <c r="B1205" s="105" t="s">
        <v>10835</v>
      </c>
      <c r="C1205" s="106" t="s">
        <v>8</v>
      </c>
      <c r="D1205" s="107">
        <v>11.63</v>
      </c>
    </row>
    <row r="1206" spans="1:4" ht="38.25" x14ac:dyDescent="0.25">
      <c r="A1206" s="104">
        <v>100394</v>
      </c>
      <c r="B1206" s="105" t="s">
        <v>10836</v>
      </c>
      <c r="C1206" s="106" t="s">
        <v>8</v>
      </c>
      <c r="D1206" s="107">
        <v>10.85</v>
      </c>
    </row>
    <row r="1207" spans="1:4" ht="38.25" x14ac:dyDescent="0.25">
      <c r="A1207" s="104">
        <v>100395</v>
      </c>
      <c r="B1207" s="105" t="s">
        <v>10837</v>
      </c>
      <c r="C1207" s="106" t="s">
        <v>8</v>
      </c>
      <c r="D1207" s="107">
        <v>14.11</v>
      </c>
    </row>
    <row r="1208" spans="1:4" ht="25.5" x14ac:dyDescent="0.25">
      <c r="A1208" s="104">
        <v>94189</v>
      </c>
      <c r="B1208" s="105" t="s">
        <v>10838</v>
      </c>
      <c r="C1208" s="106" t="s">
        <v>8</v>
      </c>
      <c r="D1208" s="107">
        <v>27.01</v>
      </c>
    </row>
    <row r="1209" spans="1:4" ht="25.5" x14ac:dyDescent="0.25">
      <c r="A1209" s="104">
        <v>94192</v>
      </c>
      <c r="B1209" s="105" t="s">
        <v>10839</v>
      </c>
      <c r="C1209" s="106" t="s">
        <v>8</v>
      </c>
      <c r="D1209" s="107">
        <v>28.8</v>
      </c>
    </row>
    <row r="1210" spans="1:4" ht="25.5" x14ac:dyDescent="0.25">
      <c r="A1210" s="104">
        <v>94195</v>
      </c>
      <c r="B1210" s="105" t="s">
        <v>10840</v>
      </c>
      <c r="C1210" s="106" t="s">
        <v>8</v>
      </c>
      <c r="D1210" s="107">
        <v>38.06</v>
      </c>
    </row>
    <row r="1211" spans="1:4" ht="25.5" x14ac:dyDescent="0.25">
      <c r="A1211" s="104">
        <v>94198</v>
      </c>
      <c r="B1211" s="105" t="s">
        <v>10841</v>
      </c>
      <c r="C1211" s="106" t="s">
        <v>8</v>
      </c>
      <c r="D1211" s="107">
        <v>40.43</v>
      </c>
    </row>
    <row r="1212" spans="1:4" ht="25.5" x14ac:dyDescent="0.25">
      <c r="A1212" s="106">
        <v>94201</v>
      </c>
      <c r="B1212" s="105" t="s">
        <v>10842</v>
      </c>
      <c r="C1212" s="106" t="s">
        <v>8</v>
      </c>
      <c r="D1212" s="107">
        <v>53.43</v>
      </c>
    </row>
    <row r="1213" spans="1:4" ht="25.5" x14ac:dyDescent="0.25">
      <c r="A1213" s="106">
        <v>94204</v>
      </c>
      <c r="B1213" s="105" t="s">
        <v>10843</v>
      </c>
      <c r="C1213" s="106" t="s">
        <v>8</v>
      </c>
      <c r="D1213" s="107">
        <v>57.45</v>
      </c>
    </row>
    <row r="1214" spans="1:4" ht="25.5" x14ac:dyDescent="0.25">
      <c r="A1214" s="106">
        <v>94224</v>
      </c>
      <c r="B1214" s="105" t="s">
        <v>10844</v>
      </c>
      <c r="C1214" s="106" t="s">
        <v>16</v>
      </c>
      <c r="D1214" s="107">
        <v>17.47</v>
      </c>
    </row>
    <row r="1215" spans="1:4" ht="25.5" x14ac:dyDescent="0.25">
      <c r="A1215" s="106">
        <v>94225</v>
      </c>
      <c r="B1215" s="105" t="s">
        <v>10845</v>
      </c>
      <c r="C1215" s="106" t="s">
        <v>8</v>
      </c>
      <c r="D1215" s="107">
        <v>23.54</v>
      </c>
    </row>
    <row r="1216" spans="1:4" ht="25.5" x14ac:dyDescent="0.25">
      <c r="A1216" s="106">
        <v>94226</v>
      </c>
      <c r="B1216" s="105" t="s">
        <v>10846</v>
      </c>
      <c r="C1216" s="106" t="s">
        <v>8</v>
      </c>
      <c r="D1216" s="107">
        <v>13.65</v>
      </c>
    </row>
    <row r="1217" spans="1:4" x14ac:dyDescent="0.25">
      <c r="A1217" s="106">
        <v>94232</v>
      </c>
      <c r="B1217" s="105" t="s">
        <v>10847</v>
      </c>
      <c r="C1217" s="106" t="s">
        <v>801</v>
      </c>
      <c r="D1217" s="107">
        <v>2</v>
      </c>
    </row>
    <row r="1218" spans="1:4" ht="25.5" x14ac:dyDescent="0.25">
      <c r="A1218" s="106">
        <v>94440</v>
      </c>
      <c r="B1218" s="105" t="s">
        <v>10848</v>
      </c>
      <c r="C1218" s="106" t="s">
        <v>8</v>
      </c>
      <c r="D1218" s="107">
        <v>38.06</v>
      </c>
    </row>
    <row r="1219" spans="1:4" ht="25.5" x14ac:dyDescent="0.25">
      <c r="A1219" s="106">
        <v>94441</v>
      </c>
      <c r="B1219" s="105" t="s">
        <v>10849</v>
      </c>
      <c r="C1219" s="106" t="s">
        <v>8</v>
      </c>
      <c r="D1219" s="107">
        <v>40.43</v>
      </c>
    </row>
    <row r="1220" spans="1:4" ht="25.5" x14ac:dyDescent="0.25">
      <c r="A1220" s="106">
        <v>94442</v>
      </c>
      <c r="B1220" s="105" t="s">
        <v>10850</v>
      </c>
      <c r="C1220" s="106" t="s">
        <v>8</v>
      </c>
      <c r="D1220" s="107">
        <v>38.06</v>
      </c>
    </row>
    <row r="1221" spans="1:4" ht="25.5" x14ac:dyDescent="0.25">
      <c r="A1221" s="106">
        <v>94443</v>
      </c>
      <c r="B1221" s="105" t="s">
        <v>10851</v>
      </c>
      <c r="C1221" s="106" t="s">
        <v>8</v>
      </c>
      <c r="D1221" s="107">
        <v>40.43</v>
      </c>
    </row>
    <row r="1222" spans="1:4" ht="25.5" x14ac:dyDescent="0.25">
      <c r="A1222" s="104">
        <v>94445</v>
      </c>
      <c r="B1222" s="105" t="s">
        <v>10852</v>
      </c>
      <c r="C1222" s="106" t="s">
        <v>8</v>
      </c>
      <c r="D1222" s="107">
        <v>53.43</v>
      </c>
    </row>
    <row r="1223" spans="1:4" ht="25.5" x14ac:dyDescent="0.25">
      <c r="A1223" s="104">
        <v>94446</v>
      </c>
      <c r="B1223" s="105" t="s">
        <v>10853</v>
      </c>
      <c r="C1223" s="106" t="s">
        <v>8</v>
      </c>
      <c r="D1223" s="107">
        <v>57.45</v>
      </c>
    </row>
    <row r="1224" spans="1:4" ht="25.5" x14ac:dyDescent="0.25">
      <c r="A1224" s="104">
        <v>94447</v>
      </c>
      <c r="B1224" s="105" t="s">
        <v>10854</v>
      </c>
      <c r="C1224" s="106" t="s">
        <v>8</v>
      </c>
      <c r="D1224" s="107">
        <v>53.43</v>
      </c>
    </row>
    <row r="1225" spans="1:4" ht="25.5" x14ac:dyDescent="0.25">
      <c r="A1225" s="104">
        <v>94448</v>
      </c>
      <c r="B1225" s="105" t="s">
        <v>10855</v>
      </c>
      <c r="C1225" s="106" t="s">
        <v>8</v>
      </c>
      <c r="D1225" s="107">
        <v>57.45</v>
      </c>
    </row>
    <row r="1226" spans="1:4" ht="51" x14ac:dyDescent="0.25">
      <c r="A1226" s="104">
        <v>94207</v>
      </c>
      <c r="B1226" s="105" t="s">
        <v>10856</v>
      </c>
      <c r="C1226" s="106" t="s">
        <v>8</v>
      </c>
      <c r="D1226" s="107">
        <v>33.729999999999997</v>
      </c>
    </row>
    <row r="1227" spans="1:4" ht="51" x14ac:dyDescent="0.25">
      <c r="A1227" s="104">
        <v>94210</v>
      </c>
      <c r="B1227" s="105" t="s">
        <v>10857</v>
      </c>
      <c r="C1227" s="106" t="s">
        <v>8</v>
      </c>
      <c r="D1227" s="107">
        <v>35.86</v>
      </c>
    </row>
    <row r="1228" spans="1:4" ht="25.5" x14ac:dyDescent="0.25">
      <c r="A1228" s="104">
        <v>94218</v>
      </c>
      <c r="B1228" s="105" t="s">
        <v>10858</v>
      </c>
      <c r="C1228" s="106" t="s">
        <v>8</v>
      </c>
      <c r="D1228" s="107">
        <v>74.87</v>
      </c>
    </row>
    <row r="1229" spans="1:4" ht="25.5" x14ac:dyDescent="0.25">
      <c r="A1229" s="106">
        <v>94213</v>
      </c>
      <c r="B1229" s="105" t="s">
        <v>10859</v>
      </c>
      <c r="C1229" s="106" t="s">
        <v>8</v>
      </c>
      <c r="D1229" s="107">
        <v>43.65</v>
      </c>
    </row>
    <row r="1230" spans="1:4" ht="25.5" x14ac:dyDescent="0.25">
      <c r="A1230" s="104">
        <v>94216</v>
      </c>
      <c r="B1230" s="105" t="s">
        <v>10860</v>
      </c>
      <c r="C1230" s="106" t="s">
        <v>8</v>
      </c>
      <c r="D1230" s="107">
        <v>124.7</v>
      </c>
    </row>
    <row r="1231" spans="1:4" ht="38.25" x14ac:dyDescent="0.25">
      <c r="A1231" s="104">
        <v>94219</v>
      </c>
      <c r="B1231" s="105" t="s">
        <v>10861</v>
      </c>
      <c r="C1231" s="106" t="s">
        <v>16</v>
      </c>
      <c r="D1231" s="107">
        <v>27.19</v>
      </c>
    </row>
    <row r="1232" spans="1:4" ht="38.25" x14ac:dyDescent="0.25">
      <c r="A1232" s="104">
        <v>94220</v>
      </c>
      <c r="B1232" s="105" t="s">
        <v>10862</v>
      </c>
      <c r="C1232" s="106" t="s">
        <v>16</v>
      </c>
      <c r="D1232" s="107">
        <v>36.97</v>
      </c>
    </row>
    <row r="1233" spans="1:4" ht="38.25" x14ac:dyDescent="0.25">
      <c r="A1233" s="104">
        <v>94221</v>
      </c>
      <c r="B1233" s="105" t="s">
        <v>10863</v>
      </c>
      <c r="C1233" s="106" t="s">
        <v>16</v>
      </c>
      <c r="D1233" s="107">
        <v>22.52</v>
      </c>
    </row>
    <row r="1234" spans="1:4" ht="38.25" x14ac:dyDescent="0.25">
      <c r="A1234" s="104">
        <v>94222</v>
      </c>
      <c r="B1234" s="105" t="s">
        <v>10864</v>
      </c>
      <c r="C1234" s="106" t="s">
        <v>16</v>
      </c>
      <c r="D1234" s="107">
        <v>32.299999999999997</v>
      </c>
    </row>
    <row r="1235" spans="1:4" ht="25.5" x14ac:dyDescent="0.25">
      <c r="A1235" s="104">
        <v>94223</v>
      </c>
      <c r="B1235" s="105" t="s">
        <v>10865</v>
      </c>
      <c r="C1235" s="106" t="s">
        <v>16</v>
      </c>
      <c r="D1235" s="107">
        <v>42.36</v>
      </c>
    </row>
    <row r="1236" spans="1:4" ht="25.5" x14ac:dyDescent="0.25">
      <c r="A1236" s="104">
        <v>94451</v>
      </c>
      <c r="B1236" s="105" t="s">
        <v>10866</v>
      </c>
      <c r="C1236" s="106" t="s">
        <v>16</v>
      </c>
      <c r="D1236" s="107">
        <v>97.15</v>
      </c>
    </row>
    <row r="1237" spans="1:4" ht="25.5" x14ac:dyDescent="0.25">
      <c r="A1237" s="104">
        <v>100325</v>
      </c>
      <c r="B1237" s="105" t="s">
        <v>10867</v>
      </c>
      <c r="C1237" s="106" t="s">
        <v>16</v>
      </c>
      <c r="D1237" s="107">
        <v>40.74</v>
      </c>
    </row>
    <row r="1238" spans="1:4" ht="25.5" x14ac:dyDescent="0.25">
      <c r="A1238" s="104">
        <v>100327</v>
      </c>
      <c r="B1238" s="105" t="s">
        <v>10868</v>
      </c>
      <c r="C1238" s="106" t="s">
        <v>16</v>
      </c>
      <c r="D1238" s="107">
        <v>39.86</v>
      </c>
    </row>
    <row r="1239" spans="1:4" ht="25.5" x14ac:dyDescent="0.25">
      <c r="A1239" s="106">
        <v>100328</v>
      </c>
      <c r="B1239" s="105" t="s">
        <v>10869</v>
      </c>
      <c r="C1239" s="106" t="s">
        <v>8</v>
      </c>
      <c r="D1239" s="107">
        <v>12.19</v>
      </c>
    </row>
    <row r="1240" spans="1:4" ht="25.5" x14ac:dyDescent="0.25">
      <c r="A1240" s="106">
        <v>100329</v>
      </c>
      <c r="B1240" s="105" t="s">
        <v>10870</v>
      </c>
      <c r="C1240" s="106" t="s">
        <v>8</v>
      </c>
      <c r="D1240" s="107">
        <v>14.56</v>
      </c>
    </row>
    <row r="1241" spans="1:4" ht="25.5" x14ac:dyDescent="0.25">
      <c r="A1241" s="104">
        <v>100330</v>
      </c>
      <c r="B1241" s="105" t="s">
        <v>10871</v>
      </c>
      <c r="C1241" s="106" t="s">
        <v>8</v>
      </c>
      <c r="D1241" s="107">
        <v>16.559999999999999</v>
      </c>
    </row>
    <row r="1242" spans="1:4" ht="25.5" x14ac:dyDescent="0.25">
      <c r="A1242" s="104">
        <v>100331</v>
      </c>
      <c r="B1242" s="105" t="s">
        <v>10872</v>
      </c>
      <c r="C1242" s="106" t="s">
        <v>8</v>
      </c>
      <c r="D1242" s="107">
        <v>20.6</v>
      </c>
    </row>
    <row r="1243" spans="1:4" ht="51" x14ac:dyDescent="0.25">
      <c r="A1243" s="104">
        <v>100434</v>
      </c>
      <c r="B1243" s="105" t="s">
        <v>10873</v>
      </c>
      <c r="C1243" s="106" t="s">
        <v>16</v>
      </c>
      <c r="D1243" s="107">
        <v>47.71</v>
      </c>
    </row>
    <row r="1244" spans="1:4" ht="38.25" x14ac:dyDescent="0.25">
      <c r="A1244" s="104">
        <v>100435</v>
      </c>
      <c r="B1244" s="105" t="s">
        <v>10874</v>
      </c>
      <c r="C1244" s="106" t="s">
        <v>16</v>
      </c>
      <c r="D1244" s="107">
        <v>22.68</v>
      </c>
    </row>
    <row r="1245" spans="1:4" ht="38.25" x14ac:dyDescent="0.25">
      <c r="A1245" s="104">
        <v>94227</v>
      </c>
      <c r="B1245" s="105" t="s">
        <v>10875</v>
      </c>
      <c r="C1245" s="106" t="s">
        <v>16</v>
      </c>
      <c r="D1245" s="107">
        <v>44.52</v>
      </c>
    </row>
    <row r="1246" spans="1:4" ht="38.25" x14ac:dyDescent="0.25">
      <c r="A1246" s="104">
        <v>94228</v>
      </c>
      <c r="B1246" s="105" t="s">
        <v>10876</v>
      </c>
      <c r="C1246" s="106" t="s">
        <v>16</v>
      </c>
      <c r="D1246" s="107">
        <v>59.72</v>
      </c>
    </row>
    <row r="1247" spans="1:4" ht="38.25" x14ac:dyDescent="0.25">
      <c r="A1247" s="104">
        <v>94229</v>
      </c>
      <c r="B1247" s="105" t="s">
        <v>10877</v>
      </c>
      <c r="C1247" s="106" t="s">
        <v>16</v>
      </c>
      <c r="D1247" s="107">
        <v>115.36</v>
      </c>
    </row>
    <row r="1248" spans="1:4" ht="25.5" x14ac:dyDescent="0.25">
      <c r="A1248" s="104">
        <v>94231</v>
      </c>
      <c r="B1248" s="105" t="s">
        <v>10878</v>
      </c>
      <c r="C1248" s="106" t="s">
        <v>16</v>
      </c>
      <c r="D1248" s="107">
        <v>35.9</v>
      </c>
    </row>
    <row r="1249" spans="1:4" ht="38.25" x14ac:dyDescent="0.25">
      <c r="A1249" s="104">
        <v>94449</v>
      </c>
      <c r="B1249" s="105" t="s">
        <v>10879</v>
      </c>
      <c r="C1249" s="106" t="s">
        <v>8</v>
      </c>
      <c r="D1249" s="107">
        <v>49.31</v>
      </c>
    </row>
    <row r="1250" spans="1:4" ht="38.25" x14ac:dyDescent="0.25">
      <c r="A1250" s="104">
        <v>92255</v>
      </c>
      <c r="B1250" s="105" t="s">
        <v>10880</v>
      </c>
      <c r="C1250" s="106" t="s">
        <v>801</v>
      </c>
      <c r="D1250" s="107">
        <v>123.56</v>
      </c>
    </row>
    <row r="1251" spans="1:4" ht="38.25" x14ac:dyDescent="0.25">
      <c r="A1251" s="104">
        <v>92256</v>
      </c>
      <c r="B1251" s="105" t="s">
        <v>10881</v>
      </c>
      <c r="C1251" s="106" t="s">
        <v>801</v>
      </c>
      <c r="D1251" s="107">
        <v>147.61000000000001</v>
      </c>
    </row>
    <row r="1252" spans="1:4" ht="38.25" x14ac:dyDescent="0.25">
      <c r="A1252" s="104">
        <v>92257</v>
      </c>
      <c r="B1252" s="105" t="s">
        <v>10882</v>
      </c>
      <c r="C1252" s="106" t="s">
        <v>801</v>
      </c>
      <c r="D1252" s="107">
        <v>171.5</v>
      </c>
    </row>
    <row r="1253" spans="1:4" ht="38.25" x14ac:dyDescent="0.25">
      <c r="A1253" s="104">
        <v>92258</v>
      </c>
      <c r="B1253" s="105" t="s">
        <v>10883</v>
      </c>
      <c r="C1253" s="106" t="s">
        <v>801</v>
      </c>
      <c r="D1253" s="107">
        <v>209.91</v>
      </c>
    </row>
    <row r="1254" spans="1:4" ht="38.25" x14ac:dyDescent="0.25">
      <c r="A1254" s="104">
        <v>92568</v>
      </c>
      <c r="B1254" s="105" t="s">
        <v>10884</v>
      </c>
      <c r="C1254" s="106" t="s">
        <v>8</v>
      </c>
      <c r="D1254" s="107">
        <v>75.5</v>
      </c>
    </row>
    <row r="1255" spans="1:4" ht="38.25" x14ac:dyDescent="0.25">
      <c r="A1255" s="104">
        <v>92569</v>
      </c>
      <c r="B1255" s="105" t="s">
        <v>10885</v>
      </c>
      <c r="C1255" s="106" t="s">
        <v>8</v>
      </c>
      <c r="D1255" s="107">
        <v>41.77</v>
      </c>
    </row>
    <row r="1256" spans="1:4" ht="38.25" x14ac:dyDescent="0.25">
      <c r="A1256" s="104">
        <v>92570</v>
      </c>
      <c r="B1256" s="105" t="s">
        <v>10886</v>
      </c>
      <c r="C1256" s="106" t="s">
        <v>8</v>
      </c>
      <c r="D1256" s="107">
        <v>26.25</v>
      </c>
    </row>
    <row r="1257" spans="1:4" ht="38.25" x14ac:dyDescent="0.25">
      <c r="A1257" s="104">
        <v>92571</v>
      </c>
      <c r="B1257" s="105" t="s">
        <v>10887</v>
      </c>
      <c r="C1257" s="106" t="s">
        <v>8</v>
      </c>
      <c r="D1257" s="107">
        <v>80.209999999999994</v>
      </c>
    </row>
    <row r="1258" spans="1:4" ht="38.25" x14ac:dyDescent="0.25">
      <c r="A1258" s="104">
        <v>92572</v>
      </c>
      <c r="B1258" s="105" t="s">
        <v>10888</v>
      </c>
      <c r="C1258" s="106" t="s">
        <v>8</v>
      </c>
      <c r="D1258" s="107">
        <v>47.76</v>
      </c>
    </row>
    <row r="1259" spans="1:4" ht="51" x14ac:dyDescent="0.25">
      <c r="A1259" s="104">
        <v>92573</v>
      </c>
      <c r="B1259" s="105" t="s">
        <v>10889</v>
      </c>
      <c r="C1259" s="106" t="s">
        <v>8</v>
      </c>
      <c r="D1259" s="107">
        <v>28.26</v>
      </c>
    </row>
    <row r="1260" spans="1:4" ht="38.25" x14ac:dyDescent="0.25">
      <c r="A1260" s="104">
        <v>92574</v>
      </c>
      <c r="B1260" s="105" t="s">
        <v>10890</v>
      </c>
      <c r="C1260" s="106" t="s">
        <v>8</v>
      </c>
      <c r="D1260" s="107">
        <v>76.709999999999994</v>
      </c>
    </row>
    <row r="1261" spans="1:4" ht="38.25" x14ac:dyDescent="0.25">
      <c r="A1261" s="104">
        <v>92575</v>
      </c>
      <c r="B1261" s="105" t="s">
        <v>10891</v>
      </c>
      <c r="C1261" s="106" t="s">
        <v>8</v>
      </c>
      <c r="D1261" s="107">
        <v>38.29</v>
      </c>
    </row>
    <row r="1262" spans="1:4" ht="38.25" x14ac:dyDescent="0.25">
      <c r="A1262" s="104">
        <v>92576</v>
      </c>
      <c r="B1262" s="105" t="s">
        <v>10892</v>
      </c>
      <c r="C1262" s="106" t="s">
        <v>8</v>
      </c>
      <c r="D1262" s="107">
        <v>20.76</v>
      </c>
    </row>
    <row r="1263" spans="1:4" ht="38.25" x14ac:dyDescent="0.25">
      <c r="A1263" s="104">
        <v>92577</v>
      </c>
      <c r="B1263" s="105" t="s">
        <v>10893</v>
      </c>
      <c r="C1263" s="106" t="s">
        <v>8</v>
      </c>
      <c r="D1263" s="107">
        <v>81.709999999999994</v>
      </c>
    </row>
    <row r="1264" spans="1:4" ht="38.25" x14ac:dyDescent="0.25">
      <c r="A1264" s="104">
        <v>92578</v>
      </c>
      <c r="B1264" s="105" t="s">
        <v>10894</v>
      </c>
      <c r="C1264" s="106" t="s">
        <v>8</v>
      </c>
      <c r="D1264" s="107">
        <v>41.06</v>
      </c>
    </row>
    <row r="1265" spans="1:4" ht="38.25" x14ac:dyDescent="0.25">
      <c r="A1265" s="104">
        <v>92579</v>
      </c>
      <c r="B1265" s="105" t="s">
        <v>10895</v>
      </c>
      <c r="C1265" s="106" t="s">
        <v>8</v>
      </c>
      <c r="D1265" s="107">
        <v>22.38</v>
      </c>
    </row>
    <row r="1266" spans="1:4" ht="51" x14ac:dyDescent="0.25">
      <c r="A1266" s="104">
        <v>92580</v>
      </c>
      <c r="B1266" s="105" t="s">
        <v>10896</v>
      </c>
      <c r="C1266" s="106" t="s">
        <v>8</v>
      </c>
      <c r="D1266" s="109">
        <v>27.92</v>
      </c>
    </row>
    <row r="1267" spans="1:4" ht="38.25" x14ac:dyDescent="0.25">
      <c r="A1267" s="104">
        <v>92581</v>
      </c>
      <c r="B1267" s="105" t="s">
        <v>10897</v>
      </c>
      <c r="C1267" s="106" t="s">
        <v>8</v>
      </c>
      <c r="D1267" s="109">
        <v>29.11</v>
      </c>
    </row>
    <row r="1268" spans="1:4" ht="38.25" x14ac:dyDescent="0.25">
      <c r="A1268" s="104">
        <v>92582</v>
      </c>
      <c r="B1268" s="105" t="s">
        <v>1840</v>
      </c>
      <c r="C1268" s="106" t="s">
        <v>801</v>
      </c>
      <c r="D1268" s="109">
        <v>420.75</v>
      </c>
    </row>
    <row r="1269" spans="1:4" ht="38.25" x14ac:dyDescent="0.25">
      <c r="A1269" s="104">
        <v>92584</v>
      </c>
      <c r="B1269" s="105" t="s">
        <v>1841</v>
      </c>
      <c r="C1269" s="106" t="s">
        <v>801</v>
      </c>
      <c r="D1269" s="109">
        <v>490.55</v>
      </c>
    </row>
    <row r="1270" spans="1:4" ht="38.25" x14ac:dyDescent="0.25">
      <c r="A1270" s="104">
        <v>92586</v>
      </c>
      <c r="B1270" s="105" t="s">
        <v>1842</v>
      </c>
      <c r="C1270" s="106" t="s">
        <v>801</v>
      </c>
      <c r="D1270" s="107">
        <v>560.34</v>
      </c>
    </row>
    <row r="1271" spans="1:4" ht="38.25" x14ac:dyDescent="0.25">
      <c r="A1271" s="104">
        <v>92588</v>
      </c>
      <c r="B1271" s="105" t="s">
        <v>1843</v>
      </c>
      <c r="C1271" s="106" t="s">
        <v>801</v>
      </c>
      <c r="D1271" s="107">
        <v>702.92</v>
      </c>
    </row>
    <row r="1272" spans="1:4" ht="38.25" x14ac:dyDescent="0.25">
      <c r="A1272" s="104">
        <v>92590</v>
      </c>
      <c r="B1272" s="105" t="s">
        <v>1844</v>
      </c>
      <c r="C1272" s="106" t="s">
        <v>801</v>
      </c>
      <c r="D1272" s="107">
        <v>772.72</v>
      </c>
    </row>
    <row r="1273" spans="1:4" ht="38.25" x14ac:dyDescent="0.25">
      <c r="A1273" s="104">
        <v>92592</v>
      </c>
      <c r="B1273" s="105" t="s">
        <v>1845</v>
      </c>
      <c r="C1273" s="106" t="s">
        <v>801</v>
      </c>
      <c r="D1273" s="107">
        <v>866.4</v>
      </c>
    </row>
    <row r="1274" spans="1:4" ht="38.25" x14ac:dyDescent="0.25">
      <c r="A1274" s="104">
        <v>92593</v>
      </c>
      <c r="B1274" s="105" t="s">
        <v>1846</v>
      </c>
      <c r="C1274" s="106" t="s">
        <v>57</v>
      </c>
      <c r="D1274" s="107">
        <v>6.56</v>
      </c>
    </row>
    <row r="1275" spans="1:4" ht="38.25" x14ac:dyDescent="0.25">
      <c r="A1275" s="104">
        <v>92594</v>
      </c>
      <c r="B1275" s="105" t="s">
        <v>1847</v>
      </c>
      <c r="C1275" s="106" t="s">
        <v>801</v>
      </c>
      <c r="D1275" s="107">
        <v>1002.61</v>
      </c>
    </row>
    <row r="1276" spans="1:4" ht="38.25" x14ac:dyDescent="0.25">
      <c r="A1276" s="104">
        <v>92596</v>
      </c>
      <c r="B1276" s="105" t="s">
        <v>1848</v>
      </c>
      <c r="C1276" s="106" t="s">
        <v>801</v>
      </c>
      <c r="D1276" s="109">
        <v>1113.82</v>
      </c>
    </row>
    <row r="1277" spans="1:4" ht="38.25" x14ac:dyDescent="0.25">
      <c r="A1277" s="104">
        <v>92598</v>
      </c>
      <c r="B1277" s="105" t="s">
        <v>1849</v>
      </c>
      <c r="C1277" s="106" t="s">
        <v>801</v>
      </c>
      <c r="D1277" s="109">
        <v>1183.6099999999999</v>
      </c>
    </row>
    <row r="1278" spans="1:4" ht="38.25" x14ac:dyDescent="0.25">
      <c r="A1278" s="104">
        <v>92600</v>
      </c>
      <c r="B1278" s="105" t="s">
        <v>1850</v>
      </c>
      <c r="C1278" s="106" t="s">
        <v>801</v>
      </c>
      <c r="D1278" s="109">
        <v>1271.0999999999999</v>
      </c>
    </row>
    <row r="1279" spans="1:4" ht="38.25" x14ac:dyDescent="0.25">
      <c r="A1279" s="104">
        <v>92602</v>
      </c>
      <c r="B1279" s="105" t="s">
        <v>1851</v>
      </c>
      <c r="C1279" s="106" t="s">
        <v>801</v>
      </c>
      <c r="D1279" s="109">
        <v>420.75</v>
      </c>
    </row>
    <row r="1280" spans="1:4" ht="38.25" x14ac:dyDescent="0.25">
      <c r="A1280" s="104">
        <v>92604</v>
      </c>
      <c r="B1280" s="105" t="s">
        <v>1852</v>
      </c>
      <c r="C1280" s="106" t="s">
        <v>801</v>
      </c>
      <c r="D1280" s="107">
        <v>472.87</v>
      </c>
    </row>
    <row r="1281" spans="1:4" ht="38.25" x14ac:dyDescent="0.25">
      <c r="A1281" s="106">
        <v>92606</v>
      </c>
      <c r="B1281" s="105" t="s">
        <v>1853</v>
      </c>
      <c r="C1281" s="106" t="s">
        <v>801</v>
      </c>
      <c r="D1281" s="107">
        <v>542.66999999999996</v>
      </c>
    </row>
    <row r="1282" spans="1:4" ht="38.25" x14ac:dyDescent="0.25">
      <c r="A1282" s="106">
        <v>92608</v>
      </c>
      <c r="B1282" s="105" t="s">
        <v>1854</v>
      </c>
      <c r="C1282" s="106" t="s">
        <v>801</v>
      </c>
      <c r="D1282" s="107">
        <v>667.56</v>
      </c>
    </row>
    <row r="1283" spans="1:4" ht="38.25" x14ac:dyDescent="0.25">
      <c r="A1283" s="106">
        <v>92610</v>
      </c>
      <c r="B1283" s="105" t="s">
        <v>1855</v>
      </c>
      <c r="C1283" s="106" t="s">
        <v>801</v>
      </c>
      <c r="D1283" s="107">
        <v>737.36</v>
      </c>
    </row>
    <row r="1284" spans="1:4" ht="51" x14ac:dyDescent="0.25">
      <c r="A1284" s="106">
        <v>92612</v>
      </c>
      <c r="B1284" s="105" t="s">
        <v>1856</v>
      </c>
      <c r="C1284" s="106" t="s">
        <v>801</v>
      </c>
      <c r="D1284" s="107">
        <v>831.05</v>
      </c>
    </row>
    <row r="1285" spans="1:4" ht="38.25" x14ac:dyDescent="0.25">
      <c r="A1285" s="106">
        <v>92614</v>
      </c>
      <c r="B1285" s="105" t="s">
        <v>1857</v>
      </c>
      <c r="C1285" s="106" t="s">
        <v>801</v>
      </c>
      <c r="D1285" s="107">
        <v>931.9</v>
      </c>
    </row>
    <row r="1286" spans="1:4" ht="38.25" x14ac:dyDescent="0.25">
      <c r="A1286" s="106">
        <v>92616</v>
      </c>
      <c r="B1286" s="105" t="s">
        <v>1858</v>
      </c>
      <c r="C1286" s="106" t="s">
        <v>801</v>
      </c>
      <c r="D1286" s="107">
        <v>1060.78</v>
      </c>
    </row>
    <row r="1287" spans="1:4" ht="38.25" x14ac:dyDescent="0.25">
      <c r="A1287" s="106">
        <v>92618</v>
      </c>
      <c r="B1287" s="105" t="s">
        <v>1859</v>
      </c>
      <c r="C1287" s="106" t="s">
        <v>801</v>
      </c>
      <c r="D1287" s="107">
        <v>1130.58</v>
      </c>
    </row>
    <row r="1288" spans="1:4" ht="38.25" x14ac:dyDescent="0.25">
      <c r="A1288" s="106">
        <v>92620</v>
      </c>
      <c r="B1288" s="105" t="s">
        <v>1860</v>
      </c>
      <c r="C1288" s="106" t="s">
        <v>801</v>
      </c>
      <c r="D1288" s="107">
        <v>1200.3900000000001</v>
      </c>
    </row>
    <row r="1289" spans="1:4" ht="38.25" x14ac:dyDescent="0.25">
      <c r="A1289" s="106">
        <v>100357</v>
      </c>
      <c r="B1289" s="105" t="s">
        <v>10898</v>
      </c>
      <c r="C1289" s="106" t="s">
        <v>801</v>
      </c>
      <c r="D1289" s="107">
        <v>546.65</v>
      </c>
    </row>
    <row r="1290" spans="1:4" ht="38.25" x14ac:dyDescent="0.25">
      <c r="A1290" s="106">
        <v>100358</v>
      </c>
      <c r="B1290" s="105" t="s">
        <v>10899</v>
      </c>
      <c r="C1290" s="106" t="s">
        <v>801</v>
      </c>
      <c r="D1290" s="107">
        <v>759.56</v>
      </c>
    </row>
    <row r="1291" spans="1:4" ht="38.25" x14ac:dyDescent="0.25">
      <c r="A1291" s="106">
        <v>100359</v>
      </c>
      <c r="B1291" s="105" t="s">
        <v>10900</v>
      </c>
      <c r="C1291" s="106" t="s">
        <v>801</v>
      </c>
      <c r="D1291" s="107">
        <v>789.17</v>
      </c>
    </row>
    <row r="1292" spans="1:4" ht="38.25" x14ac:dyDescent="0.25">
      <c r="A1292" s="106">
        <v>100360</v>
      </c>
      <c r="B1292" s="105" t="s">
        <v>10901</v>
      </c>
      <c r="C1292" s="106" t="s">
        <v>801</v>
      </c>
      <c r="D1292" s="107">
        <v>871.37</v>
      </c>
    </row>
    <row r="1293" spans="1:4" ht="38.25" x14ac:dyDescent="0.25">
      <c r="A1293" s="106">
        <v>100361</v>
      </c>
      <c r="B1293" s="105" t="s">
        <v>10902</v>
      </c>
      <c r="C1293" s="106" t="s">
        <v>801</v>
      </c>
      <c r="D1293" s="107">
        <v>1096.58</v>
      </c>
    </row>
    <row r="1294" spans="1:4" ht="38.25" x14ac:dyDescent="0.25">
      <c r="A1294" s="106">
        <v>100362</v>
      </c>
      <c r="B1294" s="105" t="s">
        <v>10903</v>
      </c>
      <c r="C1294" s="106" t="s">
        <v>801</v>
      </c>
      <c r="D1294" s="107">
        <v>1514.74</v>
      </c>
    </row>
    <row r="1295" spans="1:4" ht="38.25" x14ac:dyDescent="0.25">
      <c r="A1295" s="106">
        <v>100363</v>
      </c>
      <c r="B1295" s="105" t="s">
        <v>10904</v>
      </c>
      <c r="C1295" s="106" t="s">
        <v>801</v>
      </c>
      <c r="D1295" s="107">
        <v>1558.94</v>
      </c>
    </row>
    <row r="1296" spans="1:4" ht="38.25" x14ac:dyDescent="0.25">
      <c r="A1296" s="106">
        <v>100364</v>
      </c>
      <c r="B1296" s="105" t="s">
        <v>10905</v>
      </c>
      <c r="C1296" s="106" t="s">
        <v>801</v>
      </c>
      <c r="D1296" s="107">
        <v>1687.86</v>
      </c>
    </row>
    <row r="1297" spans="1:4" ht="38.25" x14ac:dyDescent="0.25">
      <c r="A1297" s="104">
        <v>100365</v>
      </c>
      <c r="B1297" s="105" t="s">
        <v>10906</v>
      </c>
      <c r="C1297" s="106" t="s">
        <v>801</v>
      </c>
      <c r="D1297" s="107">
        <v>1938.21</v>
      </c>
    </row>
    <row r="1298" spans="1:4" ht="38.25" x14ac:dyDescent="0.25">
      <c r="A1298" s="104">
        <v>100366</v>
      </c>
      <c r="B1298" s="105" t="s">
        <v>10907</v>
      </c>
      <c r="C1298" s="106" t="s">
        <v>801</v>
      </c>
      <c r="D1298" s="107">
        <v>2041.09</v>
      </c>
    </row>
    <row r="1299" spans="1:4" ht="51" x14ac:dyDescent="0.25">
      <c r="A1299" s="104">
        <v>100367</v>
      </c>
      <c r="B1299" s="105" t="s">
        <v>10908</v>
      </c>
      <c r="C1299" s="106" t="s">
        <v>801</v>
      </c>
      <c r="D1299" s="107">
        <v>535.54</v>
      </c>
    </row>
    <row r="1300" spans="1:4" ht="51" x14ac:dyDescent="0.25">
      <c r="A1300" s="104">
        <v>100368</v>
      </c>
      <c r="B1300" s="105" t="s">
        <v>10909</v>
      </c>
      <c r="C1300" s="106" t="s">
        <v>801</v>
      </c>
      <c r="D1300" s="107">
        <v>745.31</v>
      </c>
    </row>
    <row r="1301" spans="1:4" ht="51" x14ac:dyDescent="0.25">
      <c r="A1301" s="104">
        <v>100369</v>
      </c>
      <c r="B1301" s="105" t="s">
        <v>10910</v>
      </c>
      <c r="C1301" s="106" t="s">
        <v>801</v>
      </c>
      <c r="D1301" s="107">
        <v>774.93</v>
      </c>
    </row>
    <row r="1302" spans="1:4" ht="51" x14ac:dyDescent="0.25">
      <c r="A1302" s="104">
        <v>100370</v>
      </c>
      <c r="B1302" s="105" t="s">
        <v>10911</v>
      </c>
      <c r="C1302" s="106" t="s">
        <v>801</v>
      </c>
      <c r="D1302" s="107">
        <v>899.05</v>
      </c>
    </row>
    <row r="1303" spans="1:4" ht="51" x14ac:dyDescent="0.25">
      <c r="A1303" s="104">
        <v>100371</v>
      </c>
      <c r="B1303" s="105" t="s">
        <v>10912</v>
      </c>
      <c r="C1303" s="106" t="s">
        <v>801</v>
      </c>
      <c r="D1303" s="107">
        <v>1058.1600000000001</v>
      </c>
    </row>
    <row r="1304" spans="1:4" ht="51" x14ac:dyDescent="0.25">
      <c r="A1304" s="104">
        <v>100372</v>
      </c>
      <c r="B1304" s="105" t="s">
        <v>10913</v>
      </c>
      <c r="C1304" s="106" t="s">
        <v>801</v>
      </c>
      <c r="D1304" s="107">
        <v>1453.29</v>
      </c>
    </row>
    <row r="1305" spans="1:4" ht="51" x14ac:dyDescent="0.25">
      <c r="A1305" s="104">
        <v>100373</v>
      </c>
      <c r="B1305" s="105" t="s">
        <v>10914</v>
      </c>
      <c r="C1305" s="106" t="s">
        <v>801</v>
      </c>
      <c r="D1305" s="107">
        <v>1489.57</v>
      </c>
    </row>
    <row r="1306" spans="1:4" ht="51" x14ac:dyDescent="0.25">
      <c r="A1306" s="104">
        <v>100374</v>
      </c>
      <c r="B1306" s="105" t="s">
        <v>10915</v>
      </c>
      <c r="C1306" s="106" t="s">
        <v>801</v>
      </c>
      <c r="D1306" s="107">
        <v>1594.15</v>
      </c>
    </row>
    <row r="1307" spans="1:4" ht="51" x14ac:dyDescent="0.25">
      <c r="A1307" s="104">
        <v>100375</v>
      </c>
      <c r="B1307" s="105" t="s">
        <v>10916</v>
      </c>
      <c r="C1307" s="106" t="s">
        <v>801</v>
      </c>
      <c r="D1307" s="107">
        <v>1802.7</v>
      </c>
    </row>
    <row r="1308" spans="1:4" ht="51" x14ac:dyDescent="0.25">
      <c r="A1308" s="104">
        <v>100376</v>
      </c>
      <c r="B1308" s="105" t="s">
        <v>10917</v>
      </c>
      <c r="C1308" s="106" t="s">
        <v>801</v>
      </c>
      <c r="D1308" s="107">
        <v>1765.77</v>
      </c>
    </row>
    <row r="1309" spans="1:4" ht="38.25" x14ac:dyDescent="0.25">
      <c r="A1309" s="104">
        <v>100377</v>
      </c>
      <c r="B1309" s="105" t="s">
        <v>10918</v>
      </c>
      <c r="C1309" s="106" t="s">
        <v>57</v>
      </c>
      <c r="D1309" s="107">
        <v>6.92</v>
      </c>
    </row>
    <row r="1310" spans="1:4" ht="38.25" x14ac:dyDescent="0.25">
      <c r="A1310" s="104">
        <v>100378</v>
      </c>
      <c r="B1310" s="105" t="s">
        <v>10919</v>
      </c>
      <c r="C1310" s="106" t="s">
        <v>57</v>
      </c>
      <c r="D1310" s="107">
        <v>6.32</v>
      </c>
    </row>
    <row r="1311" spans="1:4" ht="51" x14ac:dyDescent="0.25">
      <c r="A1311" s="104">
        <v>100382</v>
      </c>
      <c r="B1311" s="105" t="s">
        <v>10920</v>
      </c>
      <c r="C1311" s="106" t="s">
        <v>8</v>
      </c>
      <c r="D1311" s="107">
        <v>11.42</v>
      </c>
    </row>
    <row r="1312" spans="1:4" ht="25.5" x14ac:dyDescent="0.25">
      <c r="A1312" s="104">
        <v>94444</v>
      </c>
      <c r="B1312" s="105" t="s">
        <v>10921</v>
      </c>
      <c r="C1312" s="106" t="s">
        <v>8</v>
      </c>
      <c r="D1312" s="107">
        <v>690.16</v>
      </c>
    </row>
    <row r="1313" spans="1:4" ht="25.5" x14ac:dyDescent="0.25">
      <c r="A1313" s="104" t="s">
        <v>1861</v>
      </c>
      <c r="B1313" s="105" t="s">
        <v>1862</v>
      </c>
      <c r="C1313" s="106" t="s">
        <v>16</v>
      </c>
      <c r="D1313" s="107">
        <v>27.64</v>
      </c>
    </row>
    <row r="1314" spans="1:4" x14ac:dyDescent="0.25">
      <c r="A1314" s="104" t="s">
        <v>1863</v>
      </c>
      <c r="B1314" s="105" t="s">
        <v>1864</v>
      </c>
      <c r="C1314" s="106" t="s">
        <v>8</v>
      </c>
      <c r="D1314" s="107">
        <v>5.8</v>
      </c>
    </row>
    <row r="1315" spans="1:4" x14ac:dyDescent="0.25">
      <c r="A1315" s="104" t="s">
        <v>1865</v>
      </c>
      <c r="B1315" s="105" t="s">
        <v>1866</v>
      </c>
      <c r="C1315" s="106" t="s">
        <v>8</v>
      </c>
      <c r="D1315" s="107">
        <v>11.35</v>
      </c>
    </row>
    <row r="1316" spans="1:4" x14ac:dyDescent="0.25">
      <c r="A1316" s="104" t="s">
        <v>1867</v>
      </c>
      <c r="B1316" s="105" t="s">
        <v>1868</v>
      </c>
      <c r="C1316" s="106" t="s">
        <v>13</v>
      </c>
      <c r="D1316" s="107">
        <v>93.68</v>
      </c>
    </row>
    <row r="1317" spans="1:4" x14ac:dyDescent="0.25">
      <c r="A1317" s="104" t="s">
        <v>1869</v>
      </c>
      <c r="B1317" s="105" t="s">
        <v>1870</v>
      </c>
      <c r="C1317" s="106" t="s">
        <v>13</v>
      </c>
      <c r="D1317" s="107">
        <v>120.74</v>
      </c>
    </row>
    <row r="1318" spans="1:4" x14ac:dyDescent="0.25">
      <c r="A1318" s="104" t="s">
        <v>1871</v>
      </c>
      <c r="B1318" s="105" t="s">
        <v>1872</v>
      </c>
      <c r="C1318" s="106" t="s">
        <v>13</v>
      </c>
      <c r="D1318" s="107">
        <v>74.430000000000007</v>
      </c>
    </row>
    <row r="1319" spans="1:4" ht="25.5" x14ac:dyDescent="0.25">
      <c r="A1319" s="104" t="s">
        <v>1873</v>
      </c>
      <c r="B1319" s="105" t="s">
        <v>1874</v>
      </c>
      <c r="C1319" s="106" t="s">
        <v>16</v>
      </c>
      <c r="D1319" s="107">
        <v>69.849999999999994</v>
      </c>
    </row>
    <row r="1320" spans="1:4" ht="25.5" x14ac:dyDescent="0.25">
      <c r="A1320" s="104" t="s">
        <v>1875</v>
      </c>
      <c r="B1320" s="105" t="s">
        <v>1876</v>
      </c>
      <c r="C1320" s="106" t="s">
        <v>16</v>
      </c>
      <c r="D1320" s="107">
        <v>47.34</v>
      </c>
    </row>
    <row r="1321" spans="1:4" ht="25.5" x14ac:dyDescent="0.25">
      <c r="A1321" s="104" t="s">
        <v>1877</v>
      </c>
      <c r="B1321" s="105" t="s">
        <v>1878</v>
      </c>
      <c r="C1321" s="106" t="s">
        <v>16</v>
      </c>
      <c r="D1321" s="107">
        <v>63.24</v>
      </c>
    </row>
    <row r="1322" spans="1:4" ht="25.5" x14ac:dyDescent="0.25">
      <c r="A1322" s="104" t="s">
        <v>1879</v>
      </c>
      <c r="B1322" s="105" t="s">
        <v>1880</v>
      </c>
      <c r="C1322" s="106" t="s">
        <v>16</v>
      </c>
      <c r="D1322" s="107">
        <v>39.85</v>
      </c>
    </row>
    <row r="1323" spans="1:4" ht="25.5" x14ac:dyDescent="0.25">
      <c r="A1323" s="104">
        <v>83651</v>
      </c>
      <c r="B1323" s="105" t="s">
        <v>1881</v>
      </c>
      <c r="C1323" s="106" t="s">
        <v>16</v>
      </c>
      <c r="D1323" s="107">
        <v>30.3</v>
      </c>
    </row>
    <row r="1324" spans="1:4" ht="38.25" x14ac:dyDescent="0.25">
      <c r="A1324" s="106">
        <v>83658</v>
      </c>
      <c r="B1324" s="105" t="s">
        <v>1882</v>
      </c>
      <c r="C1324" s="106" t="s">
        <v>16</v>
      </c>
      <c r="D1324" s="107">
        <v>156.06</v>
      </c>
    </row>
    <row r="1325" spans="1:4" ht="25.5" x14ac:dyDescent="0.25">
      <c r="A1325" s="106">
        <v>83661</v>
      </c>
      <c r="B1325" s="105" t="s">
        <v>1883</v>
      </c>
      <c r="C1325" s="106" t="s">
        <v>16</v>
      </c>
      <c r="D1325" s="107">
        <v>103.94</v>
      </c>
    </row>
    <row r="1326" spans="1:4" x14ac:dyDescent="0.25">
      <c r="A1326" s="104">
        <v>83662</v>
      </c>
      <c r="B1326" s="105" t="s">
        <v>1884</v>
      </c>
      <c r="C1326" s="106" t="s">
        <v>13</v>
      </c>
      <c r="D1326" s="107">
        <v>107.67</v>
      </c>
    </row>
    <row r="1327" spans="1:4" ht="25.5" x14ac:dyDescent="0.25">
      <c r="A1327" s="104">
        <v>83664</v>
      </c>
      <c r="B1327" s="105" t="s">
        <v>1885</v>
      </c>
      <c r="C1327" s="106" t="s">
        <v>16</v>
      </c>
      <c r="D1327" s="107">
        <v>63.85</v>
      </c>
    </row>
    <row r="1328" spans="1:4" ht="25.5" x14ac:dyDescent="0.25">
      <c r="A1328" s="104">
        <v>83670</v>
      </c>
      <c r="B1328" s="105" t="s">
        <v>1886</v>
      </c>
      <c r="C1328" s="106" t="s">
        <v>16</v>
      </c>
      <c r="D1328" s="107">
        <v>44.56</v>
      </c>
    </row>
    <row r="1329" spans="1:4" ht="25.5" x14ac:dyDescent="0.25">
      <c r="A1329" s="104">
        <v>83671</v>
      </c>
      <c r="B1329" s="105" t="s">
        <v>1887</v>
      </c>
      <c r="C1329" s="106" t="s">
        <v>16</v>
      </c>
      <c r="D1329" s="107">
        <v>47.92</v>
      </c>
    </row>
    <row r="1330" spans="1:4" ht="25.5" x14ac:dyDescent="0.25">
      <c r="A1330" s="104">
        <v>83679</v>
      </c>
      <c r="B1330" s="105" t="s">
        <v>1888</v>
      </c>
      <c r="C1330" s="106" t="s">
        <v>16</v>
      </c>
      <c r="D1330" s="107">
        <v>13.85</v>
      </c>
    </row>
    <row r="1331" spans="1:4" ht="25.5" x14ac:dyDescent="0.25">
      <c r="A1331" s="104">
        <v>83680</v>
      </c>
      <c r="B1331" s="105" t="s">
        <v>1889</v>
      </c>
      <c r="C1331" s="106" t="s">
        <v>16</v>
      </c>
      <c r="D1331" s="107">
        <v>16.87</v>
      </c>
    </row>
    <row r="1332" spans="1:4" ht="25.5" x14ac:dyDescent="0.25">
      <c r="A1332" s="104">
        <v>83681</v>
      </c>
      <c r="B1332" s="105" t="s">
        <v>1890</v>
      </c>
      <c r="C1332" s="106" t="s">
        <v>16</v>
      </c>
      <c r="D1332" s="107">
        <v>18.25</v>
      </c>
    </row>
    <row r="1333" spans="1:4" ht="51" x14ac:dyDescent="0.25">
      <c r="A1333" s="104">
        <v>92743</v>
      </c>
      <c r="B1333" s="105" t="s">
        <v>1891</v>
      </c>
      <c r="C1333" s="106" t="s">
        <v>13</v>
      </c>
      <c r="D1333" s="109">
        <v>496.77</v>
      </c>
    </row>
    <row r="1334" spans="1:4" ht="51" x14ac:dyDescent="0.25">
      <c r="A1334" s="104">
        <v>92744</v>
      </c>
      <c r="B1334" s="105" t="s">
        <v>1892</v>
      </c>
      <c r="C1334" s="106" t="s">
        <v>13</v>
      </c>
      <c r="D1334" s="109">
        <v>490.89</v>
      </c>
    </row>
    <row r="1335" spans="1:4" ht="51" x14ac:dyDescent="0.25">
      <c r="A1335" s="104">
        <v>92745</v>
      </c>
      <c r="B1335" s="105" t="s">
        <v>1893</v>
      </c>
      <c r="C1335" s="106" t="s">
        <v>13</v>
      </c>
      <c r="D1335" s="109">
        <v>614.95000000000005</v>
      </c>
    </row>
    <row r="1336" spans="1:4" ht="51" x14ac:dyDescent="0.25">
      <c r="A1336" s="104">
        <v>92746</v>
      </c>
      <c r="B1336" s="105" t="s">
        <v>1894</v>
      </c>
      <c r="C1336" s="106" t="s">
        <v>13</v>
      </c>
      <c r="D1336" s="107">
        <v>576.66</v>
      </c>
    </row>
    <row r="1337" spans="1:4" ht="51" x14ac:dyDescent="0.25">
      <c r="A1337" s="104">
        <v>92747</v>
      </c>
      <c r="B1337" s="105" t="s">
        <v>1895</v>
      </c>
      <c r="C1337" s="106" t="s">
        <v>13</v>
      </c>
      <c r="D1337" s="107">
        <v>682.17</v>
      </c>
    </row>
    <row r="1338" spans="1:4" ht="51" x14ac:dyDescent="0.25">
      <c r="A1338" s="104">
        <v>92748</v>
      </c>
      <c r="B1338" s="105" t="s">
        <v>1896</v>
      </c>
      <c r="C1338" s="106" t="s">
        <v>13</v>
      </c>
      <c r="D1338" s="107">
        <v>625.66999999999996</v>
      </c>
    </row>
    <row r="1339" spans="1:4" ht="38.25" x14ac:dyDescent="0.25">
      <c r="A1339" s="104">
        <v>92749</v>
      </c>
      <c r="B1339" s="105" t="s">
        <v>1897</v>
      </c>
      <c r="C1339" s="106" t="s">
        <v>13</v>
      </c>
      <c r="D1339" s="107">
        <v>714.73</v>
      </c>
    </row>
    <row r="1340" spans="1:4" ht="38.25" x14ac:dyDescent="0.25">
      <c r="A1340" s="104">
        <v>92750</v>
      </c>
      <c r="B1340" s="105" t="s">
        <v>1898</v>
      </c>
      <c r="C1340" s="106" t="s">
        <v>13</v>
      </c>
      <c r="D1340" s="107">
        <v>1231</v>
      </c>
    </row>
    <row r="1341" spans="1:4" ht="51" x14ac:dyDescent="0.25">
      <c r="A1341" s="104">
        <v>92751</v>
      </c>
      <c r="B1341" s="105" t="s">
        <v>1899</v>
      </c>
      <c r="C1341" s="106" t="s">
        <v>13</v>
      </c>
      <c r="D1341" s="107">
        <v>1531.45</v>
      </c>
    </row>
    <row r="1342" spans="1:4" ht="51" x14ac:dyDescent="0.25">
      <c r="A1342" s="106">
        <v>92752</v>
      </c>
      <c r="B1342" s="105" t="s">
        <v>1900</v>
      </c>
      <c r="C1342" s="106" t="s">
        <v>13</v>
      </c>
      <c r="D1342" s="107">
        <v>1830.92</v>
      </c>
    </row>
    <row r="1343" spans="1:4" ht="51" x14ac:dyDescent="0.25">
      <c r="A1343" s="106">
        <v>92753</v>
      </c>
      <c r="B1343" s="105" t="s">
        <v>1901</v>
      </c>
      <c r="C1343" s="106" t="s">
        <v>13</v>
      </c>
      <c r="D1343" s="107">
        <v>457.06</v>
      </c>
    </row>
    <row r="1344" spans="1:4" ht="63.75" x14ac:dyDescent="0.25">
      <c r="A1344" s="106">
        <v>92754</v>
      </c>
      <c r="B1344" s="105" t="s">
        <v>1902</v>
      </c>
      <c r="C1344" s="106" t="s">
        <v>13</v>
      </c>
      <c r="D1344" s="107">
        <v>418.83</v>
      </c>
    </row>
    <row r="1345" spans="1:4" ht="38.25" x14ac:dyDescent="0.25">
      <c r="A1345" s="106">
        <v>92755</v>
      </c>
      <c r="B1345" s="105" t="s">
        <v>1903</v>
      </c>
      <c r="C1345" s="106" t="s">
        <v>8</v>
      </c>
      <c r="D1345" s="107">
        <v>179.86</v>
      </c>
    </row>
    <row r="1346" spans="1:4" ht="38.25" x14ac:dyDescent="0.25">
      <c r="A1346" s="106">
        <v>92756</v>
      </c>
      <c r="B1346" s="105" t="s">
        <v>1904</v>
      </c>
      <c r="C1346" s="106" t="s">
        <v>8</v>
      </c>
      <c r="D1346" s="107">
        <v>204.12</v>
      </c>
    </row>
    <row r="1347" spans="1:4" ht="38.25" x14ac:dyDescent="0.25">
      <c r="A1347" s="104">
        <v>92757</v>
      </c>
      <c r="B1347" s="105" t="s">
        <v>1905</v>
      </c>
      <c r="C1347" s="106" t="s">
        <v>8</v>
      </c>
      <c r="D1347" s="107">
        <v>233.58</v>
      </c>
    </row>
    <row r="1348" spans="1:4" ht="38.25" x14ac:dyDescent="0.25">
      <c r="A1348" s="104">
        <v>92758</v>
      </c>
      <c r="B1348" s="105" t="s">
        <v>1906</v>
      </c>
      <c r="C1348" s="106" t="s">
        <v>13</v>
      </c>
      <c r="D1348" s="107">
        <v>584.74</v>
      </c>
    </row>
    <row r="1349" spans="1:4" ht="51" x14ac:dyDescent="0.25">
      <c r="A1349" s="104">
        <v>91069</v>
      </c>
      <c r="B1349" s="105" t="s">
        <v>1907</v>
      </c>
      <c r="C1349" s="106" t="s">
        <v>8</v>
      </c>
      <c r="D1349" s="107">
        <v>77.06</v>
      </c>
    </row>
    <row r="1350" spans="1:4" ht="51" x14ac:dyDescent="0.25">
      <c r="A1350" s="104">
        <v>91070</v>
      </c>
      <c r="B1350" s="105" t="s">
        <v>1908</v>
      </c>
      <c r="C1350" s="106" t="s">
        <v>8</v>
      </c>
      <c r="D1350" s="107">
        <v>85.83</v>
      </c>
    </row>
    <row r="1351" spans="1:4" ht="51" x14ac:dyDescent="0.25">
      <c r="A1351" s="104">
        <v>91071</v>
      </c>
      <c r="B1351" s="105" t="s">
        <v>1909</v>
      </c>
      <c r="C1351" s="106" t="s">
        <v>8</v>
      </c>
      <c r="D1351" s="107">
        <v>104.52</v>
      </c>
    </row>
    <row r="1352" spans="1:4" ht="51" x14ac:dyDescent="0.25">
      <c r="A1352" s="104">
        <v>91072</v>
      </c>
      <c r="B1352" s="105" t="s">
        <v>1910</v>
      </c>
      <c r="C1352" s="106" t="s">
        <v>8</v>
      </c>
      <c r="D1352" s="107">
        <v>113.24</v>
      </c>
    </row>
    <row r="1353" spans="1:4" ht="51" x14ac:dyDescent="0.25">
      <c r="A1353" s="104">
        <v>91073</v>
      </c>
      <c r="B1353" s="105" t="s">
        <v>1911</v>
      </c>
      <c r="C1353" s="106" t="s">
        <v>8</v>
      </c>
      <c r="D1353" s="107">
        <v>86.65</v>
      </c>
    </row>
    <row r="1354" spans="1:4" ht="51" x14ac:dyDescent="0.25">
      <c r="A1354" s="104">
        <v>91074</v>
      </c>
      <c r="B1354" s="105" t="s">
        <v>1912</v>
      </c>
      <c r="C1354" s="106" t="s">
        <v>8</v>
      </c>
      <c r="D1354" s="107">
        <v>96.37</v>
      </c>
    </row>
    <row r="1355" spans="1:4" ht="51" x14ac:dyDescent="0.25">
      <c r="A1355" s="104">
        <v>91075</v>
      </c>
      <c r="B1355" s="105" t="s">
        <v>1913</v>
      </c>
      <c r="C1355" s="106" t="s">
        <v>8</v>
      </c>
      <c r="D1355" s="107">
        <v>115.93</v>
      </c>
    </row>
    <row r="1356" spans="1:4" ht="51" x14ac:dyDescent="0.25">
      <c r="A1356" s="104">
        <v>91076</v>
      </c>
      <c r="B1356" s="105" t="s">
        <v>1914</v>
      </c>
      <c r="C1356" s="106" t="s">
        <v>8</v>
      </c>
      <c r="D1356" s="107">
        <v>125.71</v>
      </c>
    </row>
    <row r="1357" spans="1:4" ht="51" x14ac:dyDescent="0.25">
      <c r="A1357" s="104">
        <v>91077</v>
      </c>
      <c r="B1357" s="105" t="s">
        <v>1915</v>
      </c>
      <c r="C1357" s="106" t="s">
        <v>8</v>
      </c>
      <c r="D1357" s="107">
        <v>88.31</v>
      </c>
    </row>
    <row r="1358" spans="1:4" ht="51" x14ac:dyDescent="0.25">
      <c r="A1358" s="104">
        <v>91078</v>
      </c>
      <c r="B1358" s="105" t="s">
        <v>1916</v>
      </c>
      <c r="C1358" s="106" t="s">
        <v>8</v>
      </c>
      <c r="D1358" s="107">
        <v>103.8</v>
      </c>
    </row>
    <row r="1359" spans="1:4" ht="51" x14ac:dyDescent="0.25">
      <c r="A1359" s="104">
        <v>91079</v>
      </c>
      <c r="B1359" s="105" t="s">
        <v>1917</v>
      </c>
      <c r="C1359" s="106" t="s">
        <v>8</v>
      </c>
      <c r="D1359" s="107">
        <v>92.34</v>
      </c>
    </row>
    <row r="1360" spans="1:4" ht="51" x14ac:dyDescent="0.25">
      <c r="A1360" s="104">
        <v>91080</v>
      </c>
      <c r="B1360" s="105" t="s">
        <v>1918</v>
      </c>
      <c r="C1360" s="106" t="s">
        <v>8</v>
      </c>
      <c r="D1360" s="107">
        <v>107.72</v>
      </c>
    </row>
    <row r="1361" spans="1:4" ht="51" x14ac:dyDescent="0.25">
      <c r="A1361" s="104">
        <v>91081</v>
      </c>
      <c r="B1361" s="105" t="s">
        <v>1919</v>
      </c>
      <c r="C1361" s="106" t="s">
        <v>8</v>
      </c>
      <c r="D1361" s="107">
        <v>98.96</v>
      </c>
    </row>
    <row r="1362" spans="1:4" ht="51" x14ac:dyDescent="0.25">
      <c r="A1362" s="104">
        <v>91082</v>
      </c>
      <c r="B1362" s="105" t="s">
        <v>1920</v>
      </c>
      <c r="C1362" s="106" t="s">
        <v>8</v>
      </c>
      <c r="D1362" s="107">
        <v>115.36</v>
      </c>
    </row>
    <row r="1363" spans="1:4" ht="51" x14ac:dyDescent="0.25">
      <c r="A1363" s="104">
        <v>91083</v>
      </c>
      <c r="B1363" s="105" t="s">
        <v>1921</v>
      </c>
      <c r="C1363" s="106" t="s">
        <v>8</v>
      </c>
      <c r="D1363" s="107">
        <v>106.12</v>
      </c>
    </row>
    <row r="1364" spans="1:4" ht="51" x14ac:dyDescent="0.25">
      <c r="A1364" s="104">
        <v>91084</v>
      </c>
      <c r="B1364" s="105" t="s">
        <v>1922</v>
      </c>
      <c r="C1364" s="106" t="s">
        <v>8</v>
      </c>
      <c r="D1364" s="107">
        <v>122.35</v>
      </c>
    </row>
    <row r="1365" spans="1:4" ht="51" x14ac:dyDescent="0.25">
      <c r="A1365" s="104">
        <v>91086</v>
      </c>
      <c r="B1365" s="105" t="s">
        <v>1923</v>
      </c>
      <c r="C1365" s="106" t="s">
        <v>8</v>
      </c>
      <c r="D1365" s="107">
        <v>84.1</v>
      </c>
    </row>
    <row r="1366" spans="1:4" ht="51" x14ac:dyDescent="0.25">
      <c r="A1366" s="104">
        <v>91087</v>
      </c>
      <c r="B1366" s="105" t="s">
        <v>1924</v>
      </c>
      <c r="C1366" s="106" t="s">
        <v>8</v>
      </c>
      <c r="D1366" s="107">
        <v>93.05</v>
      </c>
    </row>
    <row r="1367" spans="1:4" ht="51" x14ac:dyDescent="0.25">
      <c r="A1367" s="104">
        <v>91088</v>
      </c>
      <c r="B1367" s="105" t="s">
        <v>1925</v>
      </c>
      <c r="C1367" s="106" t="s">
        <v>8</v>
      </c>
      <c r="D1367" s="107">
        <v>112.57</v>
      </c>
    </row>
    <row r="1368" spans="1:4" ht="51" x14ac:dyDescent="0.25">
      <c r="A1368" s="104">
        <v>91089</v>
      </c>
      <c r="B1368" s="105" t="s">
        <v>1926</v>
      </c>
      <c r="C1368" s="106" t="s">
        <v>8</v>
      </c>
      <c r="D1368" s="107">
        <v>121.65</v>
      </c>
    </row>
    <row r="1369" spans="1:4" ht="51" x14ac:dyDescent="0.25">
      <c r="A1369" s="104">
        <v>91090</v>
      </c>
      <c r="B1369" s="105" t="s">
        <v>1927</v>
      </c>
      <c r="C1369" s="106" t="s">
        <v>8</v>
      </c>
      <c r="D1369" s="107">
        <v>92.34</v>
      </c>
    </row>
    <row r="1370" spans="1:4" ht="51" x14ac:dyDescent="0.25">
      <c r="A1370" s="104">
        <v>91091</v>
      </c>
      <c r="B1370" s="105" t="s">
        <v>1928</v>
      </c>
      <c r="C1370" s="106" t="s">
        <v>8</v>
      </c>
      <c r="D1370" s="107">
        <v>102.43</v>
      </c>
    </row>
    <row r="1371" spans="1:4" ht="51" x14ac:dyDescent="0.25">
      <c r="A1371" s="104">
        <v>91092</v>
      </c>
      <c r="B1371" s="105" t="s">
        <v>1929</v>
      </c>
      <c r="C1371" s="106" t="s">
        <v>8</v>
      </c>
      <c r="D1371" s="107">
        <v>122.32</v>
      </c>
    </row>
    <row r="1372" spans="1:4" ht="51" x14ac:dyDescent="0.25">
      <c r="A1372" s="104">
        <v>91093</v>
      </c>
      <c r="B1372" s="105" t="s">
        <v>1930</v>
      </c>
      <c r="C1372" s="106" t="s">
        <v>8</v>
      </c>
      <c r="D1372" s="107">
        <v>132.65</v>
      </c>
    </row>
    <row r="1373" spans="1:4" ht="63.75" x14ac:dyDescent="0.25">
      <c r="A1373" s="104">
        <v>91094</v>
      </c>
      <c r="B1373" s="105" t="s">
        <v>1931</v>
      </c>
      <c r="C1373" s="106" t="s">
        <v>8</v>
      </c>
      <c r="D1373" s="107">
        <v>92.5</v>
      </c>
    </row>
    <row r="1374" spans="1:4" ht="63.75" x14ac:dyDescent="0.25">
      <c r="A1374" s="104">
        <v>91095</v>
      </c>
      <c r="B1374" s="105" t="s">
        <v>1932</v>
      </c>
      <c r="C1374" s="106" t="s">
        <v>8</v>
      </c>
      <c r="D1374" s="107">
        <v>108.29</v>
      </c>
    </row>
    <row r="1375" spans="1:4" ht="51" x14ac:dyDescent="0.25">
      <c r="A1375" s="104">
        <v>91096</v>
      </c>
      <c r="B1375" s="105" t="s">
        <v>1933</v>
      </c>
      <c r="C1375" s="106" t="s">
        <v>8</v>
      </c>
      <c r="D1375" s="107">
        <v>94.65</v>
      </c>
    </row>
    <row r="1376" spans="1:4" ht="51" x14ac:dyDescent="0.25">
      <c r="A1376" s="104">
        <v>91097</v>
      </c>
      <c r="B1376" s="105" t="s">
        <v>1934</v>
      </c>
      <c r="C1376" s="106" t="s">
        <v>8</v>
      </c>
      <c r="D1376" s="107">
        <v>110.35</v>
      </c>
    </row>
    <row r="1377" spans="1:4" ht="63.75" x14ac:dyDescent="0.25">
      <c r="A1377" s="104">
        <v>91098</v>
      </c>
      <c r="B1377" s="105" t="s">
        <v>1935</v>
      </c>
      <c r="C1377" s="106" t="s">
        <v>8</v>
      </c>
      <c r="D1377" s="107">
        <v>103.07</v>
      </c>
    </row>
    <row r="1378" spans="1:4" ht="63.75" x14ac:dyDescent="0.25">
      <c r="A1378" s="104">
        <v>91099</v>
      </c>
      <c r="B1378" s="105" t="s">
        <v>1936</v>
      </c>
      <c r="C1378" s="106" t="s">
        <v>8</v>
      </c>
      <c r="D1378" s="107">
        <v>119.76</v>
      </c>
    </row>
    <row r="1379" spans="1:4" ht="51" x14ac:dyDescent="0.25">
      <c r="A1379" s="104">
        <v>91100</v>
      </c>
      <c r="B1379" s="105" t="s">
        <v>1937</v>
      </c>
      <c r="C1379" s="106" t="s">
        <v>8</v>
      </c>
      <c r="D1379" s="107">
        <v>108.84</v>
      </c>
    </row>
    <row r="1380" spans="1:4" ht="51" x14ac:dyDescent="0.25">
      <c r="A1380" s="104">
        <v>91101</v>
      </c>
      <c r="B1380" s="105" t="s">
        <v>1938</v>
      </c>
      <c r="C1380" s="106" t="s">
        <v>8</v>
      </c>
      <c r="D1380" s="107">
        <v>125.49</v>
      </c>
    </row>
    <row r="1381" spans="1:4" ht="51" x14ac:dyDescent="0.25">
      <c r="A1381" s="104">
        <v>93952</v>
      </c>
      <c r="B1381" s="105" t="s">
        <v>1939</v>
      </c>
      <c r="C1381" s="106" t="s">
        <v>16</v>
      </c>
      <c r="D1381" s="107">
        <v>146.47999999999999</v>
      </c>
    </row>
    <row r="1382" spans="1:4" ht="51" x14ac:dyDescent="0.25">
      <c r="A1382" s="104">
        <v>93953</v>
      </c>
      <c r="B1382" s="105" t="s">
        <v>1940</v>
      </c>
      <c r="C1382" s="106" t="s">
        <v>16</v>
      </c>
      <c r="D1382" s="107">
        <v>136.53</v>
      </c>
    </row>
    <row r="1383" spans="1:4" ht="51" x14ac:dyDescent="0.25">
      <c r="A1383" s="104">
        <v>93954</v>
      </c>
      <c r="B1383" s="105" t="s">
        <v>1941</v>
      </c>
      <c r="C1383" s="106" t="s">
        <v>16</v>
      </c>
      <c r="D1383" s="107">
        <v>130.57</v>
      </c>
    </row>
    <row r="1384" spans="1:4" ht="51" x14ac:dyDescent="0.25">
      <c r="A1384" s="104">
        <v>93955</v>
      </c>
      <c r="B1384" s="105" t="s">
        <v>1942</v>
      </c>
      <c r="C1384" s="106" t="s">
        <v>16</v>
      </c>
      <c r="D1384" s="107">
        <v>126.34</v>
      </c>
    </row>
    <row r="1385" spans="1:4" ht="51" x14ac:dyDescent="0.25">
      <c r="A1385" s="104">
        <v>93956</v>
      </c>
      <c r="B1385" s="105" t="s">
        <v>1943</v>
      </c>
      <c r="C1385" s="106" t="s">
        <v>16</v>
      </c>
      <c r="D1385" s="107">
        <v>123.02</v>
      </c>
    </row>
    <row r="1386" spans="1:4" ht="51" x14ac:dyDescent="0.25">
      <c r="A1386" s="104">
        <v>93957</v>
      </c>
      <c r="B1386" s="105" t="s">
        <v>1944</v>
      </c>
      <c r="C1386" s="106" t="s">
        <v>16</v>
      </c>
      <c r="D1386" s="107">
        <v>154.75</v>
      </c>
    </row>
    <row r="1387" spans="1:4" ht="51" x14ac:dyDescent="0.25">
      <c r="A1387" s="104">
        <v>93958</v>
      </c>
      <c r="B1387" s="105" t="s">
        <v>1945</v>
      </c>
      <c r="C1387" s="106" t="s">
        <v>16</v>
      </c>
      <c r="D1387" s="107">
        <v>144.22999999999999</v>
      </c>
    </row>
    <row r="1388" spans="1:4" ht="51" x14ac:dyDescent="0.25">
      <c r="A1388" s="104">
        <v>93959</v>
      </c>
      <c r="B1388" s="105" t="s">
        <v>1946</v>
      </c>
      <c r="C1388" s="106" t="s">
        <v>16</v>
      </c>
      <c r="D1388" s="107">
        <v>137.99</v>
      </c>
    </row>
    <row r="1389" spans="1:4" ht="51" x14ac:dyDescent="0.25">
      <c r="A1389" s="104">
        <v>93960</v>
      </c>
      <c r="B1389" s="105" t="s">
        <v>1947</v>
      </c>
      <c r="C1389" s="106" t="s">
        <v>16</v>
      </c>
      <c r="D1389" s="107">
        <v>133.59</v>
      </c>
    </row>
    <row r="1390" spans="1:4" ht="51" x14ac:dyDescent="0.25">
      <c r="A1390" s="104">
        <v>93961</v>
      </c>
      <c r="B1390" s="105" t="s">
        <v>1948</v>
      </c>
      <c r="C1390" s="106" t="s">
        <v>16</v>
      </c>
      <c r="D1390" s="107">
        <v>130.13999999999999</v>
      </c>
    </row>
    <row r="1391" spans="1:4" ht="51" x14ac:dyDescent="0.25">
      <c r="A1391" s="104">
        <v>93962</v>
      </c>
      <c r="B1391" s="105" t="s">
        <v>1949</v>
      </c>
      <c r="C1391" s="106" t="s">
        <v>16</v>
      </c>
      <c r="D1391" s="107">
        <v>137.62</v>
      </c>
    </row>
    <row r="1392" spans="1:4" ht="51" x14ac:dyDescent="0.25">
      <c r="A1392" s="104">
        <v>93963</v>
      </c>
      <c r="B1392" s="105" t="s">
        <v>1950</v>
      </c>
      <c r="C1392" s="106" t="s">
        <v>16</v>
      </c>
      <c r="D1392" s="107">
        <v>127.71</v>
      </c>
    </row>
    <row r="1393" spans="1:4" ht="51" x14ac:dyDescent="0.25">
      <c r="A1393" s="104">
        <v>93964</v>
      </c>
      <c r="B1393" s="105" t="s">
        <v>1951</v>
      </c>
      <c r="C1393" s="106" t="s">
        <v>16</v>
      </c>
      <c r="D1393" s="107">
        <v>121.77</v>
      </c>
    </row>
    <row r="1394" spans="1:4" ht="51" x14ac:dyDescent="0.25">
      <c r="A1394" s="104">
        <v>93965</v>
      </c>
      <c r="B1394" s="105" t="s">
        <v>1952</v>
      </c>
      <c r="C1394" s="106" t="s">
        <v>16</v>
      </c>
      <c r="D1394" s="107">
        <v>116.21</v>
      </c>
    </row>
    <row r="1395" spans="1:4" ht="51" x14ac:dyDescent="0.25">
      <c r="A1395" s="104">
        <v>93966</v>
      </c>
      <c r="B1395" s="105" t="s">
        <v>1953</v>
      </c>
      <c r="C1395" s="106" t="s">
        <v>16</v>
      </c>
      <c r="D1395" s="107">
        <v>114.25</v>
      </c>
    </row>
    <row r="1396" spans="1:4" ht="51" x14ac:dyDescent="0.25">
      <c r="A1396" s="104">
        <v>93967</v>
      </c>
      <c r="B1396" s="105" t="s">
        <v>1954</v>
      </c>
      <c r="C1396" s="106" t="s">
        <v>16</v>
      </c>
      <c r="D1396" s="107">
        <v>145.88999999999999</v>
      </c>
    </row>
    <row r="1397" spans="1:4" ht="51" x14ac:dyDescent="0.25">
      <c r="A1397" s="104">
        <v>93968</v>
      </c>
      <c r="B1397" s="105" t="s">
        <v>1955</v>
      </c>
      <c r="C1397" s="106" t="s">
        <v>16</v>
      </c>
      <c r="D1397" s="107">
        <v>135.4</v>
      </c>
    </row>
    <row r="1398" spans="1:4" ht="51" x14ac:dyDescent="0.25">
      <c r="A1398" s="104">
        <v>93969</v>
      </c>
      <c r="B1398" s="105" t="s">
        <v>1956</v>
      </c>
      <c r="C1398" s="106" t="s">
        <v>16</v>
      </c>
      <c r="D1398" s="107">
        <v>129.19</v>
      </c>
    </row>
    <row r="1399" spans="1:4" ht="51" x14ac:dyDescent="0.25">
      <c r="A1399" s="104">
        <v>93970</v>
      </c>
      <c r="B1399" s="105" t="s">
        <v>1957</v>
      </c>
      <c r="C1399" s="106" t="s">
        <v>16</v>
      </c>
      <c r="D1399" s="107">
        <v>124.79</v>
      </c>
    </row>
    <row r="1400" spans="1:4" ht="51" x14ac:dyDescent="0.25">
      <c r="A1400" s="104">
        <v>93971</v>
      </c>
      <c r="B1400" s="105" t="s">
        <v>1958</v>
      </c>
      <c r="C1400" s="106" t="s">
        <v>16</v>
      </c>
      <c r="D1400" s="107">
        <v>118.04</v>
      </c>
    </row>
    <row r="1401" spans="1:4" ht="38.25" x14ac:dyDescent="0.25">
      <c r="A1401" s="106">
        <v>95108</v>
      </c>
      <c r="B1401" s="105" t="s">
        <v>1959</v>
      </c>
      <c r="C1401" s="106" t="s">
        <v>801</v>
      </c>
      <c r="D1401" s="107">
        <v>21.11</v>
      </c>
    </row>
    <row r="1402" spans="1:4" ht="25.5" x14ac:dyDescent="0.25">
      <c r="A1402" s="106">
        <v>100332</v>
      </c>
      <c r="B1402" s="105" t="s">
        <v>10922</v>
      </c>
      <c r="C1402" s="106" t="s">
        <v>8</v>
      </c>
      <c r="D1402" s="107">
        <v>528.03</v>
      </c>
    </row>
    <row r="1403" spans="1:4" ht="25.5" x14ac:dyDescent="0.25">
      <c r="A1403" s="106">
        <v>100333</v>
      </c>
      <c r="B1403" s="105" t="s">
        <v>10923</v>
      </c>
      <c r="C1403" s="106" t="s">
        <v>8</v>
      </c>
      <c r="D1403" s="107">
        <v>340.08</v>
      </c>
    </row>
    <row r="1404" spans="1:4" ht="25.5" x14ac:dyDescent="0.25">
      <c r="A1404" s="106">
        <v>100334</v>
      </c>
      <c r="B1404" s="105" t="s">
        <v>10924</v>
      </c>
      <c r="C1404" s="106" t="s">
        <v>8</v>
      </c>
      <c r="D1404" s="109">
        <v>425.88</v>
      </c>
    </row>
    <row r="1405" spans="1:4" ht="25.5" x14ac:dyDescent="0.25">
      <c r="A1405" s="106">
        <v>100335</v>
      </c>
      <c r="B1405" s="105" t="s">
        <v>10925</v>
      </c>
      <c r="C1405" s="106" t="s">
        <v>8</v>
      </c>
      <c r="D1405" s="109">
        <v>284.92</v>
      </c>
    </row>
    <row r="1406" spans="1:4" ht="38.25" x14ac:dyDescent="0.25">
      <c r="A1406" s="106">
        <v>100341</v>
      </c>
      <c r="B1406" s="105" t="s">
        <v>10926</v>
      </c>
      <c r="C1406" s="106" t="s">
        <v>8</v>
      </c>
      <c r="D1406" s="109">
        <v>23.49</v>
      </c>
    </row>
    <row r="1407" spans="1:4" ht="25.5" x14ac:dyDescent="0.25">
      <c r="A1407" s="106">
        <v>100342</v>
      </c>
      <c r="B1407" s="105" t="s">
        <v>10927</v>
      </c>
      <c r="C1407" s="106" t="s">
        <v>57</v>
      </c>
      <c r="D1407" s="107">
        <v>9.2899999999999991</v>
      </c>
    </row>
    <row r="1408" spans="1:4" ht="25.5" x14ac:dyDescent="0.25">
      <c r="A1408" s="106">
        <v>100343</v>
      </c>
      <c r="B1408" s="105" t="s">
        <v>10928</v>
      </c>
      <c r="C1408" s="106" t="s">
        <v>57</v>
      </c>
      <c r="D1408" s="109">
        <v>8.58</v>
      </c>
    </row>
    <row r="1409" spans="1:4" ht="25.5" x14ac:dyDescent="0.25">
      <c r="A1409" s="106">
        <v>100344</v>
      </c>
      <c r="B1409" s="105" t="s">
        <v>10929</v>
      </c>
      <c r="C1409" s="106" t="s">
        <v>57</v>
      </c>
      <c r="D1409" s="109">
        <v>7.62</v>
      </c>
    </row>
    <row r="1410" spans="1:4" ht="25.5" x14ac:dyDescent="0.25">
      <c r="A1410" s="106">
        <v>100345</v>
      </c>
      <c r="B1410" s="105" t="s">
        <v>10930</v>
      </c>
      <c r="C1410" s="106" t="s">
        <v>57</v>
      </c>
      <c r="D1410" s="109">
        <v>6.39</v>
      </c>
    </row>
    <row r="1411" spans="1:4" ht="25.5" x14ac:dyDescent="0.25">
      <c r="A1411" s="106">
        <v>100346</v>
      </c>
      <c r="B1411" s="105" t="s">
        <v>10931</v>
      </c>
      <c r="C1411" s="106" t="s">
        <v>57</v>
      </c>
      <c r="D1411" s="109">
        <v>6.01</v>
      </c>
    </row>
    <row r="1412" spans="1:4" ht="25.5" x14ac:dyDescent="0.25">
      <c r="A1412" s="106">
        <v>100347</v>
      </c>
      <c r="B1412" s="105" t="s">
        <v>10932</v>
      </c>
      <c r="C1412" s="106" t="s">
        <v>57</v>
      </c>
      <c r="D1412" s="107">
        <v>6.69</v>
      </c>
    </row>
    <row r="1413" spans="1:4" ht="25.5" x14ac:dyDescent="0.25">
      <c r="A1413" s="106">
        <v>100348</v>
      </c>
      <c r="B1413" s="105" t="s">
        <v>10933</v>
      </c>
      <c r="C1413" s="106" t="s">
        <v>57</v>
      </c>
      <c r="D1413" s="109">
        <v>6.49</v>
      </c>
    </row>
    <row r="1414" spans="1:4" ht="25.5" x14ac:dyDescent="0.25">
      <c r="A1414" s="106">
        <v>100349</v>
      </c>
      <c r="B1414" s="105" t="s">
        <v>10934</v>
      </c>
      <c r="C1414" s="106" t="s">
        <v>13</v>
      </c>
      <c r="D1414" s="109">
        <v>484</v>
      </c>
    </row>
    <row r="1415" spans="1:4" ht="38.25" x14ac:dyDescent="0.25">
      <c r="A1415" s="106" t="s">
        <v>1960</v>
      </c>
      <c r="B1415" s="105" t="s">
        <v>1961</v>
      </c>
      <c r="C1415" s="106" t="s">
        <v>801</v>
      </c>
      <c r="D1415" s="109">
        <v>335.5</v>
      </c>
    </row>
    <row r="1416" spans="1:4" ht="38.25" x14ac:dyDescent="0.25">
      <c r="A1416" s="106" t="s">
        <v>1962</v>
      </c>
      <c r="B1416" s="105" t="s">
        <v>1963</v>
      </c>
      <c r="C1416" s="106" t="s">
        <v>801</v>
      </c>
      <c r="D1416" s="109">
        <v>517.21</v>
      </c>
    </row>
    <row r="1417" spans="1:4" ht="38.25" x14ac:dyDescent="0.25">
      <c r="A1417" s="106" t="s">
        <v>1964</v>
      </c>
      <c r="B1417" s="105" t="s">
        <v>1965</v>
      </c>
      <c r="C1417" s="106" t="s">
        <v>801</v>
      </c>
      <c r="D1417" s="109">
        <v>849.32</v>
      </c>
    </row>
    <row r="1418" spans="1:4" ht="38.25" x14ac:dyDescent="0.25">
      <c r="A1418" s="104" t="s">
        <v>1966</v>
      </c>
      <c r="B1418" s="105" t="s">
        <v>1967</v>
      </c>
      <c r="C1418" s="106" t="s">
        <v>801</v>
      </c>
      <c r="D1418" s="107">
        <v>1274.8900000000001</v>
      </c>
    </row>
    <row r="1419" spans="1:4" ht="38.25" x14ac:dyDescent="0.25">
      <c r="A1419" s="104" t="s">
        <v>1968</v>
      </c>
      <c r="B1419" s="105" t="s">
        <v>1969</v>
      </c>
      <c r="C1419" s="106" t="s">
        <v>801</v>
      </c>
      <c r="D1419" s="107">
        <v>1800.3</v>
      </c>
    </row>
    <row r="1420" spans="1:4" ht="38.25" x14ac:dyDescent="0.25">
      <c r="A1420" s="104" t="s">
        <v>1970</v>
      </c>
      <c r="B1420" s="105" t="s">
        <v>1971</v>
      </c>
      <c r="C1420" s="106" t="s">
        <v>801</v>
      </c>
      <c r="D1420" s="107">
        <v>2430.64</v>
      </c>
    </row>
    <row r="1421" spans="1:4" ht="38.25" x14ac:dyDescent="0.25">
      <c r="A1421" s="104" t="s">
        <v>1972</v>
      </c>
      <c r="B1421" s="105" t="s">
        <v>1973</v>
      </c>
      <c r="C1421" s="106" t="s">
        <v>801</v>
      </c>
      <c r="D1421" s="109">
        <v>731.29</v>
      </c>
    </row>
    <row r="1422" spans="1:4" ht="38.25" x14ac:dyDescent="0.25">
      <c r="A1422" s="104" t="s">
        <v>1974</v>
      </c>
      <c r="B1422" s="105" t="s">
        <v>1975</v>
      </c>
      <c r="C1422" s="106" t="s">
        <v>801</v>
      </c>
      <c r="D1422" s="109">
        <v>1207.74</v>
      </c>
    </row>
    <row r="1423" spans="1:4" ht="38.25" x14ac:dyDescent="0.25">
      <c r="A1423" s="104" t="s">
        <v>1976</v>
      </c>
      <c r="B1423" s="105" t="s">
        <v>1977</v>
      </c>
      <c r="C1423" s="106" t="s">
        <v>801</v>
      </c>
      <c r="D1423" s="107">
        <v>1815.79</v>
      </c>
    </row>
    <row r="1424" spans="1:4" ht="38.25" x14ac:dyDescent="0.25">
      <c r="A1424" s="104" t="s">
        <v>1978</v>
      </c>
      <c r="B1424" s="105" t="s">
        <v>1979</v>
      </c>
      <c r="C1424" s="106" t="s">
        <v>801</v>
      </c>
      <c r="D1424" s="107">
        <v>2259.81</v>
      </c>
    </row>
    <row r="1425" spans="1:4" ht="38.25" x14ac:dyDescent="0.25">
      <c r="A1425" s="104" t="s">
        <v>1980</v>
      </c>
      <c r="B1425" s="105" t="s">
        <v>1981</v>
      </c>
      <c r="C1425" s="106" t="s">
        <v>801</v>
      </c>
      <c r="D1425" s="109">
        <v>3454.67</v>
      </c>
    </row>
    <row r="1426" spans="1:4" ht="38.25" x14ac:dyDescent="0.25">
      <c r="A1426" s="104" t="s">
        <v>1982</v>
      </c>
      <c r="B1426" s="105" t="s">
        <v>1983</v>
      </c>
      <c r="C1426" s="106" t="s">
        <v>801</v>
      </c>
      <c r="D1426" s="107">
        <v>944.96</v>
      </c>
    </row>
    <row r="1427" spans="1:4" ht="38.25" x14ac:dyDescent="0.25">
      <c r="A1427" s="104" t="s">
        <v>1984</v>
      </c>
      <c r="B1427" s="105" t="s">
        <v>1985</v>
      </c>
      <c r="C1427" s="106" t="s">
        <v>801</v>
      </c>
      <c r="D1427" s="109">
        <v>1565.7</v>
      </c>
    </row>
    <row r="1428" spans="1:4" ht="38.25" x14ac:dyDescent="0.25">
      <c r="A1428" s="104" t="s">
        <v>1986</v>
      </c>
      <c r="B1428" s="105" t="s">
        <v>1987</v>
      </c>
      <c r="C1428" s="106" t="s">
        <v>801</v>
      </c>
      <c r="D1428" s="109">
        <v>2356.33</v>
      </c>
    </row>
    <row r="1429" spans="1:4" ht="38.25" x14ac:dyDescent="0.25">
      <c r="A1429" s="104" t="s">
        <v>1988</v>
      </c>
      <c r="B1429" s="105" t="s">
        <v>1989</v>
      </c>
      <c r="C1429" s="106" t="s">
        <v>801</v>
      </c>
      <c r="D1429" s="107">
        <v>3324.81</v>
      </c>
    </row>
    <row r="1430" spans="1:4" ht="38.25" x14ac:dyDescent="0.25">
      <c r="A1430" s="104" t="s">
        <v>1990</v>
      </c>
      <c r="B1430" s="105" t="s">
        <v>1991</v>
      </c>
      <c r="C1430" s="106" t="s">
        <v>801</v>
      </c>
      <c r="D1430" s="109">
        <v>4478.82</v>
      </c>
    </row>
    <row r="1431" spans="1:4" ht="51" x14ac:dyDescent="0.25">
      <c r="A1431" s="104" t="s">
        <v>1992</v>
      </c>
      <c r="B1431" s="105" t="s">
        <v>1993</v>
      </c>
      <c r="C1431" s="106" t="s">
        <v>801</v>
      </c>
      <c r="D1431" s="109">
        <v>1373.24</v>
      </c>
    </row>
    <row r="1432" spans="1:4" ht="38.25" x14ac:dyDescent="0.25">
      <c r="A1432" s="104">
        <v>83659</v>
      </c>
      <c r="B1432" s="105" t="s">
        <v>1994</v>
      </c>
      <c r="C1432" s="106" t="s">
        <v>801</v>
      </c>
      <c r="D1432" s="109">
        <v>717.73</v>
      </c>
    </row>
    <row r="1433" spans="1:4" ht="25.5" x14ac:dyDescent="0.25">
      <c r="A1433" s="104">
        <v>83716</v>
      </c>
      <c r="B1433" s="105" t="s">
        <v>1995</v>
      </c>
      <c r="C1433" s="106" t="s">
        <v>801</v>
      </c>
      <c r="D1433" s="107">
        <v>334.77</v>
      </c>
    </row>
    <row r="1434" spans="1:4" ht="38.25" x14ac:dyDescent="0.25">
      <c r="A1434" s="104">
        <v>97976</v>
      </c>
      <c r="B1434" s="105" t="s">
        <v>1996</v>
      </c>
      <c r="C1434" s="106" t="s">
        <v>801</v>
      </c>
      <c r="D1434" s="109">
        <v>811.79</v>
      </c>
    </row>
    <row r="1435" spans="1:4" ht="38.25" x14ac:dyDescent="0.25">
      <c r="A1435" s="104">
        <v>97977</v>
      </c>
      <c r="B1435" s="105" t="s">
        <v>1997</v>
      </c>
      <c r="C1435" s="106" t="s">
        <v>801</v>
      </c>
      <c r="D1435" s="109">
        <v>1181.08</v>
      </c>
    </row>
    <row r="1436" spans="1:4" ht="38.25" x14ac:dyDescent="0.25">
      <c r="A1436" s="104">
        <v>97980</v>
      </c>
      <c r="B1436" s="105" t="s">
        <v>1998</v>
      </c>
      <c r="C1436" s="106" t="s">
        <v>801</v>
      </c>
      <c r="D1436" s="109">
        <v>1510.9</v>
      </c>
    </row>
    <row r="1437" spans="1:4" ht="38.25" x14ac:dyDescent="0.25">
      <c r="A1437" s="104">
        <v>97981</v>
      </c>
      <c r="B1437" s="105" t="s">
        <v>1999</v>
      </c>
      <c r="C1437" s="106" t="s">
        <v>16</v>
      </c>
      <c r="D1437" s="109">
        <v>901.93</v>
      </c>
    </row>
    <row r="1438" spans="1:4" ht="25.5" x14ac:dyDescent="0.25">
      <c r="A1438" s="104">
        <v>97983</v>
      </c>
      <c r="B1438" s="105" t="s">
        <v>2000</v>
      </c>
      <c r="C1438" s="106" t="s">
        <v>16</v>
      </c>
      <c r="D1438" s="109">
        <v>369.49</v>
      </c>
    </row>
    <row r="1439" spans="1:4" ht="38.25" x14ac:dyDescent="0.25">
      <c r="A1439" s="104">
        <v>97985</v>
      </c>
      <c r="B1439" s="105" t="s">
        <v>2001</v>
      </c>
      <c r="C1439" s="106" t="s">
        <v>16</v>
      </c>
      <c r="D1439" s="109">
        <v>1091.27</v>
      </c>
    </row>
    <row r="1440" spans="1:4" ht="25.5" x14ac:dyDescent="0.25">
      <c r="A1440" s="104">
        <v>97987</v>
      </c>
      <c r="B1440" s="105" t="s">
        <v>2002</v>
      </c>
      <c r="C1440" s="106" t="s">
        <v>16</v>
      </c>
      <c r="D1440" s="109">
        <v>413.05</v>
      </c>
    </row>
    <row r="1441" spans="1:4" ht="38.25" x14ac:dyDescent="0.25">
      <c r="A1441" s="104">
        <v>97988</v>
      </c>
      <c r="B1441" s="105" t="s">
        <v>2003</v>
      </c>
      <c r="C1441" s="106" t="s">
        <v>801</v>
      </c>
      <c r="D1441" s="109">
        <v>2189.54</v>
      </c>
    </row>
    <row r="1442" spans="1:4" ht="38.25" x14ac:dyDescent="0.25">
      <c r="A1442" s="104">
        <v>97989</v>
      </c>
      <c r="B1442" s="105" t="s">
        <v>2004</v>
      </c>
      <c r="C1442" s="106" t="s">
        <v>16</v>
      </c>
      <c r="D1442" s="109">
        <v>1280.6099999999999</v>
      </c>
    </row>
    <row r="1443" spans="1:4" ht="25.5" x14ac:dyDescent="0.25">
      <c r="A1443" s="104">
        <v>97991</v>
      </c>
      <c r="B1443" s="105" t="s">
        <v>2005</v>
      </c>
      <c r="C1443" s="106" t="s">
        <v>16</v>
      </c>
      <c r="D1443" s="109">
        <v>642.76</v>
      </c>
    </row>
    <row r="1444" spans="1:4" ht="38.25" x14ac:dyDescent="0.25">
      <c r="A1444" s="104">
        <v>97992</v>
      </c>
      <c r="B1444" s="105" t="s">
        <v>2006</v>
      </c>
      <c r="C1444" s="106" t="s">
        <v>801</v>
      </c>
      <c r="D1444" s="109">
        <v>2783.22</v>
      </c>
    </row>
    <row r="1445" spans="1:4" ht="38.25" x14ac:dyDescent="0.25">
      <c r="A1445" s="104">
        <v>97993</v>
      </c>
      <c r="B1445" s="105" t="s">
        <v>2007</v>
      </c>
      <c r="C1445" s="106" t="s">
        <v>16</v>
      </c>
      <c r="D1445" s="109">
        <v>1564.61</v>
      </c>
    </row>
    <row r="1446" spans="1:4" ht="38.25" x14ac:dyDescent="0.25">
      <c r="A1446" s="104">
        <v>97994</v>
      </c>
      <c r="B1446" s="105" t="s">
        <v>2008</v>
      </c>
      <c r="C1446" s="106" t="s">
        <v>801</v>
      </c>
      <c r="D1446" s="109">
        <v>1908.26</v>
      </c>
    </row>
    <row r="1447" spans="1:4" ht="38.25" x14ac:dyDescent="0.25">
      <c r="A1447" s="104">
        <v>97995</v>
      </c>
      <c r="B1447" s="105" t="s">
        <v>2009</v>
      </c>
      <c r="C1447" s="106" t="s">
        <v>16</v>
      </c>
      <c r="D1447" s="109">
        <v>971.36</v>
      </c>
    </row>
    <row r="1448" spans="1:4" ht="38.25" x14ac:dyDescent="0.25">
      <c r="A1448" s="104">
        <v>97996</v>
      </c>
      <c r="B1448" s="105" t="s">
        <v>2010</v>
      </c>
      <c r="C1448" s="106" t="s">
        <v>801</v>
      </c>
      <c r="D1448" s="109">
        <v>2411.35</v>
      </c>
    </row>
    <row r="1449" spans="1:4" ht="38.25" x14ac:dyDescent="0.25">
      <c r="A1449" s="104">
        <v>97997</v>
      </c>
      <c r="B1449" s="105" t="s">
        <v>2011</v>
      </c>
      <c r="C1449" s="106" t="s">
        <v>16</v>
      </c>
      <c r="D1449" s="109">
        <v>1163.3499999999999</v>
      </c>
    </row>
    <row r="1450" spans="1:4" ht="38.25" x14ac:dyDescent="0.25">
      <c r="A1450" s="104">
        <v>97999</v>
      </c>
      <c r="B1450" s="105" t="s">
        <v>2012</v>
      </c>
      <c r="C1450" s="106" t="s">
        <v>16</v>
      </c>
      <c r="D1450" s="109">
        <v>1355.32</v>
      </c>
    </row>
    <row r="1451" spans="1:4" ht="38.25" x14ac:dyDescent="0.25">
      <c r="A1451" s="104">
        <v>98001</v>
      </c>
      <c r="B1451" s="105" t="s">
        <v>2013</v>
      </c>
      <c r="C1451" s="106" t="s">
        <v>16</v>
      </c>
      <c r="D1451" s="109">
        <v>1547.26</v>
      </c>
    </row>
    <row r="1452" spans="1:4" ht="38.25" x14ac:dyDescent="0.25">
      <c r="A1452" s="104">
        <v>98002</v>
      </c>
      <c r="B1452" s="105" t="s">
        <v>2014</v>
      </c>
      <c r="C1452" s="106" t="s">
        <v>801</v>
      </c>
      <c r="D1452" s="109">
        <v>3941.8</v>
      </c>
    </row>
    <row r="1453" spans="1:4" ht="38.25" x14ac:dyDescent="0.25">
      <c r="A1453" s="104">
        <v>98003</v>
      </c>
      <c r="B1453" s="105" t="s">
        <v>2015</v>
      </c>
      <c r="C1453" s="106" t="s">
        <v>16</v>
      </c>
      <c r="D1453" s="109">
        <v>1739.27</v>
      </c>
    </row>
    <row r="1454" spans="1:4" ht="38.25" x14ac:dyDescent="0.25">
      <c r="A1454" s="104">
        <v>98005</v>
      </c>
      <c r="B1454" s="105" t="s">
        <v>2016</v>
      </c>
      <c r="C1454" s="106" t="s">
        <v>16</v>
      </c>
      <c r="D1454" s="109">
        <v>1931.25</v>
      </c>
    </row>
    <row r="1455" spans="1:4" ht="38.25" x14ac:dyDescent="0.25">
      <c r="A1455" s="104">
        <v>98006</v>
      </c>
      <c r="B1455" s="105" t="s">
        <v>2017</v>
      </c>
      <c r="C1455" s="106" t="s">
        <v>801</v>
      </c>
      <c r="D1455" s="109">
        <v>4953.26</v>
      </c>
    </row>
    <row r="1456" spans="1:4" ht="38.25" x14ac:dyDescent="0.25">
      <c r="A1456" s="104">
        <v>98007</v>
      </c>
      <c r="B1456" s="105" t="s">
        <v>2018</v>
      </c>
      <c r="C1456" s="106" t="s">
        <v>16</v>
      </c>
      <c r="D1456" s="109">
        <v>2123.1999999999998</v>
      </c>
    </row>
    <row r="1457" spans="1:4" ht="38.25" x14ac:dyDescent="0.25">
      <c r="A1457" s="104">
        <v>98008</v>
      </c>
      <c r="B1457" s="105" t="s">
        <v>2019</v>
      </c>
      <c r="C1457" s="106" t="s">
        <v>801</v>
      </c>
      <c r="D1457" s="109">
        <v>2988.62</v>
      </c>
    </row>
    <row r="1458" spans="1:4" ht="38.25" x14ac:dyDescent="0.25">
      <c r="A1458" s="104">
        <v>98009</v>
      </c>
      <c r="B1458" s="105" t="s">
        <v>2020</v>
      </c>
      <c r="C1458" s="106" t="s">
        <v>16</v>
      </c>
      <c r="D1458" s="109">
        <v>1355.32</v>
      </c>
    </row>
    <row r="1459" spans="1:4" ht="38.25" x14ac:dyDescent="0.25">
      <c r="A1459" s="104">
        <v>98010</v>
      </c>
      <c r="B1459" s="105" t="s">
        <v>2021</v>
      </c>
      <c r="C1459" s="106" t="s">
        <v>801</v>
      </c>
      <c r="D1459" s="109">
        <v>3639.04</v>
      </c>
    </row>
    <row r="1460" spans="1:4" ht="38.25" x14ac:dyDescent="0.25">
      <c r="A1460" s="104">
        <v>98011</v>
      </c>
      <c r="B1460" s="105" t="s">
        <v>2022</v>
      </c>
      <c r="C1460" s="106" t="s">
        <v>16</v>
      </c>
      <c r="D1460" s="109">
        <v>1547.26</v>
      </c>
    </row>
    <row r="1461" spans="1:4" ht="38.25" x14ac:dyDescent="0.25">
      <c r="A1461" s="104">
        <v>98012</v>
      </c>
      <c r="B1461" s="105" t="s">
        <v>2023</v>
      </c>
      <c r="C1461" s="106" t="s">
        <v>801</v>
      </c>
      <c r="D1461" s="109">
        <v>4272.6099999999997</v>
      </c>
    </row>
    <row r="1462" spans="1:4" ht="38.25" x14ac:dyDescent="0.25">
      <c r="A1462" s="104">
        <v>98013</v>
      </c>
      <c r="B1462" s="105" t="s">
        <v>2024</v>
      </c>
      <c r="C1462" s="106" t="s">
        <v>16</v>
      </c>
      <c r="D1462" s="109">
        <v>1739.27</v>
      </c>
    </row>
    <row r="1463" spans="1:4" ht="38.25" x14ac:dyDescent="0.25">
      <c r="A1463" s="104">
        <v>98014</v>
      </c>
      <c r="B1463" s="105" t="s">
        <v>2025</v>
      </c>
      <c r="C1463" s="106" t="s">
        <v>801</v>
      </c>
      <c r="D1463" s="109">
        <v>4906.1099999999997</v>
      </c>
    </row>
    <row r="1464" spans="1:4" ht="38.25" x14ac:dyDescent="0.25">
      <c r="A1464" s="104">
        <v>98015</v>
      </c>
      <c r="B1464" s="105" t="s">
        <v>2026</v>
      </c>
      <c r="C1464" s="106" t="s">
        <v>16</v>
      </c>
      <c r="D1464" s="109">
        <v>1931.25</v>
      </c>
    </row>
    <row r="1465" spans="1:4" ht="38.25" x14ac:dyDescent="0.25">
      <c r="A1465" s="104">
        <v>98016</v>
      </c>
      <c r="B1465" s="105" t="s">
        <v>2027</v>
      </c>
      <c r="C1465" s="106" t="s">
        <v>801</v>
      </c>
      <c r="D1465" s="109">
        <v>5539.73</v>
      </c>
    </row>
    <row r="1466" spans="1:4" ht="38.25" x14ac:dyDescent="0.25">
      <c r="A1466" s="104">
        <v>98017</v>
      </c>
      <c r="B1466" s="105" t="s">
        <v>2028</v>
      </c>
      <c r="C1466" s="106" t="s">
        <v>16</v>
      </c>
      <c r="D1466" s="109">
        <v>2123.1999999999998</v>
      </c>
    </row>
    <row r="1467" spans="1:4" ht="38.25" x14ac:dyDescent="0.25">
      <c r="A1467" s="104">
        <v>98018</v>
      </c>
      <c r="B1467" s="105" t="s">
        <v>2029</v>
      </c>
      <c r="C1467" s="106" t="s">
        <v>801</v>
      </c>
      <c r="D1467" s="109">
        <v>6173.28</v>
      </c>
    </row>
    <row r="1468" spans="1:4" ht="38.25" x14ac:dyDescent="0.25">
      <c r="A1468" s="104">
        <v>98019</v>
      </c>
      <c r="B1468" s="105" t="s">
        <v>2030</v>
      </c>
      <c r="C1468" s="106" t="s">
        <v>16</v>
      </c>
      <c r="D1468" s="109">
        <v>2341.98</v>
      </c>
    </row>
    <row r="1469" spans="1:4" ht="38.25" x14ac:dyDescent="0.25">
      <c r="A1469" s="104">
        <v>98020</v>
      </c>
      <c r="B1469" s="105" t="s">
        <v>2031</v>
      </c>
      <c r="C1469" s="106" t="s">
        <v>801</v>
      </c>
      <c r="D1469" s="109">
        <v>4405.17</v>
      </c>
    </row>
    <row r="1470" spans="1:4" ht="38.25" x14ac:dyDescent="0.25">
      <c r="A1470" s="104">
        <v>98021</v>
      </c>
      <c r="B1470" s="105" t="s">
        <v>2032</v>
      </c>
      <c r="C1470" s="106" t="s">
        <v>16</v>
      </c>
      <c r="D1470" s="109">
        <v>1766.07</v>
      </c>
    </row>
    <row r="1471" spans="1:4" ht="38.25" x14ac:dyDescent="0.25">
      <c r="A1471" s="104">
        <v>98022</v>
      </c>
      <c r="B1471" s="105" t="s">
        <v>2033</v>
      </c>
      <c r="C1471" s="106" t="s">
        <v>801</v>
      </c>
      <c r="D1471" s="109">
        <v>5159.8500000000004</v>
      </c>
    </row>
    <row r="1472" spans="1:4" ht="38.25" x14ac:dyDescent="0.25">
      <c r="A1472" s="104">
        <v>98023</v>
      </c>
      <c r="B1472" s="105" t="s">
        <v>2034</v>
      </c>
      <c r="C1472" s="106" t="s">
        <v>16</v>
      </c>
      <c r="D1472" s="109">
        <v>1958.05</v>
      </c>
    </row>
    <row r="1473" spans="1:4" ht="38.25" x14ac:dyDescent="0.25">
      <c r="A1473" s="104">
        <v>98024</v>
      </c>
      <c r="B1473" s="105" t="s">
        <v>2035</v>
      </c>
      <c r="C1473" s="106" t="s">
        <v>801</v>
      </c>
      <c r="D1473" s="109">
        <v>5952.97</v>
      </c>
    </row>
    <row r="1474" spans="1:4" ht="38.25" x14ac:dyDescent="0.25">
      <c r="A1474" s="104">
        <v>98025</v>
      </c>
      <c r="B1474" s="105" t="s">
        <v>2036</v>
      </c>
      <c r="C1474" s="106" t="s">
        <v>16</v>
      </c>
      <c r="D1474" s="109">
        <v>2150</v>
      </c>
    </row>
    <row r="1475" spans="1:4" ht="38.25" x14ac:dyDescent="0.25">
      <c r="A1475" s="104">
        <v>98026</v>
      </c>
      <c r="B1475" s="105" t="s">
        <v>2037</v>
      </c>
      <c r="C1475" s="106" t="s">
        <v>801</v>
      </c>
      <c r="D1475" s="109">
        <v>6712.4</v>
      </c>
    </row>
    <row r="1476" spans="1:4" ht="38.25" x14ac:dyDescent="0.25">
      <c r="A1476" s="104">
        <v>98027</v>
      </c>
      <c r="B1476" s="105" t="s">
        <v>2038</v>
      </c>
      <c r="C1476" s="106" t="s">
        <v>16</v>
      </c>
      <c r="D1476" s="109">
        <v>2341.98</v>
      </c>
    </row>
    <row r="1477" spans="1:4" ht="38.25" x14ac:dyDescent="0.25">
      <c r="A1477" s="104">
        <v>98028</v>
      </c>
      <c r="B1477" s="105" t="s">
        <v>2039</v>
      </c>
      <c r="C1477" s="106" t="s">
        <v>801</v>
      </c>
      <c r="D1477" s="109">
        <v>7471.81</v>
      </c>
    </row>
    <row r="1478" spans="1:4" ht="38.25" x14ac:dyDescent="0.25">
      <c r="A1478" s="104">
        <v>98029</v>
      </c>
      <c r="B1478" s="105" t="s">
        <v>2040</v>
      </c>
      <c r="C1478" s="106" t="s">
        <v>16</v>
      </c>
      <c r="D1478" s="109">
        <v>2539.4899999999998</v>
      </c>
    </row>
    <row r="1479" spans="1:4" ht="38.25" x14ac:dyDescent="0.25">
      <c r="A1479" s="104">
        <v>98030</v>
      </c>
      <c r="B1479" s="105" t="s">
        <v>2041</v>
      </c>
      <c r="C1479" s="106" t="s">
        <v>801</v>
      </c>
      <c r="D1479" s="109">
        <v>6104.35</v>
      </c>
    </row>
    <row r="1480" spans="1:4" ht="38.25" x14ac:dyDescent="0.25">
      <c r="A1480" s="104">
        <v>98031</v>
      </c>
      <c r="B1480" s="105" t="s">
        <v>2042</v>
      </c>
      <c r="C1480" s="106" t="s">
        <v>16</v>
      </c>
      <c r="D1480" s="109">
        <v>2155.61</v>
      </c>
    </row>
    <row r="1481" spans="1:4" ht="38.25" x14ac:dyDescent="0.25">
      <c r="A1481" s="104">
        <v>98032</v>
      </c>
      <c r="B1481" s="105" t="s">
        <v>2043</v>
      </c>
      <c r="C1481" s="106" t="s">
        <v>801</v>
      </c>
      <c r="D1481" s="109">
        <v>7020.13</v>
      </c>
    </row>
    <row r="1482" spans="1:4" ht="38.25" x14ac:dyDescent="0.25">
      <c r="A1482" s="104">
        <v>98033</v>
      </c>
      <c r="B1482" s="105" t="s">
        <v>2044</v>
      </c>
      <c r="C1482" s="106" t="s">
        <v>16</v>
      </c>
      <c r="D1482" s="109">
        <v>2347.59</v>
      </c>
    </row>
    <row r="1483" spans="1:4" ht="38.25" x14ac:dyDescent="0.25">
      <c r="A1483" s="104">
        <v>98034</v>
      </c>
      <c r="B1483" s="105" t="s">
        <v>2045</v>
      </c>
      <c r="C1483" s="106" t="s">
        <v>801</v>
      </c>
      <c r="D1483" s="109">
        <v>7935.94</v>
      </c>
    </row>
    <row r="1484" spans="1:4" ht="38.25" x14ac:dyDescent="0.25">
      <c r="A1484" s="104">
        <v>98035</v>
      </c>
      <c r="B1484" s="105" t="s">
        <v>2046</v>
      </c>
      <c r="C1484" s="106" t="s">
        <v>16</v>
      </c>
      <c r="D1484" s="109">
        <v>2539.4899999999998</v>
      </c>
    </row>
    <row r="1485" spans="1:4" ht="38.25" x14ac:dyDescent="0.25">
      <c r="A1485" s="104">
        <v>98036</v>
      </c>
      <c r="B1485" s="105" t="s">
        <v>2047</v>
      </c>
      <c r="C1485" s="106" t="s">
        <v>801</v>
      </c>
      <c r="D1485" s="107">
        <v>8851.7900000000009</v>
      </c>
    </row>
    <row r="1486" spans="1:4" ht="38.25" x14ac:dyDescent="0.25">
      <c r="A1486" s="104">
        <v>98037</v>
      </c>
      <c r="B1486" s="105" t="s">
        <v>2048</v>
      </c>
      <c r="C1486" s="106" t="s">
        <v>16</v>
      </c>
      <c r="D1486" s="107">
        <v>2737.05</v>
      </c>
    </row>
    <row r="1487" spans="1:4" ht="38.25" x14ac:dyDescent="0.25">
      <c r="A1487" s="104">
        <v>98038</v>
      </c>
      <c r="B1487" s="105" t="s">
        <v>2049</v>
      </c>
      <c r="C1487" s="106" t="s">
        <v>801</v>
      </c>
      <c r="D1487" s="109">
        <v>8121.17</v>
      </c>
    </row>
    <row r="1488" spans="1:4" ht="38.25" x14ac:dyDescent="0.25">
      <c r="A1488" s="104">
        <v>98039</v>
      </c>
      <c r="B1488" s="105" t="s">
        <v>2050</v>
      </c>
      <c r="C1488" s="106" t="s">
        <v>16</v>
      </c>
      <c r="D1488" s="109">
        <v>2545.08</v>
      </c>
    </row>
    <row r="1489" spans="1:4" ht="38.25" x14ac:dyDescent="0.25">
      <c r="A1489" s="104">
        <v>98040</v>
      </c>
      <c r="B1489" s="105" t="s">
        <v>2051</v>
      </c>
      <c r="C1489" s="106" t="s">
        <v>801</v>
      </c>
      <c r="D1489" s="109">
        <v>9176.7999999999993</v>
      </c>
    </row>
    <row r="1490" spans="1:4" ht="38.25" x14ac:dyDescent="0.25">
      <c r="A1490" s="104">
        <v>98041</v>
      </c>
      <c r="B1490" s="105" t="s">
        <v>2052</v>
      </c>
      <c r="C1490" s="106" t="s">
        <v>16</v>
      </c>
      <c r="D1490" s="109">
        <v>2737.05</v>
      </c>
    </row>
    <row r="1491" spans="1:4" ht="38.25" x14ac:dyDescent="0.25">
      <c r="A1491" s="104">
        <v>98042</v>
      </c>
      <c r="B1491" s="105" t="s">
        <v>2053</v>
      </c>
      <c r="C1491" s="106" t="s">
        <v>801</v>
      </c>
      <c r="D1491" s="107">
        <v>10232.39</v>
      </c>
    </row>
    <row r="1492" spans="1:4" ht="38.25" x14ac:dyDescent="0.25">
      <c r="A1492" s="104">
        <v>98043</v>
      </c>
      <c r="B1492" s="105" t="s">
        <v>2054</v>
      </c>
      <c r="C1492" s="106" t="s">
        <v>16</v>
      </c>
      <c r="D1492" s="107">
        <v>2934.6</v>
      </c>
    </row>
    <row r="1493" spans="1:4" ht="38.25" x14ac:dyDescent="0.25">
      <c r="A1493" s="104">
        <v>98044</v>
      </c>
      <c r="B1493" s="105" t="s">
        <v>2055</v>
      </c>
      <c r="C1493" s="106" t="s">
        <v>801</v>
      </c>
      <c r="D1493" s="107">
        <v>10425.790000000001</v>
      </c>
    </row>
    <row r="1494" spans="1:4" ht="38.25" x14ac:dyDescent="0.25">
      <c r="A1494" s="104">
        <v>98045</v>
      </c>
      <c r="B1494" s="105" t="s">
        <v>2056</v>
      </c>
      <c r="C1494" s="106" t="s">
        <v>16</v>
      </c>
      <c r="D1494" s="109">
        <v>2934.6</v>
      </c>
    </row>
    <row r="1495" spans="1:4" ht="38.25" x14ac:dyDescent="0.25">
      <c r="A1495" s="104">
        <v>98046</v>
      </c>
      <c r="B1495" s="105" t="s">
        <v>2057</v>
      </c>
      <c r="C1495" s="106" t="s">
        <v>801</v>
      </c>
      <c r="D1495" s="109">
        <v>11622.37</v>
      </c>
    </row>
    <row r="1496" spans="1:4" ht="38.25" x14ac:dyDescent="0.25">
      <c r="A1496" s="104">
        <v>98047</v>
      </c>
      <c r="B1496" s="105" t="s">
        <v>2058</v>
      </c>
      <c r="C1496" s="106" t="s">
        <v>16</v>
      </c>
      <c r="D1496" s="109">
        <v>3132.17</v>
      </c>
    </row>
    <row r="1497" spans="1:4" ht="38.25" x14ac:dyDescent="0.25">
      <c r="A1497" s="104">
        <v>98048</v>
      </c>
      <c r="B1497" s="105" t="s">
        <v>2059</v>
      </c>
      <c r="C1497" s="106" t="s">
        <v>801</v>
      </c>
      <c r="D1497" s="109">
        <v>13021.85</v>
      </c>
    </row>
    <row r="1498" spans="1:4" ht="38.25" x14ac:dyDescent="0.25">
      <c r="A1498" s="104">
        <v>98049</v>
      </c>
      <c r="B1498" s="105" t="s">
        <v>2060</v>
      </c>
      <c r="C1498" s="106" t="s">
        <v>16</v>
      </c>
      <c r="D1498" s="109">
        <v>3275</v>
      </c>
    </row>
    <row r="1499" spans="1:4" ht="25.5" x14ac:dyDescent="0.25">
      <c r="A1499" s="104">
        <v>98050</v>
      </c>
      <c r="B1499" s="105" t="s">
        <v>2061</v>
      </c>
      <c r="C1499" s="106" t="s">
        <v>16</v>
      </c>
      <c r="D1499" s="109">
        <v>200.41</v>
      </c>
    </row>
    <row r="1500" spans="1:4" ht="38.25" x14ac:dyDescent="0.25">
      <c r="A1500" s="104">
        <v>98051</v>
      </c>
      <c r="B1500" s="105" t="s">
        <v>2062</v>
      </c>
      <c r="C1500" s="106" t="s">
        <v>16</v>
      </c>
      <c r="D1500" s="109">
        <v>710.24</v>
      </c>
    </row>
    <row r="1501" spans="1:4" ht="38.25" x14ac:dyDescent="0.25">
      <c r="A1501" s="104">
        <v>98405</v>
      </c>
      <c r="B1501" s="105" t="s">
        <v>2063</v>
      </c>
      <c r="C1501" s="106" t="s">
        <v>801</v>
      </c>
      <c r="D1501" s="109">
        <v>1852.92</v>
      </c>
    </row>
    <row r="1502" spans="1:4" ht="38.25" x14ac:dyDescent="0.25">
      <c r="A1502" s="104">
        <v>98406</v>
      </c>
      <c r="B1502" s="105" t="s">
        <v>2064</v>
      </c>
      <c r="C1502" s="106" t="s">
        <v>801</v>
      </c>
      <c r="D1502" s="109">
        <v>4447.4799999999996</v>
      </c>
    </row>
    <row r="1503" spans="1:4" ht="38.25" x14ac:dyDescent="0.25">
      <c r="A1503" s="104">
        <v>98407</v>
      </c>
      <c r="B1503" s="105" t="s">
        <v>2065</v>
      </c>
      <c r="C1503" s="106" t="s">
        <v>801</v>
      </c>
      <c r="D1503" s="109">
        <v>2914.34</v>
      </c>
    </row>
    <row r="1504" spans="1:4" ht="38.25" x14ac:dyDescent="0.25">
      <c r="A1504" s="104">
        <v>98408</v>
      </c>
      <c r="B1504" s="105" t="s">
        <v>2066</v>
      </c>
      <c r="C1504" s="106" t="s">
        <v>801</v>
      </c>
      <c r="D1504" s="109">
        <v>3417.38</v>
      </c>
    </row>
    <row r="1505" spans="1:4" ht="25.5" x14ac:dyDescent="0.25">
      <c r="A1505" s="104">
        <v>98409</v>
      </c>
      <c r="B1505" s="105" t="s">
        <v>2067</v>
      </c>
      <c r="C1505" s="106" t="s">
        <v>16</v>
      </c>
      <c r="D1505" s="109">
        <v>305.25</v>
      </c>
    </row>
    <row r="1506" spans="1:4" ht="38.25" x14ac:dyDescent="0.25">
      <c r="A1506" s="104">
        <v>98414</v>
      </c>
      <c r="B1506" s="105" t="s">
        <v>2068</v>
      </c>
      <c r="C1506" s="106" t="s">
        <v>801</v>
      </c>
      <c r="D1506" s="109">
        <v>911.87</v>
      </c>
    </row>
    <row r="1507" spans="1:4" ht="38.25" x14ac:dyDescent="0.25">
      <c r="A1507" s="104">
        <v>98415</v>
      </c>
      <c r="B1507" s="105" t="s">
        <v>2069</v>
      </c>
      <c r="C1507" s="106" t="s">
        <v>801</v>
      </c>
      <c r="D1507" s="109">
        <v>911.87</v>
      </c>
    </row>
    <row r="1508" spans="1:4" ht="38.25" x14ac:dyDescent="0.25">
      <c r="A1508" s="104">
        <v>98416</v>
      </c>
      <c r="B1508" s="105" t="s">
        <v>2070</v>
      </c>
      <c r="C1508" s="106" t="s">
        <v>801</v>
      </c>
      <c r="D1508" s="109">
        <v>1096.6099999999999</v>
      </c>
    </row>
    <row r="1509" spans="1:4" ht="38.25" x14ac:dyDescent="0.25">
      <c r="A1509" s="104">
        <v>98417</v>
      </c>
      <c r="B1509" s="105" t="s">
        <v>2071</v>
      </c>
      <c r="C1509" s="106" t="s">
        <v>801</v>
      </c>
      <c r="D1509" s="109">
        <v>1281.3599999999999</v>
      </c>
    </row>
    <row r="1510" spans="1:4" ht="38.25" x14ac:dyDescent="0.25">
      <c r="A1510" s="104">
        <v>98418</v>
      </c>
      <c r="B1510" s="105" t="s">
        <v>2072</v>
      </c>
      <c r="C1510" s="106" t="s">
        <v>801</v>
      </c>
      <c r="D1510" s="109">
        <v>1381.56</v>
      </c>
    </row>
    <row r="1511" spans="1:4" ht="38.25" x14ac:dyDescent="0.25">
      <c r="A1511" s="104">
        <v>98419</v>
      </c>
      <c r="B1511" s="105" t="s">
        <v>2073</v>
      </c>
      <c r="C1511" s="106" t="s">
        <v>801</v>
      </c>
      <c r="D1511" s="109">
        <v>1481.77</v>
      </c>
    </row>
    <row r="1512" spans="1:4" ht="51" x14ac:dyDescent="0.25">
      <c r="A1512" s="104">
        <v>98420</v>
      </c>
      <c r="B1512" s="105" t="s">
        <v>2074</v>
      </c>
      <c r="C1512" s="106" t="s">
        <v>801</v>
      </c>
      <c r="D1512" s="109">
        <v>1371.68</v>
      </c>
    </row>
    <row r="1513" spans="1:4" ht="51" x14ac:dyDescent="0.25">
      <c r="A1513" s="104">
        <v>98421</v>
      </c>
      <c r="B1513" s="105" t="s">
        <v>2075</v>
      </c>
      <c r="C1513" s="106" t="s">
        <v>801</v>
      </c>
      <c r="D1513" s="107">
        <v>1556.42</v>
      </c>
    </row>
    <row r="1514" spans="1:4" ht="51" x14ac:dyDescent="0.25">
      <c r="A1514" s="104">
        <v>98422</v>
      </c>
      <c r="B1514" s="105" t="s">
        <v>2076</v>
      </c>
      <c r="C1514" s="106" t="s">
        <v>801</v>
      </c>
      <c r="D1514" s="109">
        <v>1741.17</v>
      </c>
    </row>
    <row r="1515" spans="1:4" ht="51" x14ac:dyDescent="0.25">
      <c r="A1515" s="104">
        <v>98423</v>
      </c>
      <c r="B1515" s="105" t="s">
        <v>2077</v>
      </c>
      <c r="C1515" s="106" t="s">
        <v>801</v>
      </c>
      <c r="D1515" s="109">
        <v>1841.37</v>
      </c>
    </row>
    <row r="1516" spans="1:4" ht="51" x14ac:dyDescent="0.25">
      <c r="A1516" s="104">
        <v>98424</v>
      </c>
      <c r="B1516" s="105" t="s">
        <v>2078</v>
      </c>
      <c r="C1516" s="106" t="s">
        <v>801</v>
      </c>
      <c r="D1516" s="109">
        <v>1941.58</v>
      </c>
    </row>
    <row r="1517" spans="1:4" ht="51" x14ac:dyDescent="0.25">
      <c r="A1517" s="104">
        <v>98425</v>
      </c>
      <c r="B1517" s="105" t="s">
        <v>2079</v>
      </c>
      <c r="C1517" s="106" t="s">
        <v>801</v>
      </c>
      <c r="D1517" s="109">
        <v>2189.54</v>
      </c>
    </row>
    <row r="1518" spans="1:4" ht="51" x14ac:dyDescent="0.25">
      <c r="A1518" s="104">
        <v>98426</v>
      </c>
      <c r="B1518" s="105" t="s">
        <v>2080</v>
      </c>
      <c r="C1518" s="106" t="s">
        <v>801</v>
      </c>
      <c r="D1518" s="107">
        <v>2829.84</v>
      </c>
    </row>
    <row r="1519" spans="1:4" ht="51" x14ac:dyDescent="0.25">
      <c r="A1519" s="104">
        <v>98427</v>
      </c>
      <c r="B1519" s="105" t="s">
        <v>2081</v>
      </c>
      <c r="C1519" s="106" t="s">
        <v>801</v>
      </c>
      <c r="D1519" s="109">
        <v>3470.15</v>
      </c>
    </row>
    <row r="1520" spans="1:4" ht="51" x14ac:dyDescent="0.25">
      <c r="A1520" s="104">
        <v>98428</v>
      </c>
      <c r="B1520" s="105" t="s">
        <v>2082</v>
      </c>
      <c r="C1520" s="106" t="s">
        <v>801</v>
      </c>
      <c r="D1520" s="109">
        <v>3825.27</v>
      </c>
    </row>
    <row r="1521" spans="1:4" ht="51" x14ac:dyDescent="0.25">
      <c r="A1521" s="104">
        <v>98429</v>
      </c>
      <c r="B1521" s="105" t="s">
        <v>2083</v>
      </c>
      <c r="C1521" s="106" t="s">
        <v>801</v>
      </c>
      <c r="D1521" s="109">
        <v>4180.3900000000003</v>
      </c>
    </row>
    <row r="1522" spans="1:4" ht="51" x14ac:dyDescent="0.25">
      <c r="A1522" s="104">
        <v>98430</v>
      </c>
      <c r="B1522" s="105" t="s">
        <v>2084</v>
      </c>
      <c r="C1522" s="106" t="s">
        <v>801</v>
      </c>
      <c r="D1522" s="109">
        <v>2649.35</v>
      </c>
    </row>
    <row r="1523" spans="1:4" ht="63.75" x14ac:dyDescent="0.25">
      <c r="A1523" s="104">
        <v>98431</v>
      </c>
      <c r="B1523" s="105" t="s">
        <v>2085</v>
      </c>
      <c r="C1523" s="106" t="s">
        <v>801</v>
      </c>
      <c r="D1523" s="107">
        <v>3289.65</v>
      </c>
    </row>
    <row r="1524" spans="1:4" ht="63.75" x14ac:dyDescent="0.25">
      <c r="A1524" s="104">
        <v>98432</v>
      </c>
      <c r="B1524" s="105" t="s">
        <v>2086</v>
      </c>
      <c r="C1524" s="106" t="s">
        <v>801</v>
      </c>
      <c r="D1524" s="109">
        <v>3929.96</v>
      </c>
    </row>
    <row r="1525" spans="1:4" ht="63.75" x14ac:dyDescent="0.25">
      <c r="A1525" s="104">
        <v>98433</v>
      </c>
      <c r="B1525" s="105" t="s">
        <v>2087</v>
      </c>
      <c r="C1525" s="106" t="s">
        <v>801</v>
      </c>
      <c r="D1525" s="109">
        <v>4285.08</v>
      </c>
    </row>
    <row r="1526" spans="1:4" ht="63.75" x14ac:dyDescent="0.25">
      <c r="A1526" s="104">
        <v>98434</v>
      </c>
      <c r="B1526" s="105" t="s">
        <v>2088</v>
      </c>
      <c r="C1526" s="106" t="s">
        <v>801</v>
      </c>
      <c r="D1526" s="109">
        <v>4640.2</v>
      </c>
    </row>
    <row r="1527" spans="1:4" ht="25.5" x14ac:dyDescent="0.25">
      <c r="A1527" s="104">
        <v>99240</v>
      </c>
      <c r="B1527" s="105" t="s">
        <v>2089</v>
      </c>
      <c r="C1527" s="106" t="s">
        <v>16</v>
      </c>
      <c r="D1527" s="109">
        <v>403.58</v>
      </c>
    </row>
    <row r="1528" spans="1:4" ht="38.25" x14ac:dyDescent="0.25">
      <c r="A1528" s="104">
        <v>99241</v>
      </c>
      <c r="B1528" s="105" t="s">
        <v>2090</v>
      </c>
      <c r="C1528" s="106" t="s">
        <v>16</v>
      </c>
      <c r="D1528" s="109">
        <v>1305.7</v>
      </c>
    </row>
    <row r="1529" spans="1:4" ht="38.25" x14ac:dyDescent="0.25">
      <c r="A1529" s="104">
        <v>99242</v>
      </c>
      <c r="B1529" s="105" t="s">
        <v>2091</v>
      </c>
      <c r="C1529" s="106" t="s">
        <v>801</v>
      </c>
      <c r="D1529" s="109">
        <v>2109.79</v>
      </c>
    </row>
    <row r="1530" spans="1:4" ht="38.25" x14ac:dyDescent="0.25">
      <c r="A1530" s="104">
        <v>99243</v>
      </c>
      <c r="B1530" s="105" t="s">
        <v>2092</v>
      </c>
      <c r="C1530" s="106" t="s">
        <v>16</v>
      </c>
      <c r="D1530" s="109">
        <v>1216.71</v>
      </c>
    </row>
    <row r="1531" spans="1:4" ht="38.25" x14ac:dyDescent="0.25">
      <c r="A1531" s="104">
        <v>99244</v>
      </c>
      <c r="B1531" s="105" t="s">
        <v>2093</v>
      </c>
      <c r="C1531" s="106" t="s">
        <v>801</v>
      </c>
      <c r="D1531" s="109">
        <v>3536.92</v>
      </c>
    </row>
    <row r="1532" spans="1:4" ht="25.5" x14ac:dyDescent="0.25">
      <c r="A1532" s="104">
        <v>99246</v>
      </c>
      <c r="B1532" s="105" t="s">
        <v>2094</v>
      </c>
      <c r="C1532" s="106" t="s">
        <v>16</v>
      </c>
      <c r="D1532" s="109">
        <v>629.84</v>
      </c>
    </row>
    <row r="1533" spans="1:4" ht="38.25" x14ac:dyDescent="0.25">
      <c r="A1533" s="104">
        <v>99247</v>
      </c>
      <c r="B1533" s="105" t="s">
        <v>2095</v>
      </c>
      <c r="C1533" s="106" t="s">
        <v>16</v>
      </c>
      <c r="D1533" s="107">
        <v>1490.35</v>
      </c>
    </row>
    <row r="1534" spans="1:4" ht="38.25" x14ac:dyDescent="0.25">
      <c r="A1534" s="104">
        <v>99248</v>
      </c>
      <c r="B1534" s="105" t="s">
        <v>2096</v>
      </c>
      <c r="C1534" s="106" t="s">
        <v>801</v>
      </c>
      <c r="D1534" s="109">
        <v>2684.23</v>
      </c>
    </row>
    <row r="1535" spans="1:4" ht="38.25" x14ac:dyDescent="0.25">
      <c r="A1535" s="104">
        <v>99249</v>
      </c>
      <c r="B1535" s="105" t="s">
        <v>2097</v>
      </c>
      <c r="C1535" s="106" t="s">
        <v>16</v>
      </c>
      <c r="D1535" s="109">
        <v>1490.76</v>
      </c>
    </row>
    <row r="1536" spans="1:4" ht="38.25" x14ac:dyDescent="0.25">
      <c r="A1536" s="104">
        <v>99252</v>
      </c>
      <c r="B1536" s="105" t="s">
        <v>2098</v>
      </c>
      <c r="C1536" s="106" t="s">
        <v>801</v>
      </c>
      <c r="D1536" s="109">
        <v>1855.91</v>
      </c>
    </row>
    <row r="1537" spans="1:4" ht="38.25" x14ac:dyDescent="0.25">
      <c r="A1537" s="104">
        <v>99254</v>
      </c>
      <c r="B1537" s="105" t="s">
        <v>2099</v>
      </c>
      <c r="C1537" s="106" t="s">
        <v>16</v>
      </c>
      <c r="D1537" s="109">
        <v>936.34</v>
      </c>
    </row>
    <row r="1538" spans="1:4" ht="51" x14ac:dyDescent="0.25">
      <c r="A1538" s="104">
        <v>99256</v>
      </c>
      <c r="B1538" s="105" t="s">
        <v>2100</v>
      </c>
      <c r="C1538" s="106" t="s">
        <v>801</v>
      </c>
      <c r="D1538" s="107">
        <v>4152.0200000000004</v>
      </c>
    </row>
    <row r="1539" spans="1:4" ht="38.25" x14ac:dyDescent="0.25">
      <c r="A1539" s="104">
        <v>99259</v>
      </c>
      <c r="B1539" s="105" t="s">
        <v>2101</v>
      </c>
      <c r="C1539" s="106" t="s">
        <v>801</v>
      </c>
      <c r="D1539" s="109">
        <v>2344.92</v>
      </c>
    </row>
    <row r="1540" spans="1:4" ht="38.25" x14ac:dyDescent="0.25">
      <c r="A1540" s="104">
        <v>99261</v>
      </c>
      <c r="B1540" s="105" t="s">
        <v>2102</v>
      </c>
      <c r="C1540" s="106" t="s">
        <v>16</v>
      </c>
      <c r="D1540" s="109">
        <v>1121.03</v>
      </c>
    </row>
    <row r="1541" spans="1:4" ht="38.25" x14ac:dyDescent="0.25">
      <c r="A1541" s="104">
        <v>99263</v>
      </c>
      <c r="B1541" s="105" t="s">
        <v>2103</v>
      </c>
      <c r="C1541" s="106" t="s">
        <v>16</v>
      </c>
      <c r="D1541" s="109">
        <v>1675.06</v>
      </c>
    </row>
    <row r="1542" spans="1:4" ht="38.25" x14ac:dyDescent="0.25">
      <c r="A1542" s="104">
        <v>99265</v>
      </c>
      <c r="B1542" s="105" t="s">
        <v>2104</v>
      </c>
      <c r="C1542" s="106" t="s">
        <v>801</v>
      </c>
      <c r="D1542" s="109">
        <v>2833.84</v>
      </c>
    </row>
    <row r="1543" spans="1:4" ht="38.25" x14ac:dyDescent="0.25">
      <c r="A1543" s="104">
        <v>99266</v>
      </c>
      <c r="B1543" s="105" t="s">
        <v>2105</v>
      </c>
      <c r="C1543" s="106" t="s">
        <v>16</v>
      </c>
      <c r="D1543" s="107">
        <v>1305.7</v>
      </c>
    </row>
    <row r="1544" spans="1:4" ht="38.25" x14ac:dyDescent="0.25">
      <c r="A1544" s="104">
        <v>99267</v>
      </c>
      <c r="B1544" s="105" t="s">
        <v>2106</v>
      </c>
      <c r="C1544" s="106" t="s">
        <v>801</v>
      </c>
      <c r="D1544" s="109">
        <v>3322.8</v>
      </c>
    </row>
    <row r="1545" spans="1:4" ht="38.25" x14ac:dyDescent="0.25">
      <c r="A1545" s="104">
        <v>99269</v>
      </c>
      <c r="B1545" s="105" t="s">
        <v>2107</v>
      </c>
      <c r="C1545" s="106" t="s">
        <v>16</v>
      </c>
      <c r="D1545" s="109">
        <v>1490.35</v>
      </c>
    </row>
    <row r="1546" spans="1:4" ht="38.25" x14ac:dyDescent="0.25">
      <c r="A1546" s="104">
        <v>99271</v>
      </c>
      <c r="B1546" s="105" t="s">
        <v>2108</v>
      </c>
      <c r="C1546" s="106" t="s">
        <v>801</v>
      </c>
      <c r="D1546" s="109">
        <v>4767.0600000000004</v>
      </c>
    </row>
    <row r="1547" spans="1:4" ht="38.25" x14ac:dyDescent="0.25">
      <c r="A1547" s="104">
        <v>99272</v>
      </c>
      <c r="B1547" s="105" t="s">
        <v>2109</v>
      </c>
      <c r="C1547" s="106" t="s">
        <v>801</v>
      </c>
      <c r="D1547" s="107">
        <v>778.1</v>
      </c>
    </row>
    <row r="1548" spans="1:4" ht="38.25" x14ac:dyDescent="0.25">
      <c r="A1548" s="104">
        <v>99273</v>
      </c>
      <c r="B1548" s="105" t="s">
        <v>2110</v>
      </c>
      <c r="C1548" s="106" t="s">
        <v>801</v>
      </c>
      <c r="D1548" s="109">
        <v>1123.9000000000001</v>
      </c>
    </row>
    <row r="1549" spans="1:4" ht="38.25" x14ac:dyDescent="0.25">
      <c r="A1549" s="104">
        <v>99274</v>
      </c>
      <c r="B1549" s="105" t="s">
        <v>2111</v>
      </c>
      <c r="C1549" s="106" t="s">
        <v>801</v>
      </c>
      <c r="D1549" s="109">
        <v>3833.14</v>
      </c>
    </row>
    <row r="1550" spans="1:4" ht="38.25" x14ac:dyDescent="0.25">
      <c r="A1550" s="104">
        <v>99276</v>
      </c>
      <c r="B1550" s="105" t="s">
        <v>2112</v>
      </c>
      <c r="C1550" s="106" t="s">
        <v>16</v>
      </c>
      <c r="D1550" s="109">
        <v>1859.73</v>
      </c>
    </row>
    <row r="1551" spans="1:4" ht="38.25" x14ac:dyDescent="0.25">
      <c r="A1551" s="104">
        <v>99277</v>
      </c>
      <c r="B1551" s="105" t="s">
        <v>2113</v>
      </c>
      <c r="C1551" s="106" t="s">
        <v>16</v>
      </c>
      <c r="D1551" s="109">
        <v>1675.06</v>
      </c>
    </row>
    <row r="1552" spans="1:4" ht="25.5" x14ac:dyDescent="0.25">
      <c r="A1552" s="104">
        <v>99278</v>
      </c>
      <c r="B1552" s="105" t="s">
        <v>2114</v>
      </c>
      <c r="C1552" s="106" t="s">
        <v>16</v>
      </c>
      <c r="D1552" s="109">
        <v>299.51</v>
      </c>
    </row>
    <row r="1553" spans="1:4" ht="38.25" x14ac:dyDescent="0.25">
      <c r="A1553" s="104">
        <v>99279</v>
      </c>
      <c r="B1553" s="105" t="s">
        <v>2115</v>
      </c>
      <c r="C1553" s="106" t="s">
        <v>801</v>
      </c>
      <c r="D1553" s="109">
        <v>4324.75</v>
      </c>
    </row>
    <row r="1554" spans="1:4" ht="38.25" x14ac:dyDescent="0.25">
      <c r="A1554" s="104">
        <v>99280</v>
      </c>
      <c r="B1554" s="105" t="s">
        <v>2116</v>
      </c>
      <c r="C1554" s="106" t="s">
        <v>801</v>
      </c>
      <c r="D1554" s="109">
        <v>1450.28</v>
      </c>
    </row>
    <row r="1555" spans="1:4" ht="38.25" x14ac:dyDescent="0.25">
      <c r="A1555" s="104">
        <v>99281</v>
      </c>
      <c r="B1555" s="105" t="s">
        <v>2117</v>
      </c>
      <c r="C1555" s="106" t="s">
        <v>16</v>
      </c>
      <c r="D1555" s="109">
        <v>1859.73</v>
      </c>
    </row>
    <row r="1556" spans="1:4" ht="38.25" x14ac:dyDescent="0.25">
      <c r="A1556" s="104">
        <v>99282</v>
      </c>
      <c r="B1556" s="105" t="s">
        <v>2118</v>
      </c>
      <c r="C1556" s="106" t="s">
        <v>16</v>
      </c>
      <c r="D1556" s="109">
        <v>2071.5</v>
      </c>
    </row>
    <row r="1557" spans="1:4" ht="38.25" x14ac:dyDescent="0.25">
      <c r="A1557" s="104">
        <v>99283</v>
      </c>
      <c r="B1557" s="105" t="s">
        <v>2119</v>
      </c>
      <c r="C1557" s="106" t="s">
        <v>16</v>
      </c>
      <c r="D1557" s="109">
        <v>851.28</v>
      </c>
    </row>
    <row r="1558" spans="1:4" ht="51" x14ac:dyDescent="0.25">
      <c r="A1558" s="104">
        <v>99284</v>
      </c>
      <c r="B1558" s="105" t="s">
        <v>2120</v>
      </c>
      <c r="C1558" s="106" t="s">
        <v>801</v>
      </c>
      <c r="D1558" s="109">
        <v>5382.21</v>
      </c>
    </row>
    <row r="1559" spans="1:4" ht="38.25" x14ac:dyDescent="0.25">
      <c r="A1559" s="104">
        <v>99286</v>
      </c>
      <c r="B1559" s="105" t="s">
        <v>2121</v>
      </c>
      <c r="C1559" s="106" t="s">
        <v>801</v>
      </c>
      <c r="D1559" s="109">
        <v>4816.46</v>
      </c>
    </row>
    <row r="1560" spans="1:4" ht="38.25" x14ac:dyDescent="0.25">
      <c r="A1560" s="104">
        <v>99287</v>
      </c>
      <c r="B1560" s="105" t="s">
        <v>2122</v>
      </c>
      <c r="C1560" s="106" t="s">
        <v>801</v>
      </c>
      <c r="D1560" s="109">
        <v>6808.92</v>
      </c>
    </row>
    <row r="1561" spans="1:4" ht="25.5" x14ac:dyDescent="0.25">
      <c r="A1561" s="104">
        <v>99288</v>
      </c>
      <c r="B1561" s="105" t="s">
        <v>2123</v>
      </c>
      <c r="C1561" s="106" t="s">
        <v>16</v>
      </c>
      <c r="D1561" s="109">
        <v>361.96</v>
      </c>
    </row>
    <row r="1562" spans="1:4" ht="38.25" x14ac:dyDescent="0.25">
      <c r="A1562" s="104">
        <v>99289</v>
      </c>
      <c r="B1562" s="105" t="s">
        <v>2124</v>
      </c>
      <c r="C1562" s="106" t="s">
        <v>16</v>
      </c>
      <c r="D1562" s="109">
        <v>2044.4</v>
      </c>
    </row>
    <row r="1563" spans="1:4" ht="51" x14ac:dyDescent="0.25">
      <c r="A1563" s="104">
        <v>99290</v>
      </c>
      <c r="B1563" s="105" t="s">
        <v>2125</v>
      </c>
      <c r="C1563" s="106" t="s">
        <v>801</v>
      </c>
      <c r="D1563" s="109">
        <v>2904.95</v>
      </c>
    </row>
    <row r="1564" spans="1:4" ht="38.25" x14ac:dyDescent="0.25">
      <c r="A1564" s="104">
        <v>99291</v>
      </c>
      <c r="B1564" s="105" t="s">
        <v>2126</v>
      </c>
      <c r="C1564" s="106" t="s">
        <v>16</v>
      </c>
      <c r="D1564" s="109">
        <v>2044.4</v>
      </c>
    </row>
    <row r="1565" spans="1:4" ht="38.25" x14ac:dyDescent="0.25">
      <c r="A1565" s="104">
        <v>99292</v>
      </c>
      <c r="B1565" s="105" t="s">
        <v>2127</v>
      </c>
      <c r="C1565" s="106" t="s">
        <v>801</v>
      </c>
      <c r="D1565" s="109">
        <v>1782.58</v>
      </c>
    </row>
    <row r="1566" spans="1:4" ht="38.25" x14ac:dyDescent="0.25">
      <c r="A1566" s="104">
        <v>99293</v>
      </c>
      <c r="B1566" s="105" t="s">
        <v>2128</v>
      </c>
      <c r="C1566" s="106" t="s">
        <v>16</v>
      </c>
      <c r="D1566" s="109">
        <v>1033.99</v>
      </c>
    </row>
    <row r="1567" spans="1:4" ht="38.25" x14ac:dyDescent="0.25">
      <c r="A1567" s="104">
        <v>99294</v>
      </c>
      <c r="B1567" s="105" t="s">
        <v>2129</v>
      </c>
      <c r="C1567" s="106" t="s">
        <v>801</v>
      </c>
      <c r="D1567" s="109">
        <v>5997.29</v>
      </c>
    </row>
    <row r="1568" spans="1:4" ht="38.25" x14ac:dyDescent="0.25">
      <c r="A1568" s="104">
        <v>99296</v>
      </c>
      <c r="B1568" s="105" t="s">
        <v>2130</v>
      </c>
      <c r="C1568" s="106" t="s">
        <v>16</v>
      </c>
      <c r="D1568" s="109">
        <v>2256.1799999999998</v>
      </c>
    </row>
    <row r="1569" spans="1:4" ht="38.25" x14ac:dyDescent="0.25">
      <c r="A1569" s="104">
        <v>99297</v>
      </c>
      <c r="B1569" s="105" t="s">
        <v>2131</v>
      </c>
      <c r="C1569" s="106" t="s">
        <v>16</v>
      </c>
      <c r="D1569" s="109">
        <v>2251.4899999999998</v>
      </c>
    </row>
    <row r="1570" spans="1:4" ht="51" x14ac:dyDescent="0.25">
      <c r="A1570" s="104">
        <v>99298</v>
      </c>
      <c r="B1570" s="105" t="s">
        <v>2132</v>
      </c>
      <c r="C1570" s="106" t="s">
        <v>801</v>
      </c>
      <c r="D1570" s="109">
        <v>7695.52</v>
      </c>
    </row>
    <row r="1571" spans="1:4" ht="38.25" x14ac:dyDescent="0.25">
      <c r="A1571" s="104">
        <v>99299</v>
      </c>
      <c r="B1571" s="105" t="s">
        <v>2133</v>
      </c>
      <c r="C1571" s="106" t="s">
        <v>16</v>
      </c>
      <c r="D1571" s="109">
        <v>2440.79</v>
      </c>
    </row>
    <row r="1572" spans="1:4" ht="38.25" x14ac:dyDescent="0.25">
      <c r="A1572" s="104">
        <v>99300</v>
      </c>
      <c r="B1572" s="105" t="s">
        <v>2134</v>
      </c>
      <c r="C1572" s="106" t="s">
        <v>801</v>
      </c>
      <c r="D1572" s="109">
        <v>8582.15</v>
      </c>
    </row>
    <row r="1573" spans="1:4" ht="38.25" x14ac:dyDescent="0.25">
      <c r="A1573" s="104">
        <v>99301</v>
      </c>
      <c r="B1573" s="105" t="s">
        <v>2135</v>
      </c>
      <c r="C1573" s="106" t="s">
        <v>801</v>
      </c>
      <c r="D1573" s="109">
        <v>4278.93</v>
      </c>
    </row>
    <row r="1574" spans="1:4" ht="38.25" x14ac:dyDescent="0.25">
      <c r="A1574" s="104">
        <v>99302</v>
      </c>
      <c r="B1574" s="105" t="s">
        <v>2136</v>
      </c>
      <c r="C1574" s="106" t="s">
        <v>16</v>
      </c>
      <c r="D1574" s="109">
        <v>2630.14</v>
      </c>
    </row>
    <row r="1575" spans="1:4" ht="38.25" x14ac:dyDescent="0.25">
      <c r="A1575" s="104">
        <v>99303</v>
      </c>
      <c r="B1575" s="105" t="s">
        <v>2137</v>
      </c>
      <c r="C1575" s="106" t="s">
        <v>801</v>
      </c>
      <c r="D1575" s="107">
        <v>7872.25</v>
      </c>
    </row>
    <row r="1576" spans="1:4" ht="38.25" x14ac:dyDescent="0.25">
      <c r="A1576" s="104">
        <v>99304</v>
      </c>
      <c r="B1576" s="105" t="s">
        <v>2138</v>
      </c>
      <c r="C1576" s="106" t="s">
        <v>16</v>
      </c>
      <c r="D1576" s="107">
        <v>2445.4699999999998</v>
      </c>
    </row>
    <row r="1577" spans="1:4" ht="38.25" x14ac:dyDescent="0.25">
      <c r="A1577" s="104">
        <v>99305</v>
      </c>
      <c r="B1577" s="105" t="s">
        <v>2139</v>
      </c>
      <c r="C1577" s="106" t="s">
        <v>801</v>
      </c>
      <c r="D1577" s="109">
        <v>8893.4699999999993</v>
      </c>
    </row>
    <row r="1578" spans="1:4" ht="38.25" x14ac:dyDescent="0.25">
      <c r="A1578" s="104">
        <v>99306</v>
      </c>
      <c r="B1578" s="105" t="s">
        <v>2140</v>
      </c>
      <c r="C1578" s="106" t="s">
        <v>16</v>
      </c>
      <c r="D1578" s="109">
        <v>2630.14</v>
      </c>
    </row>
    <row r="1579" spans="1:4" ht="38.25" x14ac:dyDescent="0.25">
      <c r="A1579" s="104">
        <v>99307</v>
      </c>
      <c r="B1579" s="105" t="s">
        <v>2141</v>
      </c>
      <c r="C1579" s="106" t="s">
        <v>16</v>
      </c>
      <c r="D1579" s="109">
        <v>1697.47</v>
      </c>
    </row>
    <row r="1580" spans="1:4" ht="38.25" x14ac:dyDescent="0.25">
      <c r="A1580" s="104">
        <v>99308</v>
      </c>
      <c r="B1580" s="105" t="s">
        <v>2142</v>
      </c>
      <c r="C1580" s="106" t="s">
        <v>801</v>
      </c>
      <c r="D1580" s="109">
        <v>9914.66</v>
      </c>
    </row>
    <row r="1581" spans="1:4" ht="38.25" x14ac:dyDescent="0.25">
      <c r="A1581" s="104">
        <v>99309</v>
      </c>
      <c r="B1581" s="105" t="s">
        <v>2143</v>
      </c>
      <c r="C1581" s="106" t="s">
        <v>16</v>
      </c>
      <c r="D1581" s="109">
        <v>2819.47</v>
      </c>
    </row>
    <row r="1582" spans="1:4" ht="51" x14ac:dyDescent="0.25">
      <c r="A1582" s="104">
        <v>99310</v>
      </c>
      <c r="B1582" s="105" t="s">
        <v>2144</v>
      </c>
      <c r="C1582" s="106" t="s">
        <v>801</v>
      </c>
      <c r="D1582" s="109">
        <v>10098.91</v>
      </c>
    </row>
    <row r="1583" spans="1:4" ht="38.25" x14ac:dyDescent="0.25">
      <c r="A1583" s="104">
        <v>99311</v>
      </c>
      <c r="B1583" s="105" t="s">
        <v>2145</v>
      </c>
      <c r="C1583" s="106" t="s">
        <v>16</v>
      </c>
      <c r="D1583" s="109">
        <v>2819.47</v>
      </c>
    </row>
    <row r="1584" spans="1:4" ht="38.25" x14ac:dyDescent="0.25">
      <c r="A1584" s="104">
        <v>99312</v>
      </c>
      <c r="B1584" s="105" t="s">
        <v>2146</v>
      </c>
      <c r="C1584" s="106" t="s">
        <v>801</v>
      </c>
      <c r="D1584" s="109">
        <v>5011.07</v>
      </c>
    </row>
    <row r="1585" spans="1:4" ht="38.25" x14ac:dyDescent="0.25">
      <c r="A1585" s="104">
        <v>99313</v>
      </c>
      <c r="B1585" s="105" t="s">
        <v>2147</v>
      </c>
      <c r="C1585" s="106" t="s">
        <v>801</v>
      </c>
      <c r="D1585" s="107">
        <v>11255.79</v>
      </c>
    </row>
    <row r="1586" spans="1:4" ht="38.25" x14ac:dyDescent="0.25">
      <c r="A1586" s="104">
        <v>99314</v>
      </c>
      <c r="B1586" s="105" t="s">
        <v>2148</v>
      </c>
      <c r="C1586" s="106" t="s">
        <v>16</v>
      </c>
      <c r="D1586" s="107">
        <v>3008.83</v>
      </c>
    </row>
    <row r="1587" spans="1:4" ht="38.25" x14ac:dyDescent="0.25">
      <c r="A1587" s="104">
        <v>99315</v>
      </c>
      <c r="B1587" s="105" t="s">
        <v>2149</v>
      </c>
      <c r="C1587" s="106" t="s">
        <v>801</v>
      </c>
      <c r="D1587" s="107">
        <v>12605.67</v>
      </c>
    </row>
    <row r="1588" spans="1:4" ht="38.25" x14ac:dyDescent="0.25">
      <c r="A1588" s="104">
        <v>99317</v>
      </c>
      <c r="B1588" s="105" t="s">
        <v>2150</v>
      </c>
      <c r="C1588" s="106" t="s">
        <v>16</v>
      </c>
      <c r="D1588" s="107">
        <v>1882.15</v>
      </c>
    </row>
    <row r="1589" spans="1:4" ht="25.5" x14ac:dyDescent="0.25">
      <c r="A1589" s="104">
        <v>99318</v>
      </c>
      <c r="B1589" s="105" t="s">
        <v>2151</v>
      </c>
      <c r="C1589" s="106" t="s">
        <v>16</v>
      </c>
      <c r="D1589" s="107">
        <v>197.83</v>
      </c>
    </row>
    <row r="1590" spans="1:4" ht="38.25" x14ac:dyDescent="0.25">
      <c r="A1590" s="104">
        <v>99319</v>
      </c>
      <c r="B1590" s="105" t="s">
        <v>2152</v>
      </c>
      <c r="C1590" s="106" t="s">
        <v>16</v>
      </c>
      <c r="D1590" s="107">
        <v>667.86</v>
      </c>
    </row>
    <row r="1591" spans="1:4" ht="38.25" x14ac:dyDescent="0.25">
      <c r="A1591" s="104">
        <v>99320</v>
      </c>
      <c r="B1591" s="105" t="s">
        <v>2153</v>
      </c>
      <c r="C1591" s="106" t="s">
        <v>801</v>
      </c>
      <c r="D1591" s="107">
        <v>5781.64</v>
      </c>
    </row>
    <row r="1592" spans="1:4" ht="38.25" x14ac:dyDescent="0.25">
      <c r="A1592" s="104">
        <v>99321</v>
      </c>
      <c r="B1592" s="105" t="s">
        <v>2154</v>
      </c>
      <c r="C1592" s="106" t="s">
        <v>16</v>
      </c>
      <c r="D1592" s="107">
        <v>2066.81</v>
      </c>
    </row>
    <row r="1593" spans="1:4" ht="38.25" x14ac:dyDescent="0.25">
      <c r="A1593" s="104">
        <v>99322</v>
      </c>
      <c r="B1593" s="105" t="s">
        <v>2155</v>
      </c>
      <c r="C1593" s="106" t="s">
        <v>801</v>
      </c>
      <c r="D1593" s="107">
        <v>6518.52</v>
      </c>
    </row>
    <row r="1594" spans="1:4" ht="38.25" x14ac:dyDescent="0.25">
      <c r="A1594" s="104">
        <v>99323</v>
      </c>
      <c r="B1594" s="105" t="s">
        <v>2156</v>
      </c>
      <c r="C1594" s="106" t="s">
        <v>16</v>
      </c>
      <c r="D1594" s="107">
        <v>2251.4899999999998</v>
      </c>
    </row>
    <row r="1595" spans="1:4" ht="38.25" x14ac:dyDescent="0.25">
      <c r="A1595" s="104">
        <v>99324</v>
      </c>
      <c r="B1595" s="105" t="s">
        <v>2157</v>
      </c>
      <c r="C1595" s="106" t="s">
        <v>801</v>
      </c>
      <c r="D1595" s="107">
        <v>7255.4</v>
      </c>
    </row>
    <row r="1596" spans="1:4" ht="38.25" x14ac:dyDescent="0.25">
      <c r="A1596" s="104">
        <v>99325</v>
      </c>
      <c r="B1596" s="105" t="s">
        <v>2158</v>
      </c>
      <c r="C1596" s="106" t="s">
        <v>16</v>
      </c>
      <c r="D1596" s="107">
        <v>2440.79</v>
      </c>
    </row>
    <row r="1597" spans="1:4" ht="51" x14ac:dyDescent="0.25">
      <c r="A1597" s="104">
        <v>99326</v>
      </c>
      <c r="B1597" s="105" t="s">
        <v>2159</v>
      </c>
      <c r="C1597" s="106" t="s">
        <v>801</v>
      </c>
      <c r="D1597" s="107">
        <v>5922.35</v>
      </c>
    </row>
    <row r="1598" spans="1:4" ht="38.25" x14ac:dyDescent="0.25">
      <c r="A1598" s="104">
        <v>99327</v>
      </c>
      <c r="B1598" s="105" t="s">
        <v>2160</v>
      </c>
      <c r="C1598" s="106" t="s">
        <v>16</v>
      </c>
      <c r="D1598" s="107">
        <v>3152.4</v>
      </c>
    </row>
    <row r="1599" spans="1:4" ht="25.5" x14ac:dyDescent="0.25">
      <c r="A1599" s="104">
        <v>94263</v>
      </c>
      <c r="B1599" s="105" t="s">
        <v>2161</v>
      </c>
      <c r="C1599" s="106" t="s">
        <v>16</v>
      </c>
      <c r="D1599" s="107">
        <v>24.43</v>
      </c>
    </row>
    <row r="1600" spans="1:4" ht="25.5" x14ac:dyDescent="0.25">
      <c r="A1600" s="104">
        <v>94264</v>
      </c>
      <c r="B1600" s="105" t="s">
        <v>2162</v>
      </c>
      <c r="C1600" s="106" t="s">
        <v>16</v>
      </c>
      <c r="D1600" s="107">
        <v>27.01</v>
      </c>
    </row>
    <row r="1601" spans="1:4" ht="25.5" x14ac:dyDescent="0.25">
      <c r="A1601" s="104">
        <v>94265</v>
      </c>
      <c r="B1601" s="105" t="s">
        <v>2163</v>
      </c>
      <c r="C1601" s="106" t="s">
        <v>16</v>
      </c>
      <c r="D1601" s="107">
        <v>32.64</v>
      </c>
    </row>
    <row r="1602" spans="1:4" ht="25.5" x14ac:dyDescent="0.25">
      <c r="A1602" s="104">
        <v>94266</v>
      </c>
      <c r="B1602" s="105" t="s">
        <v>2164</v>
      </c>
      <c r="C1602" s="106" t="s">
        <v>16</v>
      </c>
      <c r="D1602" s="107">
        <v>35.6</v>
      </c>
    </row>
    <row r="1603" spans="1:4" ht="51" x14ac:dyDescent="0.25">
      <c r="A1603" s="104">
        <v>94267</v>
      </c>
      <c r="B1603" s="105" t="s">
        <v>2165</v>
      </c>
      <c r="C1603" s="106" t="s">
        <v>16</v>
      </c>
      <c r="D1603" s="107">
        <v>38.97</v>
      </c>
    </row>
    <row r="1604" spans="1:4" ht="51" x14ac:dyDescent="0.25">
      <c r="A1604" s="104">
        <v>94268</v>
      </c>
      <c r="B1604" s="105" t="s">
        <v>2166</v>
      </c>
      <c r="C1604" s="106" t="s">
        <v>16</v>
      </c>
      <c r="D1604" s="107">
        <v>42.21</v>
      </c>
    </row>
    <row r="1605" spans="1:4" ht="51" x14ac:dyDescent="0.25">
      <c r="A1605" s="104">
        <v>94269</v>
      </c>
      <c r="B1605" s="105" t="s">
        <v>2167</v>
      </c>
      <c r="C1605" s="106" t="s">
        <v>16</v>
      </c>
      <c r="D1605" s="107">
        <v>56.21</v>
      </c>
    </row>
    <row r="1606" spans="1:4" ht="38.25" x14ac:dyDescent="0.25">
      <c r="A1606" s="104">
        <v>94270</v>
      </c>
      <c r="B1606" s="105" t="s">
        <v>2168</v>
      </c>
      <c r="C1606" s="106" t="s">
        <v>16</v>
      </c>
      <c r="D1606" s="107">
        <v>60.75</v>
      </c>
    </row>
    <row r="1607" spans="1:4" ht="51" x14ac:dyDescent="0.25">
      <c r="A1607" s="104">
        <v>94271</v>
      </c>
      <c r="B1607" s="105" t="s">
        <v>2169</v>
      </c>
      <c r="C1607" s="106" t="s">
        <v>16</v>
      </c>
      <c r="D1607" s="107">
        <v>68.62</v>
      </c>
    </row>
    <row r="1608" spans="1:4" ht="51" x14ac:dyDescent="0.25">
      <c r="A1608" s="104">
        <v>94272</v>
      </c>
      <c r="B1608" s="105" t="s">
        <v>2170</v>
      </c>
      <c r="C1608" s="106" t="s">
        <v>16</v>
      </c>
      <c r="D1608" s="107">
        <v>74.67</v>
      </c>
    </row>
    <row r="1609" spans="1:4" ht="51" x14ac:dyDescent="0.25">
      <c r="A1609" s="104">
        <v>94273</v>
      </c>
      <c r="B1609" s="105" t="s">
        <v>353</v>
      </c>
      <c r="C1609" s="106" t="s">
        <v>16</v>
      </c>
      <c r="D1609" s="107">
        <v>39.049999999999997</v>
      </c>
    </row>
    <row r="1610" spans="1:4" ht="51" x14ac:dyDescent="0.25">
      <c r="A1610" s="104">
        <v>94274</v>
      </c>
      <c r="B1610" s="105" t="s">
        <v>335</v>
      </c>
      <c r="C1610" s="106" t="s">
        <v>16</v>
      </c>
      <c r="D1610" s="107">
        <v>41.91</v>
      </c>
    </row>
    <row r="1611" spans="1:4" ht="63.75" x14ac:dyDescent="0.25">
      <c r="A1611" s="104">
        <v>94275</v>
      </c>
      <c r="B1611" s="105" t="s">
        <v>2171</v>
      </c>
      <c r="C1611" s="106" t="s">
        <v>16</v>
      </c>
      <c r="D1611" s="107">
        <v>37.53</v>
      </c>
    </row>
    <row r="1612" spans="1:4" ht="63.75" x14ac:dyDescent="0.25">
      <c r="A1612" s="104">
        <v>94276</v>
      </c>
      <c r="B1612" s="105" t="s">
        <v>2172</v>
      </c>
      <c r="C1612" s="106" t="s">
        <v>16</v>
      </c>
      <c r="D1612" s="107">
        <v>40.39</v>
      </c>
    </row>
    <row r="1613" spans="1:4" ht="25.5" x14ac:dyDescent="0.25">
      <c r="A1613" s="104">
        <v>94281</v>
      </c>
      <c r="B1613" s="105" t="s">
        <v>2173</v>
      </c>
      <c r="C1613" s="106" t="s">
        <v>16</v>
      </c>
      <c r="D1613" s="107">
        <v>38.64</v>
      </c>
    </row>
    <row r="1614" spans="1:4" ht="25.5" x14ac:dyDescent="0.25">
      <c r="A1614" s="104">
        <v>94282</v>
      </c>
      <c r="B1614" s="105" t="s">
        <v>2174</v>
      </c>
      <c r="C1614" s="106" t="s">
        <v>16</v>
      </c>
      <c r="D1614" s="107">
        <v>47.35</v>
      </c>
    </row>
    <row r="1615" spans="1:4" ht="25.5" x14ac:dyDescent="0.25">
      <c r="A1615" s="104">
        <v>94283</v>
      </c>
      <c r="B1615" s="105" t="s">
        <v>2175</v>
      </c>
      <c r="C1615" s="106" t="s">
        <v>16</v>
      </c>
      <c r="D1615" s="107">
        <v>50.67</v>
      </c>
    </row>
    <row r="1616" spans="1:4" ht="25.5" x14ac:dyDescent="0.25">
      <c r="A1616" s="104">
        <v>94284</v>
      </c>
      <c r="B1616" s="105" t="s">
        <v>2176</v>
      </c>
      <c r="C1616" s="106" t="s">
        <v>16</v>
      </c>
      <c r="D1616" s="107">
        <v>59.37</v>
      </c>
    </row>
    <row r="1617" spans="1:4" ht="25.5" x14ac:dyDescent="0.25">
      <c r="A1617" s="104">
        <v>94285</v>
      </c>
      <c r="B1617" s="105" t="s">
        <v>2177</v>
      </c>
      <c r="C1617" s="106" t="s">
        <v>16</v>
      </c>
      <c r="D1617" s="107">
        <v>62.29</v>
      </c>
    </row>
    <row r="1618" spans="1:4" ht="25.5" x14ac:dyDescent="0.25">
      <c r="A1618" s="104">
        <v>94286</v>
      </c>
      <c r="B1618" s="105" t="s">
        <v>2178</v>
      </c>
      <c r="C1618" s="106" t="s">
        <v>16</v>
      </c>
      <c r="D1618" s="107">
        <v>70.989999999999995</v>
      </c>
    </row>
    <row r="1619" spans="1:4" ht="25.5" x14ac:dyDescent="0.25">
      <c r="A1619" s="104">
        <v>94287</v>
      </c>
      <c r="B1619" s="105" t="s">
        <v>2179</v>
      </c>
      <c r="C1619" s="106" t="s">
        <v>16</v>
      </c>
      <c r="D1619" s="107">
        <v>29.89</v>
      </c>
    </row>
    <row r="1620" spans="1:4" ht="25.5" x14ac:dyDescent="0.25">
      <c r="A1620" s="104">
        <v>94288</v>
      </c>
      <c r="B1620" s="105" t="s">
        <v>2180</v>
      </c>
      <c r="C1620" s="106" t="s">
        <v>16</v>
      </c>
      <c r="D1620" s="107">
        <v>37.5</v>
      </c>
    </row>
    <row r="1621" spans="1:4" ht="25.5" x14ac:dyDescent="0.25">
      <c r="A1621" s="104">
        <v>94289</v>
      </c>
      <c r="B1621" s="105" t="s">
        <v>2181</v>
      </c>
      <c r="C1621" s="106" t="s">
        <v>16</v>
      </c>
      <c r="D1621" s="107">
        <v>38.450000000000003</v>
      </c>
    </row>
    <row r="1622" spans="1:4" ht="25.5" x14ac:dyDescent="0.25">
      <c r="A1622" s="104">
        <v>94290</v>
      </c>
      <c r="B1622" s="105" t="s">
        <v>2182</v>
      </c>
      <c r="C1622" s="106" t="s">
        <v>16</v>
      </c>
      <c r="D1622" s="107">
        <v>46.07</v>
      </c>
    </row>
    <row r="1623" spans="1:4" ht="25.5" x14ac:dyDescent="0.25">
      <c r="A1623" s="104">
        <v>94291</v>
      </c>
      <c r="B1623" s="105" t="s">
        <v>2183</v>
      </c>
      <c r="C1623" s="106" t="s">
        <v>16</v>
      </c>
      <c r="D1623" s="107">
        <v>46.65</v>
      </c>
    </row>
    <row r="1624" spans="1:4" ht="25.5" x14ac:dyDescent="0.25">
      <c r="A1624" s="104">
        <v>94292</v>
      </c>
      <c r="B1624" s="105" t="s">
        <v>2184</v>
      </c>
      <c r="C1624" s="106" t="s">
        <v>16</v>
      </c>
      <c r="D1624" s="107">
        <v>54.25</v>
      </c>
    </row>
    <row r="1625" spans="1:4" ht="25.5" x14ac:dyDescent="0.25">
      <c r="A1625" s="104">
        <v>94293</v>
      </c>
      <c r="B1625" s="105" t="s">
        <v>2185</v>
      </c>
      <c r="C1625" s="106" t="s">
        <v>16</v>
      </c>
      <c r="D1625" s="107">
        <v>123.81</v>
      </c>
    </row>
    <row r="1626" spans="1:4" ht="25.5" x14ac:dyDescent="0.25">
      <c r="A1626" s="104">
        <v>94294</v>
      </c>
      <c r="B1626" s="105" t="s">
        <v>2186</v>
      </c>
      <c r="C1626" s="106" t="s">
        <v>16</v>
      </c>
      <c r="D1626" s="107">
        <v>6.01</v>
      </c>
    </row>
    <row r="1627" spans="1:4" ht="38.25" x14ac:dyDescent="0.25">
      <c r="A1627" s="104">
        <v>94037</v>
      </c>
      <c r="B1627" s="105" t="s">
        <v>2187</v>
      </c>
      <c r="C1627" s="106" t="s">
        <v>8</v>
      </c>
      <c r="D1627" s="107">
        <v>14.02</v>
      </c>
    </row>
    <row r="1628" spans="1:4" ht="51" x14ac:dyDescent="0.25">
      <c r="A1628" s="104">
        <v>94038</v>
      </c>
      <c r="B1628" s="105" t="s">
        <v>2188</v>
      </c>
      <c r="C1628" s="106" t="s">
        <v>8</v>
      </c>
      <c r="D1628" s="107">
        <v>19.53</v>
      </c>
    </row>
    <row r="1629" spans="1:4" ht="38.25" x14ac:dyDescent="0.25">
      <c r="A1629" s="104">
        <v>94039</v>
      </c>
      <c r="B1629" s="105" t="s">
        <v>2189</v>
      </c>
      <c r="C1629" s="106" t="s">
        <v>8</v>
      </c>
      <c r="D1629" s="107">
        <v>10.97</v>
      </c>
    </row>
    <row r="1630" spans="1:4" ht="51" x14ac:dyDescent="0.25">
      <c r="A1630" s="104">
        <v>94040</v>
      </c>
      <c r="B1630" s="105" t="s">
        <v>2190</v>
      </c>
      <c r="C1630" s="106" t="s">
        <v>8</v>
      </c>
      <c r="D1630" s="107">
        <v>16.52</v>
      </c>
    </row>
    <row r="1631" spans="1:4" ht="38.25" x14ac:dyDescent="0.25">
      <c r="A1631" s="104">
        <v>94041</v>
      </c>
      <c r="B1631" s="105" t="s">
        <v>2191</v>
      </c>
      <c r="C1631" s="106" t="s">
        <v>8</v>
      </c>
      <c r="D1631" s="107">
        <v>8.27</v>
      </c>
    </row>
    <row r="1632" spans="1:4" ht="51" x14ac:dyDescent="0.25">
      <c r="A1632" s="104">
        <v>94042</v>
      </c>
      <c r="B1632" s="105" t="s">
        <v>2192</v>
      </c>
      <c r="C1632" s="106" t="s">
        <v>8</v>
      </c>
      <c r="D1632" s="107">
        <v>13.93</v>
      </c>
    </row>
    <row r="1633" spans="1:4" ht="38.25" x14ac:dyDescent="0.25">
      <c r="A1633" s="104">
        <v>94043</v>
      </c>
      <c r="B1633" s="105" t="s">
        <v>2193</v>
      </c>
      <c r="C1633" s="106" t="s">
        <v>8</v>
      </c>
      <c r="D1633" s="107">
        <v>13.14</v>
      </c>
    </row>
    <row r="1634" spans="1:4" ht="51" x14ac:dyDescent="0.25">
      <c r="A1634" s="104">
        <v>94044</v>
      </c>
      <c r="B1634" s="105" t="s">
        <v>2194</v>
      </c>
      <c r="C1634" s="106" t="s">
        <v>8</v>
      </c>
      <c r="D1634" s="107">
        <v>18.68</v>
      </c>
    </row>
    <row r="1635" spans="1:4" ht="38.25" x14ac:dyDescent="0.25">
      <c r="A1635" s="104">
        <v>94045</v>
      </c>
      <c r="B1635" s="105" t="s">
        <v>2195</v>
      </c>
      <c r="C1635" s="106" t="s">
        <v>8</v>
      </c>
      <c r="D1635" s="107">
        <v>10.130000000000001</v>
      </c>
    </row>
    <row r="1636" spans="1:4" ht="51" x14ac:dyDescent="0.25">
      <c r="A1636" s="104">
        <v>94046</v>
      </c>
      <c r="B1636" s="105" t="s">
        <v>2196</v>
      </c>
      <c r="C1636" s="106" t="s">
        <v>8</v>
      </c>
      <c r="D1636" s="107">
        <v>15.64</v>
      </c>
    </row>
    <row r="1637" spans="1:4" ht="38.25" x14ac:dyDescent="0.25">
      <c r="A1637" s="104">
        <v>94047</v>
      </c>
      <c r="B1637" s="105" t="s">
        <v>2197</v>
      </c>
      <c r="C1637" s="106" t="s">
        <v>8</v>
      </c>
      <c r="D1637" s="107">
        <v>7.41</v>
      </c>
    </row>
    <row r="1638" spans="1:4" ht="51" x14ac:dyDescent="0.25">
      <c r="A1638" s="104">
        <v>94048</v>
      </c>
      <c r="B1638" s="105" t="s">
        <v>2198</v>
      </c>
      <c r="C1638" s="106" t="s">
        <v>8</v>
      </c>
      <c r="D1638" s="107">
        <v>13.05</v>
      </c>
    </row>
    <row r="1639" spans="1:4" ht="38.25" x14ac:dyDescent="0.25">
      <c r="A1639" s="104">
        <v>94049</v>
      </c>
      <c r="B1639" s="105" t="s">
        <v>2199</v>
      </c>
      <c r="C1639" s="106" t="s">
        <v>8</v>
      </c>
      <c r="D1639" s="107">
        <v>22.28</v>
      </c>
    </row>
    <row r="1640" spans="1:4" ht="38.25" x14ac:dyDescent="0.25">
      <c r="A1640" s="104">
        <v>94050</v>
      </c>
      <c r="B1640" s="105" t="s">
        <v>2200</v>
      </c>
      <c r="C1640" s="106" t="s">
        <v>8</v>
      </c>
      <c r="D1640" s="107">
        <v>29.48</v>
      </c>
    </row>
    <row r="1641" spans="1:4" ht="38.25" x14ac:dyDescent="0.25">
      <c r="A1641" s="104">
        <v>94051</v>
      </c>
      <c r="B1641" s="105" t="s">
        <v>2201</v>
      </c>
      <c r="C1641" s="106" t="s">
        <v>8</v>
      </c>
      <c r="D1641" s="107">
        <v>18.11</v>
      </c>
    </row>
    <row r="1642" spans="1:4" ht="38.25" x14ac:dyDescent="0.25">
      <c r="A1642" s="106">
        <v>94052</v>
      </c>
      <c r="B1642" s="105" t="s">
        <v>2202</v>
      </c>
      <c r="C1642" s="106" t="s">
        <v>8</v>
      </c>
      <c r="D1642" s="107">
        <v>25.19</v>
      </c>
    </row>
    <row r="1643" spans="1:4" ht="38.25" x14ac:dyDescent="0.25">
      <c r="A1643" s="106">
        <v>94053</v>
      </c>
      <c r="B1643" s="105" t="s">
        <v>2203</v>
      </c>
      <c r="C1643" s="106" t="s">
        <v>8</v>
      </c>
      <c r="D1643" s="107">
        <v>15.14</v>
      </c>
    </row>
    <row r="1644" spans="1:4" ht="38.25" x14ac:dyDescent="0.25">
      <c r="A1644" s="104">
        <v>94054</v>
      </c>
      <c r="B1644" s="105" t="s">
        <v>2204</v>
      </c>
      <c r="C1644" s="106" t="s">
        <v>8</v>
      </c>
      <c r="D1644" s="107">
        <v>22.33</v>
      </c>
    </row>
    <row r="1645" spans="1:4" ht="38.25" x14ac:dyDescent="0.25">
      <c r="A1645" s="104">
        <v>94055</v>
      </c>
      <c r="B1645" s="105" t="s">
        <v>2205</v>
      </c>
      <c r="C1645" s="106" t="s">
        <v>8</v>
      </c>
      <c r="D1645" s="107">
        <v>21.62</v>
      </c>
    </row>
    <row r="1646" spans="1:4" ht="38.25" x14ac:dyDescent="0.25">
      <c r="A1646" s="104">
        <v>94056</v>
      </c>
      <c r="B1646" s="105" t="s">
        <v>2206</v>
      </c>
      <c r="C1646" s="106" t="s">
        <v>8</v>
      </c>
      <c r="D1646" s="107">
        <v>28.36</v>
      </c>
    </row>
    <row r="1647" spans="1:4" ht="38.25" x14ac:dyDescent="0.25">
      <c r="A1647" s="104">
        <v>94057</v>
      </c>
      <c r="B1647" s="105" t="s">
        <v>2207</v>
      </c>
      <c r="C1647" s="106" t="s">
        <v>8</v>
      </c>
      <c r="D1647" s="107">
        <v>17</v>
      </c>
    </row>
    <row r="1648" spans="1:4" ht="38.25" x14ac:dyDescent="0.25">
      <c r="A1648" s="104">
        <v>94058</v>
      </c>
      <c r="B1648" s="105" t="s">
        <v>2208</v>
      </c>
      <c r="C1648" s="106" t="s">
        <v>8</v>
      </c>
      <c r="D1648" s="107">
        <v>24.06</v>
      </c>
    </row>
    <row r="1649" spans="1:4" ht="38.25" x14ac:dyDescent="0.25">
      <c r="A1649" s="104">
        <v>94059</v>
      </c>
      <c r="B1649" s="105" t="s">
        <v>2209</v>
      </c>
      <c r="C1649" s="106" t="s">
        <v>8</v>
      </c>
      <c r="D1649" s="107">
        <v>14.02</v>
      </c>
    </row>
    <row r="1650" spans="1:4" ht="38.25" x14ac:dyDescent="0.25">
      <c r="A1650" s="104">
        <v>94060</v>
      </c>
      <c r="B1650" s="105" t="s">
        <v>2210</v>
      </c>
      <c r="C1650" s="106" t="s">
        <v>8</v>
      </c>
      <c r="D1650" s="107">
        <v>21.2</v>
      </c>
    </row>
    <row r="1651" spans="1:4" ht="38.25" x14ac:dyDescent="0.25">
      <c r="A1651" s="104">
        <v>73301</v>
      </c>
      <c r="B1651" s="105" t="s">
        <v>2211</v>
      </c>
      <c r="C1651" s="106" t="s">
        <v>13</v>
      </c>
      <c r="D1651" s="107">
        <v>9.69</v>
      </c>
    </row>
    <row r="1652" spans="1:4" ht="38.25" x14ac:dyDescent="0.25">
      <c r="A1652" s="104">
        <v>83515</v>
      </c>
      <c r="B1652" s="105" t="s">
        <v>2212</v>
      </c>
      <c r="C1652" s="106" t="s">
        <v>13</v>
      </c>
      <c r="D1652" s="107">
        <v>15.85</v>
      </c>
    </row>
    <row r="1653" spans="1:4" ht="38.25" x14ac:dyDescent="0.25">
      <c r="A1653" s="104">
        <v>83516</v>
      </c>
      <c r="B1653" s="105" t="s">
        <v>2213</v>
      </c>
      <c r="C1653" s="106" t="s">
        <v>13</v>
      </c>
      <c r="D1653" s="107">
        <v>18.3</v>
      </c>
    </row>
    <row r="1654" spans="1:4" ht="51" x14ac:dyDescent="0.25">
      <c r="A1654" s="104">
        <v>90788</v>
      </c>
      <c r="B1654" s="105" t="s">
        <v>10935</v>
      </c>
      <c r="C1654" s="106" t="s">
        <v>801</v>
      </c>
      <c r="D1654" s="107">
        <v>538.84</v>
      </c>
    </row>
    <row r="1655" spans="1:4" ht="51" x14ac:dyDescent="0.25">
      <c r="A1655" s="104">
        <v>90789</v>
      </c>
      <c r="B1655" s="105" t="s">
        <v>10936</v>
      </c>
      <c r="C1655" s="106" t="s">
        <v>801</v>
      </c>
      <c r="D1655" s="107">
        <v>556.55999999999995</v>
      </c>
    </row>
    <row r="1656" spans="1:4" ht="51" x14ac:dyDescent="0.25">
      <c r="A1656" s="104">
        <v>90790</v>
      </c>
      <c r="B1656" s="105" t="s">
        <v>10937</v>
      </c>
      <c r="C1656" s="106" t="s">
        <v>801</v>
      </c>
      <c r="D1656" s="107">
        <v>561.05999999999995</v>
      </c>
    </row>
    <row r="1657" spans="1:4" ht="51" x14ac:dyDescent="0.25">
      <c r="A1657" s="104">
        <v>90791</v>
      </c>
      <c r="B1657" s="105" t="s">
        <v>10938</v>
      </c>
      <c r="C1657" s="106" t="s">
        <v>801</v>
      </c>
      <c r="D1657" s="107">
        <v>599.04999999999995</v>
      </c>
    </row>
    <row r="1658" spans="1:4" ht="51" x14ac:dyDescent="0.25">
      <c r="A1658" s="104">
        <v>90793</v>
      </c>
      <c r="B1658" s="105" t="s">
        <v>10939</v>
      </c>
      <c r="C1658" s="106" t="s">
        <v>801</v>
      </c>
      <c r="D1658" s="107">
        <v>641.33000000000004</v>
      </c>
    </row>
    <row r="1659" spans="1:4" ht="51" x14ac:dyDescent="0.25">
      <c r="A1659" s="104">
        <v>90794</v>
      </c>
      <c r="B1659" s="105" t="s">
        <v>10940</v>
      </c>
      <c r="C1659" s="106" t="s">
        <v>801</v>
      </c>
      <c r="D1659" s="107">
        <v>569.37</v>
      </c>
    </row>
    <row r="1660" spans="1:4" ht="51" x14ac:dyDescent="0.25">
      <c r="A1660" s="104">
        <v>90795</v>
      </c>
      <c r="B1660" s="105" t="s">
        <v>10941</v>
      </c>
      <c r="C1660" s="106" t="s">
        <v>801</v>
      </c>
      <c r="D1660" s="107">
        <v>590.80999999999995</v>
      </c>
    </row>
    <row r="1661" spans="1:4" ht="51" x14ac:dyDescent="0.25">
      <c r="A1661" s="104">
        <v>90796</v>
      </c>
      <c r="B1661" s="105" t="s">
        <v>10942</v>
      </c>
      <c r="C1661" s="106" t="s">
        <v>801</v>
      </c>
      <c r="D1661" s="107">
        <v>599.05999999999995</v>
      </c>
    </row>
    <row r="1662" spans="1:4" ht="51" x14ac:dyDescent="0.25">
      <c r="A1662" s="104">
        <v>90797</v>
      </c>
      <c r="B1662" s="105" t="s">
        <v>10943</v>
      </c>
      <c r="C1662" s="106" t="s">
        <v>801</v>
      </c>
      <c r="D1662" s="107">
        <v>635.09</v>
      </c>
    </row>
    <row r="1663" spans="1:4" ht="51" x14ac:dyDescent="0.25">
      <c r="A1663" s="104">
        <v>90798</v>
      </c>
      <c r="B1663" s="105" t="s">
        <v>10944</v>
      </c>
      <c r="C1663" s="106" t="s">
        <v>801</v>
      </c>
      <c r="D1663" s="107">
        <v>639.30999999999995</v>
      </c>
    </row>
    <row r="1664" spans="1:4" ht="51" x14ac:dyDescent="0.25">
      <c r="A1664" s="104">
        <v>90799</v>
      </c>
      <c r="B1664" s="105" t="s">
        <v>10945</v>
      </c>
      <c r="C1664" s="106" t="s">
        <v>801</v>
      </c>
      <c r="D1664" s="107">
        <v>659.69</v>
      </c>
    </row>
    <row r="1665" spans="1:4" ht="25.5" x14ac:dyDescent="0.25">
      <c r="A1665" s="104">
        <v>90801</v>
      </c>
      <c r="B1665" s="105" t="s">
        <v>10946</v>
      </c>
      <c r="C1665" s="106" t="s">
        <v>801</v>
      </c>
      <c r="D1665" s="107">
        <v>181.01</v>
      </c>
    </row>
    <row r="1666" spans="1:4" ht="25.5" x14ac:dyDescent="0.25">
      <c r="A1666" s="104">
        <v>90806</v>
      </c>
      <c r="B1666" s="105" t="s">
        <v>10947</v>
      </c>
      <c r="C1666" s="106" t="s">
        <v>801</v>
      </c>
      <c r="D1666" s="107">
        <v>242.04</v>
      </c>
    </row>
    <row r="1667" spans="1:4" ht="38.25" x14ac:dyDescent="0.25">
      <c r="A1667" s="104">
        <v>90820</v>
      </c>
      <c r="B1667" s="105" t="s">
        <v>10948</v>
      </c>
      <c r="C1667" s="106" t="s">
        <v>801</v>
      </c>
      <c r="D1667" s="107">
        <v>318.89999999999998</v>
      </c>
    </row>
    <row r="1668" spans="1:4" ht="38.25" x14ac:dyDescent="0.25">
      <c r="A1668" s="104">
        <v>90821</v>
      </c>
      <c r="B1668" s="105" t="s">
        <v>10949</v>
      </c>
      <c r="C1668" s="106" t="s">
        <v>801</v>
      </c>
      <c r="D1668" s="107">
        <v>350.29</v>
      </c>
    </row>
    <row r="1669" spans="1:4" ht="38.25" x14ac:dyDescent="0.25">
      <c r="A1669" s="104">
        <v>90822</v>
      </c>
      <c r="B1669" s="105" t="s">
        <v>10950</v>
      </c>
      <c r="C1669" s="106" t="s">
        <v>801</v>
      </c>
      <c r="D1669" s="107">
        <v>344.46</v>
      </c>
    </row>
    <row r="1670" spans="1:4" ht="38.25" x14ac:dyDescent="0.25">
      <c r="A1670" s="104">
        <v>90823</v>
      </c>
      <c r="B1670" s="105" t="s">
        <v>10951</v>
      </c>
      <c r="C1670" s="106" t="s">
        <v>801</v>
      </c>
      <c r="D1670" s="107">
        <v>363.9</v>
      </c>
    </row>
    <row r="1671" spans="1:4" ht="38.25" x14ac:dyDescent="0.25">
      <c r="A1671" s="104">
        <v>90824</v>
      </c>
      <c r="B1671" s="105" t="s">
        <v>10952</v>
      </c>
      <c r="C1671" s="106" t="s">
        <v>801</v>
      </c>
      <c r="D1671" s="107">
        <v>371.22</v>
      </c>
    </row>
    <row r="1672" spans="1:4" ht="38.25" x14ac:dyDescent="0.25">
      <c r="A1672" s="104">
        <v>90825</v>
      </c>
      <c r="B1672" s="105" t="s">
        <v>10953</v>
      </c>
      <c r="C1672" s="106" t="s">
        <v>801</v>
      </c>
      <c r="D1672" s="107">
        <v>399.99</v>
      </c>
    </row>
    <row r="1673" spans="1:4" ht="38.25" x14ac:dyDescent="0.25">
      <c r="A1673" s="104">
        <v>90830</v>
      </c>
      <c r="B1673" s="105" t="s">
        <v>10954</v>
      </c>
      <c r="C1673" s="106" t="s">
        <v>801</v>
      </c>
      <c r="D1673" s="107">
        <v>92.65</v>
      </c>
    </row>
    <row r="1674" spans="1:4" ht="38.25" x14ac:dyDescent="0.25">
      <c r="A1674" s="104">
        <v>90831</v>
      </c>
      <c r="B1674" s="105" t="s">
        <v>10955</v>
      </c>
      <c r="C1674" s="106" t="s">
        <v>801</v>
      </c>
      <c r="D1674" s="107">
        <v>72.62</v>
      </c>
    </row>
    <row r="1675" spans="1:4" ht="63.75" x14ac:dyDescent="0.25">
      <c r="A1675" s="104">
        <v>90841</v>
      </c>
      <c r="B1675" s="105" t="s">
        <v>10956</v>
      </c>
      <c r="C1675" s="106" t="s">
        <v>801</v>
      </c>
      <c r="D1675" s="107">
        <v>687.99</v>
      </c>
    </row>
    <row r="1676" spans="1:4" ht="63.75" x14ac:dyDescent="0.25">
      <c r="A1676" s="104">
        <v>90842</v>
      </c>
      <c r="B1676" s="105" t="s">
        <v>10957</v>
      </c>
      <c r="C1676" s="106" t="s">
        <v>801</v>
      </c>
      <c r="D1676" s="107">
        <v>726.97</v>
      </c>
    </row>
    <row r="1677" spans="1:4" ht="63.75" x14ac:dyDescent="0.25">
      <c r="A1677" s="104">
        <v>90843</v>
      </c>
      <c r="B1677" s="105" t="s">
        <v>10958</v>
      </c>
      <c r="C1677" s="106" t="s">
        <v>801</v>
      </c>
      <c r="D1677" s="107">
        <v>735.85</v>
      </c>
    </row>
    <row r="1678" spans="1:4" ht="63.75" x14ac:dyDescent="0.25">
      <c r="A1678" s="104">
        <v>90844</v>
      </c>
      <c r="B1678" s="105" t="s">
        <v>10959</v>
      </c>
      <c r="C1678" s="106" t="s">
        <v>801</v>
      </c>
      <c r="D1678" s="107">
        <v>756.42</v>
      </c>
    </row>
    <row r="1679" spans="1:4" ht="51" x14ac:dyDescent="0.25">
      <c r="A1679" s="104">
        <v>90847</v>
      </c>
      <c r="B1679" s="105" t="s">
        <v>10960</v>
      </c>
      <c r="C1679" s="106" t="s">
        <v>801</v>
      </c>
      <c r="D1679" s="107">
        <v>615.37</v>
      </c>
    </row>
    <row r="1680" spans="1:4" ht="51" x14ac:dyDescent="0.25">
      <c r="A1680" s="104">
        <v>90848</v>
      </c>
      <c r="B1680" s="105" t="s">
        <v>10961</v>
      </c>
      <c r="C1680" s="106" t="s">
        <v>801</v>
      </c>
      <c r="D1680" s="107">
        <v>647.89</v>
      </c>
    </row>
    <row r="1681" spans="1:4" ht="51" x14ac:dyDescent="0.25">
      <c r="A1681" s="104">
        <v>90849</v>
      </c>
      <c r="B1681" s="105" t="s">
        <v>10962</v>
      </c>
      <c r="C1681" s="106" t="s">
        <v>801</v>
      </c>
      <c r="D1681" s="107">
        <v>643.20000000000005</v>
      </c>
    </row>
    <row r="1682" spans="1:4" ht="51" x14ac:dyDescent="0.25">
      <c r="A1682" s="104">
        <v>90850</v>
      </c>
      <c r="B1682" s="105" t="s">
        <v>10963</v>
      </c>
      <c r="C1682" s="106" t="s">
        <v>801</v>
      </c>
      <c r="D1682" s="107">
        <v>663.77</v>
      </c>
    </row>
    <row r="1683" spans="1:4" ht="38.25" x14ac:dyDescent="0.25">
      <c r="A1683" s="104">
        <v>91009</v>
      </c>
      <c r="B1683" s="105" t="s">
        <v>10964</v>
      </c>
      <c r="C1683" s="106" t="s">
        <v>801</v>
      </c>
      <c r="D1683" s="107">
        <v>327.64999999999998</v>
      </c>
    </row>
    <row r="1684" spans="1:4" ht="38.25" x14ac:dyDescent="0.25">
      <c r="A1684" s="104">
        <v>91010</v>
      </c>
      <c r="B1684" s="105" t="s">
        <v>10965</v>
      </c>
      <c r="C1684" s="106" t="s">
        <v>801</v>
      </c>
      <c r="D1684" s="107">
        <v>254.36</v>
      </c>
    </row>
    <row r="1685" spans="1:4" ht="38.25" x14ac:dyDescent="0.25">
      <c r="A1685" s="104">
        <v>91011</v>
      </c>
      <c r="B1685" s="105" t="s">
        <v>10966</v>
      </c>
      <c r="C1685" s="106" t="s">
        <v>801</v>
      </c>
      <c r="D1685" s="107">
        <v>377.24</v>
      </c>
    </row>
    <row r="1686" spans="1:4" ht="38.25" x14ac:dyDescent="0.25">
      <c r="A1686" s="104">
        <v>91012</v>
      </c>
      <c r="B1686" s="105" t="s">
        <v>10967</v>
      </c>
      <c r="C1686" s="106" t="s">
        <v>801</v>
      </c>
      <c r="D1686" s="107">
        <v>357.17</v>
      </c>
    </row>
    <row r="1687" spans="1:4" ht="51" x14ac:dyDescent="0.25">
      <c r="A1687" s="104">
        <v>91013</v>
      </c>
      <c r="B1687" s="105" t="s">
        <v>10968</v>
      </c>
      <c r="C1687" s="106" t="s">
        <v>801</v>
      </c>
      <c r="D1687" s="107">
        <v>624.12</v>
      </c>
    </row>
    <row r="1688" spans="1:4" ht="51" x14ac:dyDescent="0.25">
      <c r="A1688" s="104">
        <v>91014</v>
      </c>
      <c r="B1688" s="105" t="s">
        <v>10969</v>
      </c>
      <c r="C1688" s="106" t="s">
        <v>801</v>
      </c>
      <c r="D1688" s="107">
        <v>551.96</v>
      </c>
    </row>
    <row r="1689" spans="1:4" ht="51" x14ac:dyDescent="0.25">
      <c r="A1689" s="104">
        <v>91015</v>
      </c>
      <c r="B1689" s="105" t="s">
        <v>10970</v>
      </c>
      <c r="C1689" s="106" t="s">
        <v>801</v>
      </c>
      <c r="D1689" s="107">
        <v>675.98</v>
      </c>
    </row>
    <row r="1690" spans="1:4" ht="51" x14ac:dyDescent="0.25">
      <c r="A1690" s="104">
        <v>91016</v>
      </c>
      <c r="B1690" s="105" t="s">
        <v>10971</v>
      </c>
      <c r="C1690" s="106" t="s">
        <v>801</v>
      </c>
      <c r="D1690" s="107">
        <v>657.04</v>
      </c>
    </row>
    <row r="1691" spans="1:4" ht="25.5" x14ac:dyDescent="0.25">
      <c r="A1691" s="104">
        <v>91287</v>
      </c>
      <c r="B1691" s="105" t="s">
        <v>10972</v>
      </c>
      <c r="C1691" s="106" t="s">
        <v>801</v>
      </c>
      <c r="D1691" s="107">
        <v>144.15</v>
      </c>
    </row>
    <row r="1692" spans="1:4" ht="25.5" x14ac:dyDescent="0.25">
      <c r="A1692" s="104">
        <v>91292</v>
      </c>
      <c r="B1692" s="105" t="s">
        <v>10973</v>
      </c>
      <c r="C1692" s="106" t="s">
        <v>801</v>
      </c>
      <c r="D1692" s="107">
        <v>205.18</v>
      </c>
    </row>
    <row r="1693" spans="1:4" ht="38.25" x14ac:dyDescent="0.25">
      <c r="A1693" s="104">
        <v>91295</v>
      </c>
      <c r="B1693" s="105" t="s">
        <v>10974</v>
      </c>
      <c r="C1693" s="106" t="s">
        <v>801</v>
      </c>
      <c r="D1693" s="107">
        <v>304.14</v>
      </c>
    </row>
    <row r="1694" spans="1:4" ht="38.25" x14ac:dyDescent="0.25">
      <c r="A1694" s="104">
        <v>91296</v>
      </c>
      <c r="B1694" s="105" t="s">
        <v>10975</v>
      </c>
      <c r="C1694" s="106" t="s">
        <v>801</v>
      </c>
      <c r="D1694" s="107">
        <v>324.72000000000003</v>
      </c>
    </row>
    <row r="1695" spans="1:4" ht="38.25" x14ac:dyDescent="0.25">
      <c r="A1695" s="104">
        <v>91297</v>
      </c>
      <c r="B1695" s="105" t="s">
        <v>10976</v>
      </c>
      <c r="C1695" s="106" t="s">
        <v>801</v>
      </c>
      <c r="D1695" s="107">
        <v>379.64</v>
      </c>
    </row>
    <row r="1696" spans="1:4" ht="25.5" x14ac:dyDescent="0.25">
      <c r="A1696" s="104">
        <v>91298</v>
      </c>
      <c r="B1696" s="105" t="s">
        <v>10977</v>
      </c>
      <c r="C1696" s="106" t="s">
        <v>801</v>
      </c>
      <c r="D1696" s="107">
        <v>527.35</v>
      </c>
    </row>
    <row r="1697" spans="1:4" ht="38.25" x14ac:dyDescent="0.25">
      <c r="A1697" s="104">
        <v>91299</v>
      </c>
      <c r="B1697" s="105" t="s">
        <v>10978</v>
      </c>
      <c r="C1697" s="106" t="s">
        <v>801</v>
      </c>
      <c r="D1697" s="107">
        <v>734.92</v>
      </c>
    </row>
    <row r="1698" spans="1:4" ht="38.25" x14ac:dyDescent="0.25">
      <c r="A1698" s="104">
        <v>91304</v>
      </c>
      <c r="B1698" s="105" t="s">
        <v>10979</v>
      </c>
      <c r="C1698" s="106" t="s">
        <v>801</v>
      </c>
      <c r="D1698" s="107">
        <v>70.06</v>
      </c>
    </row>
    <row r="1699" spans="1:4" ht="38.25" x14ac:dyDescent="0.25">
      <c r="A1699" s="104">
        <v>91305</v>
      </c>
      <c r="B1699" s="105" t="s">
        <v>10980</v>
      </c>
      <c r="C1699" s="106" t="s">
        <v>801</v>
      </c>
      <c r="D1699" s="107">
        <v>52.88</v>
      </c>
    </row>
    <row r="1700" spans="1:4" ht="38.25" x14ac:dyDescent="0.25">
      <c r="A1700" s="104">
        <v>91306</v>
      </c>
      <c r="B1700" s="105" t="s">
        <v>10981</v>
      </c>
      <c r="C1700" s="106" t="s">
        <v>801</v>
      </c>
      <c r="D1700" s="107">
        <v>79.08</v>
      </c>
    </row>
    <row r="1701" spans="1:4" ht="38.25" x14ac:dyDescent="0.25">
      <c r="A1701" s="104">
        <v>91307</v>
      </c>
      <c r="B1701" s="105" t="s">
        <v>10982</v>
      </c>
      <c r="C1701" s="106" t="s">
        <v>801</v>
      </c>
      <c r="D1701" s="107">
        <v>55.54</v>
      </c>
    </row>
    <row r="1702" spans="1:4" ht="63.75" x14ac:dyDescent="0.25">
      <c r="A1702" s="104">
        <v>91312</v>
      </c>
      <c r="B1702" s="105" t="s">
        <v>10983</v>
      </c>
      <c r="C1702" s="106" t="s">
        <v>801</v>
      </c>
      <c r="D1702" s="107">
        <v>622.84</v>
      </c>
    </row>
    <row r="1703" spans="1:4" ht="63.75" x14ac:dyDescent="0.25">
      <c r="A1703" s="104">
        <v>91313</v>
      </c>
      <c r="B1703" s="105" t="s">
        <v>10984</v>
      </c>
      <c r="C1703" s="106" t="s">
        <v>801</v>
      </c>
      <c r="D1703" s="107">
        <v>657.85</v>
      </c>
    </row>
    <row r="1704" spans="1:4" ht="63.75" x14ac:dyDescent="0.25">
      <c r="A1704" s="104">
        <v>91314</v>
      </c>
      <c r="B1704" s="105" t="s">
        <v>10985</v>
      </c>
      <c r="C1704" s="106" t="s">
        <v>801</v>
      </c>
      <c r="D1704" s="107">
        <v>667.5</v>
      </c>
    </row>
    <row r="1705" spans="1:4" ht="63.75" x14ac:dyDescent="0.25">
      <c r="A1705" s="104">
        <v>91315</v>
      </c>
      <c r="B1705" s="105" t="s">
        <v>10986</v>
      </c>
      <c r="C1705" s="106" t="s">
        <v>801</v>
      </c>
      <c r="D1705" s="107">
        <v>687.89</v>
      </c>
    </row>
    <row r="1706" spans="1:4" ht="51" x14ac:dyDescent="0.25">
      <c r="A1706" s="104">
        <v>91318</v>
      </c>
      <c r="B1706" s="105" t="s">
        <v>10987</v>
      </c>
      <c r="C1706" s="106" t="s">
        <v>801</v>
      </c>
      <c r="D1706" s="107">
        <v>569.96</v>
      </c>
    </row>
    <row r="1707" spans="1:4" ht="51" x14ac:dyDescent="0.25">
      <c r="A1707" s="104">
        <v>91319</v>
      </c>
      <c r="B1707" s="105" t="s">
        <v>10988</v>
      </c>
      <c r="C1707" s="106" t="s">
        <v>801</v>
      </c>
      <c r="D1707" s="107">
        <v>602.30999999999995</v>
      </c>
    </row>
    <row r="1708" spans="1:4" ht="51" x14ac:dyDescent="0.25">
      <c r="A1708" s="104">
        <v>91320</v>
      </c>
      <c r="B1708" s="105" t="s">
        <v>10989</v>
      </c>
      <c r="C1708" s="106" t="s">
        <v>801</v>
      </c>
      <c r="D1708" s="107">
        <v>597.44000000000005</v>
      </c>
    </row>
    <row r="1709" spans="1:4" ht="51" x14ac:dyDescent="0.25">
      <c r="A1709" s="104">
        <v>91321</v>
      </c>
      <c r="B1709" s="105" t="s">
        <v>10990</v>
      </c>
      <c r="C1709" s="106" t="s">
        <v>801</v>
      </c>
      <c r="D1709" s="107">
        <v>617.83000000000004</v>
      </c>
    </row>
    <row r="1710" spans="1:4" ht="51" x14ac:dyDescent="0.25">
      <c r="A1710" s="104">
        <v>91324</v>
      </c>
      <c r="B1710" s="105" t="s">
        <v>10991</v>
      </c>
      <c r="C1710" s="106" t="s">
        <v>801</v>
      </c>
      <c r="D1710" s="107">
        <v>578.71</v>
      </c>
    </row>
    <row r="1711" spans="1:4" ht="51" x14ac:dyDescent="0.25">
      <c r="A1711" s="104">
        <v>91325</v>
      </c>
      <c r="B1711" s="105" t="s">
        <v>10992</v>
      </c>
      <c r="C1711" s="106" t="s">
        <v>801</v>
      </c>
      <c r="D1711" s="107">
        <v>506.38</v>
      </c>
    </row>
    <row r="1712" spans="1:4" ht="51" x14ac:dyDescent="0.25">
      <c r="A1712" s="104">
        <v>91326</v>
      </c>
      <c r="B1712" s="105" t="s">
        <v>10993</v>
      </c>
      <c r="C1712" s="106" t="s">
        <v>801</v>
      </c>
      <c r="D1712" s="107">
        <v>630.22</v>
      </c>
    </row>
    <row r="1713" spans="1:4" ht="51" x14ac:dyDescent="0.25">
      <c r="A1713" s="104">
        <v>91327</v>
      </c>
      <c r="B1713" s="105" t="s">
        <v>10994</v>
      </c>
      <c r="C1713" s="106" t="s">
        <v>801</v>
      </c>
      <c r="D1713" s="107">
        <v>611.1</v>
      </c>
    </row>
    <row r="1714" spans="1:4" ht="51" x14ac:dyDescent="0.25">
      <c r="A1714" s="104">
        <v>91328</v>
      </c>
      <c r="B1714" s="105" t="s">
        <v>10995</v>
      </c>
      <c r="C1714" s="106" t="s">
        <v>801</v>
      </c>
      <c r="D1714" s="107">
        <v>600.61</v>
      </c>
    </row>
    <row r="1715" spans="1:4" ht="51" x14ac:dyDescent="0.25">
      <c r="A1715" s="104">
        <v>91329</v>
      </c>
      <c r="B1715" s="105" t="s">
        <v>10996</v>
      </c>
      <c r="C1715" s="106" t="s">
        <v>801</v>
      </c>
      <c r="D1715" s="107">
        <v>555.20000000000005</v>
      </c>
    </row>
    <row r="1716" spans="1:4" ht="51" x14ac:dyDescent="0.25">
      <c r="A1716" s="104">
        <v>91330</v>
      </c>
      <c r="B1716" s="105" t="s">
        <v>10997</v>
      </c>
      <c r="C1716" s="106" t="s">
        <v>801</v>
      </c>
      <c r="D1716" s="107">
        <v>622.32000000000005</v>
      </c>
    </row>
    <row r="1717" spans="1:4" ht="51" x14ac:dyDescent="0.25">
      <c r="A1717" s="104">
        <v>91331</v>
      </c>
      <c r="B1717" s="105" t="s">
        <v>10998</v>
      </c>
      <c r="C1717" s="106" t="s">
        <v>801</v>
      </c>
      <c r="D1717" s="107">
        <v>576.74</v>
      </c>
    </row>
    <row r="1718" spans="1:4" ht="51" x14ac:dyDescent="0.25">
      <c r="A1718" s="104">
        <v>91332</v>
      </c>
      <c r="B1718" s="105" t="s">
        <v>10999</v>
      </c>
      <c r="C1718" s="106" t="s">
        <v>801</v>
      </c>
      <c r="D1718" s="107">
        <v>678.38</v>
      </c>
    </row>
    <row r="1719" spans="1:4" ht="51" x14ac:dyDescent="0.25">
      <c r="A1719" s="104">
        <v>91333</v>
      </c>
      <c r="B1719" s="105" t="s">
        <v>11000</v>
      </c>
      <c r="C1719" s="106" t="s">
        <v>801</v>
      </c>
      <c r="D1719" s="107">
        <v>632.62</v>
      </c>
    </row>
    <row r="1720" spans="1:4" ht="51" x14ac:dyDescent="0.25">
      <c r="A1720" s="104">
        <v>91334</v>
      </c>
      <c r="B1720" s="105" t="s">
        <v>11001</v>
      </c>
      <c r="C1720" s="106" t="s">
        <v>801</v>
      </c>
      <c r="D1720" s="107">
        <v>826.09</v>
      </c>
    </row>
    <row r="1721" spans="1:4" ht="51" x14ac:dyDescent="0.25">
      <c r="A1721" s="104">
        <v>91335</v>
      </c>
      <c r="B1721" s="105" t="s">
        <v>11002</v>
      </c>
      <c r="C1721" s="106" t="s">
        <v>801</v>
      </c>
      <c r="D1721" s="107">
        <v>780.33</v>
      </c>
    </row>
    <row r="1722" spans="1:4" ht="63.75" x14ac:dyDescent="0.25">
      <c r="A1722" s="104">
        <v>91336</v>
      </c>
      <c r="B1722" s="105" t="s">
        <v>11003</v>
      </c>
      <c r="C1722" s="106" t="s">
        <v>801</v>
      </c>
      <c r="D1722" s="107">
        <v>1033.6600000000001</v>
      </c>
    </row>
    <row r="1723" spans="1:4" ht="63.75" x14ac:dyDescent="0.25">
      <c r="A1723" s="104">
        <v>91337</v>
      </c>
      <c r="B1723" s="105" t="s">
        <v>11004</v>
      </c>
      <c r="C1723" s="106" t="s">
        <v>801</v>
      </c>
      <c r="D1723" s="107">
        <v>987.9</v>
      </c>
    </row>
    <row r="1724" spans="1:4" ht="25.5" x14ac:dyDescent="0.25">
      <c r="A1724" s="104">
        <v>100659</v>
      </c>
      <c r="B1724" s="105" t="s">
        <v>11005</v>
      </c>
      <c r="C1724" s="106" t="s">
        <v>16</v>
      </c>
      <c r="D1724" s="107">
        <v>5.67</v>
      </c>
    </row>
    <row r="1725" spans="1:4" ht="25.5" x14ac:dyDescent="0.25">
      <c r="A1725" s="104">
        <v>100660</v>
      </c>
      <c r="B1725" s="105" t="s">
        <v>11006</v>
      </c>
      <c r="C1725" s="106" t="s">
        <v>16</v>
      </c>
      <c r="D1725" s="109">
        <v>4.78</v>
      </c>
    </row>
    <row r="1726" spans="1:4" ht="51" x14ac:dyDescent="0.25">
      <c r="A1726" s="104">
        <v>100675</v>
      </c>
      <c r="B1726" s="105" t="s">
        <v>11007</v>
      </c>
      <c r="C1726" s="106" t="s">
        <v>801</v>
      </c>
      <c r="D1726" s="107">
        <v>618.24</v>
      </c>
    </row>
    <row r="1727" spans="1:4" ht="25.5" x14ac:dyDescent="0.25">
      <c r="A1727" s="106">
        <v>100676</v>
      </c>
      <c r="B1727" s="105" t="s">
        <v>11008</v>
      </c>
      <c r="C1727" s="106" t="s">
        <v>801</v>
      </c>
      <c r="D1727" s="109">
        <v>120.03</v>
      </c>
    </row>
    <row r="1728" spans="1:4" ht="63.75" x14ac:dyDescent="0.25">
      <c r="A1728" s="104">
        <v>100678</v>
      </c>
      <c r="B1728" s="105" t="s">
        <v>11009</v>
      </c>
      <c r="C1728" s="106" t="s">
        <v>801</v>
      </c>
      <c r="D1728" s="107">
        <v>696.74</v>
      </c>
    </row>
    <row r="1729" spans="1:4" ht="63.75" x14ac:dyDescent="0.25">
      <c r="A1729" s="104">
        <v>100679</v>
      </c>
      <c r="B1729" s="105" t="s">
        <v>11010</v>
      </c>
      <c r="C1729" s="106" t="s">
        <v>801</v>
      </c>
      <c r="D1729" s="107">
        <v>631.59</v>
      </c>
    </row>
    <row r="1730" spans="1:4" ht="63.75" x14ac:dyDescent="0.25">
      <c r="A1730" s="104">
        <v>100680</v>
      </c>
      <c r="B1730" s="105" t="s">
        <v>11011</v>
      </c>
      <c r="C1730" s="106" t="s">
        <v>801</v>
      </c>
      <c r="D1730" s="107">
        <v>631.04</v>
      </c>
    </row>
    <row r="1731" spans="1:4" ht="63.75" x14ac:dyDescent="0.25">
      <c r="A1731" s="104">
        <v>100681</v>
      </c>
      <c r="B1731" s="105" t="s">
        <v>11012</v>
      </c>
      <c r="C1731" s="106" t="s">
        <v>801</v>
      </c>
      <c r="D1731" s="107">
        <v>701.4</v>
      </c>
    </row>
    <row r="1732" spans="1:4" ht="63.75" x14ac:dyDescent="0.25">
      <c r="A1732" s="104">
        <v>100682</v>
      </c>
      <c r="B1732" s="105" t="s">
        <v>11013</v>
      </c>
      <c r="C1732" s="106" t="s">
        <v>801</v>
      </c>
      <c r="D1732" s="107">
        <v>632.28</v>
      </c>
    </row>
    <row r="1733" spans="1:4" ht="63.75" x14ac:dyDescent="0.25">
      <c r="A1733" s="104">
        <v>100683</v>
      </c>
      <c r="B1733" s="105" t="s">
        <v>11014</v>
      </c>
      <c r="C1733" s="106" t="s">
        <v>801</v>
      </c>
      <c r="D1733" s="107">
        <v>768.63</v>
      </c>
    </row>
    <row r="1734" spans="1:4" ht="63.75" x14ac:dyDescent="0.25">
      <c r="A1734" s="106">
        <v>100684</v>
      </c>
      <c r="B1734" s="105" t="s">
        <v>11015</v>
      </c>
      <c r="C1734" s="106" t="s">
        <v>801</v>
      </c>
      <c r="D1734" s="107">
        <v>700.28</v>
      </c>
    </row>
    <row r="1735" spans="1:4" ht="63.75" x14ac:dyDescent="0.25">
      <c r="A1735" s="106">
        <v>100685</v>
      </c>
      <c r="B1735" s="105" t="s">
        <v>11016</v>
      </c>
      <c r="C1735" s="106" t="s">
        <v>801</v>
      </c>
      <c r="D1735" s="107">
        <v>749.69</v>
      </c>
    </row>
    <row r="1736" spans="1:4" ht="63.75" x14ac:dyDescent="0.25">
      <c r="A1736" s="106">
        <v>100686</v>
      </c>
      <c r="B1736" s="105" t="s">
        <v>11017</v>
      </c>
      <c r="C1736" s="106" t="s">
        <v>801</v>
      </c>
      <c r="D1736" s="107">
        <v>681.16</v>
      </c>
    </row>
    <row r="1737" spans="1:4" ht="63.75" x14ac:dyDescent="0.25">
      <c r="A1737" s="106">
        <v>100687</v>
      </c>
      <c r="B1737" s="105" t="s">
        <v>11018</v>
      </c>
      <c r="C1737" s="106" t="s">
        <v>801</v>
      </c>
      <c r="D1737" s="107">
        <v>673.23</v>
      </c>
    </row>
    <row r="1738" spans="1:4" ht="63.75" x14ac:dyDescent="0.25">
      <c r="A1738" s="106">
        <v>100688</v>
      </c>
      <c r="B1738" s="105" t="s">
        <v>11019</v>
      </c>
      <c r="C1738" s="106" t="s">
        <v>801</v>
      </c>
      <c r="D1738" s="107">
        <v>608.08000000000004</v>
      </c>
    </row>
    <row r="1739" spans="1:4" ht="63.75" x14ac:dyDescent="0.25">
      <c r="A1739" s="106">
        <v>100689</v>
      </c>
      <c r="B1739" s="105" t="s">
        <v>11020</v>
      </c>
      <c r="C1739" s="106" t="s">
        <v>801</v>
      </c>
      <c r="D1739" s="107">
        <v>771.03</v>
      </c>
    </row>
    <row r="1740" spans="1:4" ht="63.75" x14ac:dyDescent="0.25">
      <c r="A1740" s="106">
        <v>100690</v>
      </c>
      <c r="B1740" s="105" t="s">
        <v>11021</v>
      </c>
      <c r="C1740" s="106" t="s">
        <v>801</v>
      </c>
      <c r="D1740" s="107">
        <v>702.68</v>
      </c>
    </row>
    <row r="1741" spans="1:4" ht="51" x14ac:dyDescent="0.25">
      <c r="A1741" s="106">
        <v>100691</v>
      </c>
      <c r="B1741" s="105" t="s">
        <v>11022</v>
      </c>
      <c r="C1741" s="106" t="s">
        <v>801</v>
      </c>
      <c r="D1741" s="107">
        <v>918.74</v>
      </c>
    </row>
    <row r="1742" spans="1:4" ht="51" x14ac:dyDescent="0.25">
      <c r="A1742" s="104">
        <v>100692</v>
      </c>
      <c r="B1742" s="105" t="s">
        <v>11023</v>
      </c>
      <c r="C1742" s="106" t="s">
        <v>801</v>
      </c>
      <c r="D1742" s="107">
        <v>850.39</v>
      </c>
    </row>
    <row r="1743" spans="1:4" ht="63.75" x14ac:dyDescent="0.25">
      <c r="A1743" s="104">
        <v>100693</v>
      </c>
      <c r="B1743" s="105" t="s">
        <v>11024</v>
      </c>
      <c r="C1743" s="106" t="s">
        <v>801</v>
      </c>
      <c r="D1743" s="107">
        <v>1126.31</v>
      </c>
    </row>
    <row r="1744" spans="1:4" ht="63.75" x14ac:dyDescent="0.25">
      <c r="A1744" s="104">
        <v>100694</v>
      </c>
      <c r="B1744" s="105" t="s">
        <v>11025</v>
      </c>
      <c r="C1744" s="106" t="s">
        <v>801</v>
      </c>
      <c r="D1744" s="107">
        <v>1057.96</v>
      </c>
    </row>
    <row r="1745" spans="1:4" ht="38.25" x14ac:dyDescent="0.25">
      <c r="A1745" s="104">
        <v>100695</v>
      </c>
      <c r="B1745" s="105" t="s">
        <v>11026</v>
      </c>
      <c r="C1745" s="106" t="s">
        <v>801</v>
      </c>
      <c r="D1745" s="107">
        <v>41.76</v>
      </c>
    </row>
    <row r="1746" spans="1:4" ht="38.25" x14ac:dyDescent="0.25">
      <c r="A1746" s="104">
        <v>100696</v>
      </c>
      <c r="B1746" s="105" t="s">
        <v>11027</v>
      </c>
      <c r="C1746" s="106" t="s">
        <v>801</v>
      </c>
      <c r="D1746" s="107">
        <v>46.44</v>
      </c>
    </row>
    <row r="1747" spans="1:4" ht="38.25" x14ac:dyDescent="0.25">
      <c r="A1747" s="104">
        <v>100697</v>
      </c>
      <c r="B1747" s="105" t="s">
        <v>11028</v>
      </c>
      <c r="C1747" s="106" t="s">
        <v>801</v>
      </c>
      <c r="D1747" s="107">
        <v>51.17</v>
      </c>
    </row>
    <row r="1748" spans="1:4" ht="38.25" x14ac:dyDescent="0.25">
      <c r="A1748" s="104">
        <v>100698</v>
      </c>
      <c r="B1748" s="105" t="s">
        <v>11029</v>
      </c>
      <c r="C1748" s="106" t="s">
        <v>801</v>
      </c>
      <c r="D1748" s="107">
        <v>55.88</v>
      </c>
    </row>
    <row r="1749" spans="1:4" ht="38.25" x14ac:dyDescent="0.25">
      <c r="A1749" s="104">
        <v>100699</v>
      </c>
      <c r="B1749" s="105" t="s">
        <v>11030</v>
      </c>
      <c r="C1749" s="106" t="s">
        <v>801</v>
      </c>
      <c r="D1749" s="107">
        <v>66.760000000000005</v>
      </c>
    </row>
    <row r="1750" spans="1:4" ht="38.25" x14ac:dyDescent="0.25">
      <c r="A1750" s="104">
        <v>100700</v>
      </c>
      <c r="B1750" s="105" t="s">
        <v>11031</v>
      </c>
      <c r="C1750" s="106" t="s">
        <v>801</v>
      </c>
      <c r="D1750" s="107">
        <v>740.05</v>
      </c>
    </row>
    <row r="1751" spans="1:4" ht="63.75" x14ac:dyDescent="0.25">
      <c r="A1751" s="106">
        <v>100712</v>
      </c>
      <c r="B1751" s="105" t="s">
        <v>11032</v>
      </c>
      <c r="C1751" s="106" t="s">
        <v>801</v>
      </c>
      <c r="D1751" s="107">
        <v>561.91999999999996</v>
      </c>
    </row>
    <row r="1752" spans="1:4" ht="63.75" x14ac:dyDescent="0.25">
      <c r="A1752" s="104">
        <v>100665</v>
      </c>
      <c r="B1752" s="105" t="s">
        <v>11033</v>
      </c>
      <c r="C1752" s="106" t="s">
        <v>8</v>
      </c>
      <c r="D1752" s="107">
        <v>696.55</v>
      </c>
    </row>
    <row r="1753" spans="1:4" ht="51" x14ac:dyDescent="0.25">
      <c r="A1753" s="106">
        <v>100666</v>
      </c>
      <c r="B1753" s="105" t="s">
        <v>11034</v>
      </c>
      <c r="C1753" s="106" t="s">
        <v>8</v>
      </c>
      <c r="D1753" s="107">
        <v>549.32000000000005</v>
      </c>
    </row>
    <row r="1754" spans="1:4" ht="51" x14ac:dyDescent="0.25">
      <c r="A1754" s="104">
        <v>100667</v>
      </c>
      <c r="B1754" s="105" t="s">
        <v>11035</v>
      </c>
      <c r="C1754" s="106" t="s">
        <v>8</v>
      </c>
      <c r="D1754" s="107">
        <v>904.68</v>
      </c>
    </row>
    <row r="1755" spans="1:4" ht="51" x14ac:dyDescent="0.25">
      <c r="A1755" s="106">
        <v>100668</v>
      </c>
      <c r="B1755" s="105" t="s">
        <v>11036</v>
      </c>
      <c r="C1755" s="106" t="s">
        <v>8</v>
      </c>
      <c r="D1755" s="107">
        <v>1082.18</v>
      </c>
    </row>
    <row r="1756" spans="1:4" ht="51" x14ac:dyDescent="0.25">
      <c r="A1756" s="106">
        <v>100669</v>
      </c>
      <c r="B1756" s="105" t="s">
        <v>11037</v>
      </c>
      <c r="C1756" s="106" t="s">
        <v>8</v>
      </c>
      <c r="D1756" s="107">
        <v>647.61</v>
      </c>
    </row>
    <row r="1757" spans="1:4" ht="63.75" x14ac:dyDescent="0.25">
      <c r="A1757" s="106">
        <v>100670</v>
      </c>
      <c r="B1757" s="105" t="s">
        <v>11038</v>
      </c>
      <c r="C1757" s="106" t="s">
        <v>8</v>
      </c>
      <c r="D1757" s="107">
        <v>869.43</v>
      </c>
    </row>
    <row r="1758" spans="1:4" ht="63.75" x14ac:dyDescent="0.25">
      <c r="A1758" s="104">
        <v>100671</v>
      </c>
      <c r="B1758" s="105" t="s">
        <v>11039</v>
      </c>
      <c r="C1758" s="106" t="s">
        <v>8</v>
      </c>
      <c r="D1758" s="107">
        <v>1080.98</v>
      </c>
    </row>
    <row r="1759" spans="1:4" ht="63.75" x14ac:dyDescent="0.25">
      <c r="A1759" s="104">
        <v>100672</v>
      </c>
      <c r="B1759" s="105" t="s">
        <v>11040</v>
      </c>
      <c r="C1759" s="106" t="s">
        <v>8</v>
      </c>
      <c r="D1759" s="107">
        <v>694.97</v>
      </c>
    </row>
    <row r="1760" spans="1:4" ht="25.5" x14ac:dyDescent="0.25">
      <c r="A1760" s="104">
        <v>100701</v>
      </c>
      <c r="B1760" s="105" t="s">
        <v>11041</v>
      </c>
      <c r="C1760" s="106" t="s">
        <v>8</v>
      </c>
      <c r="D1760" s="107">
        <v>456.02</v>
      </c>
    </row>
    <row r="1761" spans="1:4" ht="51" x14ac:dyDescent="0.25">
      <c r="A1761" s="104">
        <v>94559</v>
      </c>
      <c r="B1761" s="105" t="s">
        <v>11042</v>
      </c>
      <c r="C1761" s="106" t="s">
        <v>8</v>
      </c>
      <c r="D1761" s="107">
        <v>574.92999999999995</v>
      </c>
    </row>
    <row r="1762" spans="1:4" ht="51" x14ac:dyDescent="0.25">
      <c r="A1762" s="104">
        <v>94560</v>
      </c>
      <c r="B1762" s="105" t="s">
        <v>11043</v>
      </c>
      <c r="C1762" s="106" t="s">
        <v>8</v>
      </c>
      <c r="D1762" s="107">
        <v>529.12</v>
      </c>
    </row>
    <row r="1763" spans="1:4" ht="38.25" x14ac:dyDescent="0.25">
      <c r="A1763" s="104">
        <v>94562</v>
      </c>
      <c r="B1763" s="105" t="s">
        <v>11044</v>
      </c>
      <c r="C1763" s="106" t="s">
        <v>8</v>
      </c>
      <c r="D1763" s="109">
        <v>554.86</v>
      </c>
    </row>
    <row r="1764" spans="1:4" ht="51" x14ac:dyDescent="0.25">
      <c r="A1764" s="104">
        <v>94563</v>
      </c>
      <c r="B1764" s="105" t="s">
        <v>11045</v>
      </c>
      <c r="C1764" s="106" t="s">
        <v>8</v>
      </c>
      <c r="D1764" s="107">
        <v>698.07</v>
      </c>
    </row>
    <row r="1765" spans="1:4" ht="25.5" x14ac:dyDescent="0.25">
      <c r="A1765" s="104">
        <v>94587</v>
      </c>
      <c r="B1765" s="105" t="s">
        <v>11046</v>
      </c>
      <c r="C1765" s="106" t="s">
        <v>16</v>
      </c>
      <c r="D1765" s="107">
        <v>39.36</v>
      </c>
    </row>
    <row r="1766" spans="1:4" ht="25.5" x14ac:dyDescent="0.25">
      <c r="A1766" s="106">
        <v>94588</v>
      </c>
      <c r="B1766" s="105" t="s">
        <v>11047</v>
      </c>
      <c r="C1766" s="106" t="s">
        <v>16</v>
      </c>
      <c r="D1766" s="107">
        <v>34.29</v>
      </c>
    </row>
    <row r="1767" spans="1:4" ht="51" x14ac:dyDescent="0.25">
      <c r="A1767" s="106">
        <v>99837</v>
      </c>
      <c r="B1767" s="105" t="s">
        <v>2214</v>
      </c>
      <c r="C1767" s="106" t="s">
        <v>16</v>
      </c>
      <c r="D1767" s="107">
        <v>357.26</v>
      </c>
    </row>
    <row r="1768" spans="1:4" ht="51" x14ac:dyDescent="0.25">
      <c r="A1768" s="106">
        <v>99839</v>
      </c>
      <c r="B1768" s="105" t="s">
        <v>2215</v>
      </c>
      <c r="C1768" s="106" t="s">
        <v>16</v>
      </c>
      <c r="D1768" s="107">
        <v>309.04000000000002</v>
      </c>
    </row>
    <row r="1769" spans="1:4" ht="38.25" x14ac:dyDescent="0.25">
      <c r="A1769" s="104">
        <v>99841</v>
      </c>
      <c r="B1769" s="105" t="s">
        <v>2216</v>
      </c>
      <c r="C1769" s="106" t="s">
        <v>16</v>
      </c>
      <c r="D1769" s="107">
        <v>788.17</v>
      </c>
    </row>
    <row r="1770" spans="1:4" ht="25.5" x14ac:dyDescent="0.25">
      <c r="A1770" s="106">
        <v>99855</v>
      </c>
      <c r="B1770" s="105" t="s">
        <v>2217</v>
      </c>
      <c r="C1770" s="106" t="s">
        <v>16</v>
      </c>
      <c r="D1770" s="107">
        <v>64.959999999999994</v>
      </c>
    </row>
    <row r="1771" spans="1:4" ht="25.5" x14ac:dyDescent="0.25">
      <c r="A1771" s="104">
        <v>99857</v>
      </c>
      <c r="B1771" s="105" t="s">
        <v>2218</v>
      </c>
      <c r="C1771" s="106" t="s">
        <v>16</v>
      </c>
      <c r="D1771" s="107">
        <v>58.67</v>
      </c>
    </row>
    <row r="1772" spans="1:4" ht="25.5" x14ac:dyDescent="0.25">
      <c r="A1772" s="104">
        <v>99861</v>
      </c>
      <c r="B1772" s="105" t="s">
        <v>2219</v>
      </c>
      <c r="C1772" s="106" t="s">
        <v>8</v>
      </c>
      <c r="D1772" s="109">
        <v>392.74</v>
      </c>
    </row>
    <row r="1773" spans="1:4" ht="25.5" x14ac:dyDescent="0.25">
      <c r="A1773" s="104">
        <v>99862</v>
      </c>
      <c r="B1773" s="105" t="s">
        <v>2220</v>
      </c>
      <c r="C1773" s="106" t="s">
        <v>8</v>
      </c>
      <c r="D1773" s="107">
        <v>390.53</v>
      </c>
    </row>
    <row r="1774" spans="1:4" ht="25.5" x14ac:dyDescent="0.25">
      <c r="A1774" s="104">
        <v>73665</v>
      </c>
      <c r="B1774" s="105" t="s">
        <v>2221</v>
      </c>
      <c r="C1774" s="106" t="s">
        <v>16</v>
      </c>
      <c r="D1774" s="107">
        <v>58.62</v>
      </c>
    </row>
    <row r="1775" spans="1:4" ht="25.5" x14ac:dyDescent="0.25">
      <c r="A1775" s="106" t="s">
        <v>2222</v>
      </c>
      <c r="B1775" s="105" t="s">
        <v>2223</v>
      </c>
      <c r="C1775" s="106" t="s">
        <v>16</v>
      </c>
      <c r="D1775" s="107">
        <v>233.04</v>
      </c>
    </row>
    <row r="1776" spans="1:4" ht="25.5" x14ac:dyDescent="0.25">
      <c r="A1776" s="106">
        <v>90838</v>
      </c>
      <c r="B1776" s="105" t="s">
        <v>11048</v>
      </c>
      <c r="C1776" s="106" t="s">
        <v>801</v>
      </c>
      <c r="D1776" s="107">
        <v>1013.95</v>
      </c>
    </row>
    <row r="1777" spans="1:4" ht="38.25" x14ac:dyDescent="0.25">
      <c r="A1777" s="106">
        <v>91338</v>
      </c>
      <c r="B1777" s="105" t="s">
        <v>11049</v>
      </c>
      <c r="C1777" s="106" t="s">
        <v>8</v>
      </c>
      <c r="D1777" s="107">
        <v>824.46</v>
      </c>
    </row>
    <row r="1778" spans="1:4" ht="38.25" x14ac:dyDescent="0.25">
      <c r="A1778" s="104">
        <v>91341</v>
      </c>
      <c r="B1778" s="105" t="s">
        <v>11050</v>
      </c>
      <c r="C1778" s="106" t="s">
        <v>8</v>
      </c>
      <c r="D1778" s="107">
        <v>597.25</v>
      </c>
    </row>
    <row r="1779" spans="1:4" ht="38.25" x14ac:dyDescent="0.25">
      <c r="A1779" s="104">
        <v>94805</v>
      </c>
      <c r="B1779" s="105" t="s">
        <v>11051</v>
      </c>
      <c r="C1779" s="106" t="s">
        <v>801</v>
      </c>
      <c r="D1779" s="107">
        <v>971.8</v>
      </c>
    </row>
    <row r="1780" spans="1:4" ht="38.25" x14ac:dyDescent="0.25">
      <c r="A1780" s="104">
        <v>94806</v>
      </c>
      <c r="B1780" s="105" t="s">
        <v>11052</v>
      </c>
      <c r="C1780" s="106" t="s">
        <v>801</v>
      </c>
      <c r="D1780" s="107">
        <v>474.8</v>
      </c>
    </row>
    <row r="1781" spans="1:4" ht="38.25" x14ac:dyDescent="0.25">
      <c r="A1781" s="104">
        <v>94807</v>
      </c>
      <c r="B1781" s="105" t="s">
        <v>11053</v>
      </c>
      <c r="C1781" s="106" t="s">
        <v>801</v>
      </c>
      <c r="D1781" s="107">
        <v>572.85</v>
      </c>
    </row>
    <row r="1782" spans="1:4" ht="38.25" x14ac:dyDescent="0.25">
      <c r="A1782" s="104">
        <v>100702</v>
      </c>
      <c r="B1782" s="105" t="s">
        <v>11054</v>
      </c>
      <c r="C1782" s="106" t="s">
        <v>8</v>
      </c>
      <c r="D1782" s="107">
        <v>501.43</v>
      </c>
    </row>
    <row r="1783" spans="1:4" ht="51" x14ac:dyDescent="0.25">
      <c r="A1783" s="104">
        <v>84885</v>
      </c>
      <c r="B1783" s="105" t="s">
        <v>2224</v>
      </c>
      <c r="C1783" s="106" t="s">
        <v>801</v>
      </c>
      <c r="D1783" s="107">
        <v>608.54</v>
      </c>
    </row>
    <row r="1784" spans="1:4" x14ac:dyDescent="0.25">
      <c r="A1784" s="104">
        <v>84886</v>
      </c>
      <c r="B1784" s="105" t="s">
        <v>2225</v>
      </c>
      <c r="C1784" s="106" t="s">
        <v>801</v>
      </c>
      <c r="D1784" s="107">
        <v>1127.01</v>
      </c>
    </row>
    <row r="1785" spans="1:4" x14ac:dyDescent="0.25">
      <c r="A1785" s="104">
        <v>100703</v>
      </c>
      <c r="B1785" s="105" t="s">
        <v>11055</v>
      </c>
      <c r="C1785" s="106" t="s">
        <v>801</v>
      </c>
      <c r="D1785" s="107">
        <v>20.29</v>
      </c>
    </row>
    <row r="1786" spans="1:4" ht="25.5" x14ac:dyDescent="0.25">
      <c r="A1786" s="104">
        <v>100704</v>
      </c>
      <c r="B1786" s="105" t="s">
        <v>11056</v>
      </c>
      <c r="C1786" s="106" t="s">
        <v>801</v>
      </c>
      <c r="D1786" s="107">
        <v>161.15</v>
      </c>
    </row>
    <row r="1787" spans="1:4" ht="25.5" x14ac:dyDescent="0.25">
      <c r="A1787" s="106">
        <v>100705</v>
      </c>
      <c r="B1787" s="105" t="s">
        <v>11057</v>
      </c>
      <c r="C1787" s="106" t="s">
        <v>801</v>
      </c>
      <c r="D1787" s="109">
        <v>50.44</v>
      </c>
    </row>
    <row r="1788" spans="1:4" x14ac:dyDescent="0.25">
      <c r="A1788" s="106">
        <v>100706</v>
      </c>
      <c r="B1788" s="105" t="s">
        <v>11058</v>
      </c>
      <c r="C1788" s="106" t="s">
        <v>801</v>
      </c>
      <c r="D1788" s="107">
        <v>93.98</v>
      </c>
    </row>
    <row r="1789" spans="1:4" x14ac:dyDescent="0.25">
      <c r="A1789" s="106">
        <v>100707</v>
      </c>
      <c r="B1789" s="105" t="s">
        <v>11059</v>
      </c>
      <c r="C1789" s="106" t="s">
        <v>801</v>
      </c>
      <c r="D1789" s="107">
        <v>52.1</v>
      </c>
    </row>
    <row r="1790" spans="1:4" x14ac:dyDescent="0.25">
      <c r="A1790" s="104">
        <v>100708</v>
      </c>
      <c r="B1790" s="105" t="s">
        <v>11060</v>
      </c>
      <c r="C1790" s="106" t="s">
        <v>801</v>
      </c>
      <c r="D1790" s="107">
        <v>67.91</v>
      </c>
    </row>
    <row r="1791" spans="1:4" ht="25.5" x14ac:dyDescent="0.25">
      <c r="A1791" s="104">
        <v>100709</v>
      </c>
      <c r="B1791" s="105" t="s">
        <v>11061</v>
      </c>
      <c r="C1791" s="106" t="s">
        <v>801</v>
      </c>
      <c r="D1791" s="107">
        <v>32.92</v>
      </c>
    </row>
    <row r="1792" spans="1:4" x14ac:dyDescent="0.25">
      <c r="A1792" s="104">
        <v>100710</v>
      </c>
      <c r="B1792" s="105" t="s">
        <v>11062</v>
      </c>
      <c r="C1792" s="106" t="s">
        <v>801</v>
      </c>
      <c r="D1792" s="107">
        <v>79.97</v>
      </c>
    </row>
    <row r="1793" spans="1:4" x14ac:dyDescent="0.25">
      <c r="A1793" s="104">
        <v>72116</v>
      </c>
      <c r="B1793" s="105" t="s">
        <v>2226</v>
      </c>
      <c r="C1793" s="106" t="s">
        <v>8</v>
      </c>
      <c r="D1793" s="107">
        <v>106.53</v>
      </c>
    </row>
    <row r="1794" spans="1:4" x14ac:dyDescent="0.25">
      <c r="A1794" s="104">
        <v>72117</v>
      </c>
      <c r="B1794" s="105" t="s">
        <v>2227</v>
      </c>
      <c r="C1794" s="106" t="s">
        <v>8</v>
      </c>
      <c r="D1794" s="107">
        <v>136.59</v>
      </c>
    </row>
    <row r="1795" spans="1:4" ht="25.5" x14ac:dyDescent="0.25">
      <c r="A1795" s="104">
        <v>72118</v>
      </c>
      <c r="B1795" s="105" t="s">
        <v>2228</v>
      </c>
      <c r="C1795" s="106" t="s">
        <v>8</v>
      </c>
      <c r="D1795" s="107">
        <v>214.55</v>
      </c>
    </row>
    <row r="1796" spans="1:4" ht="25.5" x14ac:dyDescent="0.25">
      <c r="A1796" s="104">
        <v>72119</v>
      </c>
      <c r="B1796" s="105" t="s">
        <v>2229</v>
      </c>
      <c r="C1796" s="106" t="s">
        <v>8</v>
      </c>
      <c r="D1796" s="107">
        <v>272.04000000000002</v>
      </c>
    </row>
    <row r="1797" spans="1:4" ht="25.5" x14ac:dyDescent="0.25">
      <c r="A1797" s="106">
        <v>72120</v>
      </c>
      <c r="B1797" s="105" t="s">
        <v>2230</v>
      </c>
      <c r="C1797" s="106" t="s">
        <v>8</v>
      </c>
      <c r="D1797" s="107">
        <v>345.31</v>
      </c>
    </row>
    <row r="1798" spans="1:4" x14ac:dyDescent="0.25">
      <c r="A1798" s="106">
        <v>72122</v>
      </c>
      <c r="B1798" s="105" t="s">
        <v>2231</v>
      </c>
      <c r="C1798" s="106" t="s">
        <v>8</v>
      </c>
      <c r="D1798" s="107">
        <v>117.37</v>
      </c>
    </row>
    <row r="1799" spans="1:4" x14ac:dyDescent="0.25">
      <c r="A1799" s="104">
        <v>72123</v>
      </c>
      <c r="B1799" s="105" t="s">
        <v>2232</v>
      </c>
      <c r="C1799" s="106" t="s">
        <v>8</v>
      </c>
      <c r="D1799" s="107">
        <v>311.85000000000002</v>
      </c>
    </row>
    <row r="1800" spans="1:4" ht="25.5" x14ac:dyDescent="0.25">
      <c r="A1800" s="104" t="s">
        <v>2233</v>
      </c>
      <c r="B1800" s="105" t="s">
        <v>2234</v>
      </c>
      <c r="C1800" s="106" t="s">
        <v>801</v>
      </c>
      <c r="D1800" s="109">
        <v>2103.41</v>
      </c>
    </row>
    <row r="1801" spans="1:4" x14ac:dyDescent="0.25">
      <c r="A1801" s="104" t="s">
        <v>2235</v>
      </c>
      <c r="B1801" s="105" t="s">
        <v>2236</v>
      </c>
      <c r="C1801" s="106" t="s">
        <v>8</v>
      </c>
      <c r="D1801" s="107">
        <v>402.06</v>
      </c>
    </row>
    <row r="1802" spans="1:4" ht="25.5" x14ac:dyDescent="0.25">
      <c r="A1802" s="104" t="s">
        <v>2237</v>
      </c>
      <c r="B1802" s="105" t="s">
        <v>2238</v>
      </c>
      <c r="C1802" s="106" t="s">
        <v>8</v>
      </c>
      <c r="D1802" s="107">
        <v>435.76</v>
      </c>
    </row>
    <row r="1803" spans="1:4" x14ac:dyDescent="0.25">
      <c r="A1803" s="104">
        <v>84957</v>
      </c>
      <c r="B1803" s="105" t="s">
        <v>2239</v>
      </c>
      <c r="C1803" s="106" t="s">
        <v>8</v>
      </c>
      <c r="D1803" s="107">
        <v>163.78</v>
      </c>
    </row>
    <row r="1804" spans="1:4" x14ac:dyDescent="0.25">
      <c r="A1804" s="104">
        <v>84959</v>
      </c>
      <c r="B1804" s="105" t="s">
        <v>2240</v>
      </c>
      <c r="C1804" s="106" t="s">
        <v>8</v>
      </c>
      <c r="D1804" s="107">
        <v>191.56</v>
      </c>
    </row>
    <row r="1805" spans="1:4" x14ac:dyDescent="0.25">
      <c r="A1805" s="104">
        <v>85001</v>
      </c>
      <c r="B1805" s="105" t="s">
        <v>2241</v>
      </c>
      <c r="C1805" s="106" t="s">
        <v>8</v>
      </c>
      <c r="D1805" s="107">
        <v>182.3</v>
      </c>
    </row>
    <row r="1806" spans="1:4" x14ac:dyDescent="0.25">
      <c r="A1806" s="104">
        <v>85002</v>
      </c>
      <c r="B1806" s="105" t="s">
        <v>2242</v>
      </c>
      <c r="C1806" s="106" t="s">
        <v>8</v>
      </c>
      <c r="D1806" s="107">
        <v>256.39</v>
      </c>
    </row>
    <row r="1807" spans="1:4" x14ac:dyDescent="0.25">
      <c r="A1807" s="104">
        <v>85004</v>
      </c>
      <c r="B1807" s="105" t="s">
        <v>2243</v>
      </c>
      <c r="C1807" s="106" t="s">
        <v>8</v>
      </c>
      <c r="D1807" s="107">
        <v>126.74</v>
      </c>
    </row>
    <row r="1808" spans="1:4" ht="25.5" x14ac:dyDescent="0.25">
      <c r="A1808" s="104">
        <v>85005</v>
      </c>
      <c r="B1808" s="105" t="s">
        <v>2244</v>
      </c>
      <c r="C1808" s="106" t="s">
        <v>8</v>
      </c>
      <c r="D1808" s="107">
        <v>370</v>
      </c>
    </row>
    <row r="1809" spans="1:4" ht="38.25" x14ac:dyDescent="0.25">
      <c r="A1809" s="104">
        <v>94569</v>
      </c>
      <c r="B1809" s="105" t="s">
        <v>11063</v>
      </c>
      <c r="C1809" s="106" t="s">
        <v>8</v>
      </c>
      <c r="D1809" s="107">
        <v>416.47</v>
      </c>
    </row>
    <row r="1810" spans="1:4" ht="51" x14ac:dyDescent="0.25">
      <c r="A1810" s="104">
        <v>94570</v>
      </c>
      <c r="B1810" s="105" t="s">
        <v>11064</v>
      </c>
      <c r="C1810" s="106" t="s">
        <v>8</v>
      </c>
      <c r="D1810" s="107">
        <v>261.07</v>
      </c>
    </row>
    <row r="1811" spans="1:4" ht="51" x14ac:dyDescent="0.25">
      <c r="A1811" s="104">
        <v>94572</v>
      </c>
      <c r="B1811" s="105" t="s">
        <v>11065</v>
      </c>
      <c r="C1811" s="106" t="s">
        <v>8</v>
      </c>
      <c r="D1811" s="107">
        <v>391.24</v>
      </c>
    </row>
    <row r="1812" spans="1:4" ht="51" x14ac:dyDescent="0.25">
      <c r="A1812" s="104">
        <v>94573</v>
      </c>
      <c r="B1812" s="105" t="s">
        <v>11066</v>
      </c>
      <c r="C1812" s="106" t="s">
        <v>8</v>
      </c>
      <c r="D1812" s="107">
        <v>301.47000000000003</v>
      </c>
    </row>
    <row r="1813" spans="1:4" ht="51" x14ac:dyDescent="0.25">
      <c r="A1813" s="104">
        <v>94580</v>
      </c>
      <c r="B1813" s="105" t="s">
        <v>11067</v>
      </c>
      <c r="C1813" s="106" t="s">
        <v>8</v>
      </c>
      <c r="D1813" s="107">
        <v>442.16</v>
      </c>
    </row>
    <row r="1814" spans="1:4" ht="38.25" x14ac:dyDescent="0.25">
      <c r="A1814" s="104">
        <v>100674</v>
      </c>
      <c r="B1814" s="105" t="s">
        <v>11068</v>
      </c>
      <c r="C1814" s="106" t="s">
        <v>8</v>
      </c>
      <c r="D1814" s="107">
        <v>287.06</v>
      </c>
    </row>
    <row r="1815" spans="1:4" ht="38.25" x14ac:dyDescent="0.25">
      <c r="A1815" s="104">
        <v>101096</v>
      </c>
      <c r="B1815" s="105" t="s">
        <v>11069</v>
      </c>
      <c r="C1815" s="106" t="s">
        <v>13</v>
      </c>
      <c r="D1815" s="107">
        <v>803.49</v>
      </c>
    </row>
    <row r="1816" spans="1:4" ht="38.25" x14ac:dyDescent="0.25">
      <c r="A1816" s="104">
        <v>101097</v>
      </c>
      <c r="B1816" s="105" t="s">
        <v>11070</v>
      </c>
      <c r="C1816" s="106" t="s">
        <v>13</v>
      </c>
      <c r="D1816" s="107">
        <v>762.95</v>
      </c>
    </row>
    <row r="1817" spans="1:4" ht="38.25" x14ac:dyDescent="0.25">
      <c r="A1817" s="104">
        <v>101098</v>
      </c>
      <c r="B1817" s="105" t="s">
        <v>11071</v>
      </c>
      <c r="C1817" s="106" t="s">
        <v>13</v>
      </c>
      <c r="D1817" s="107">
        <v>709.2</v>
      </c>
    </row>
    <row r="1818" spans="1:4" ht="38.25" x14ac:dyDescent="0.25">
      <c r="A1818" s="106">
        <v>101099</v>
      </c>
      <c r="B1818" s="105" t="s">
        <v>11072</v>
      </c>
      <c r="C1818" s="106" t="s">
        <v>13</v>
      </c>
      <c r="D1818" s="107">
        <v>651.39</v>
      </c>
    </row>
    <row r="1819" spans="1:4" ht="38.25" x14ac:dyDescent="0.25">
      <c r="A1819" s="106">
        <v>101100</v>
      </c>
      <c r="B1819" s="105" t="s">
        <v>11073</v>
      </c>
      <c r="C1819" s="106" t="s">
        <v>13</v>
      </c>
      <c r="D1819" s="107">
        <v>597.63</v>
      </c>
    </row>
    <row r="1820" spans="1:4" ht="38.25" x14ac:dyDescent="0.25">
      <c r="A1820" s="104">
        <v>101101</v>
      </c>
      <c r="B1820" s="105" t="s">
        <v>11074</v>
      </c>
      <c r="C1820" s="106" t="s">
        <v>13</v>
      </c>
      <c r="D1820" s="107">
        <v>584.71</v>
      </c>
    </row>
    <row r="1821" spans="1:4" ht="38.25" x14ac:dyDescent="0.25">
      <c r="A1821" s="104">
        <v>101102</v>
      </c>
      <c r="B1821" s="105" t="s">
        <v>11075</v>
      </c>
      <c r="C1821" s="106" t="s">
        <v>13</v>
      </c>
      <c r="D1821" s="107">
        <v>569</v>
      </c>
    </row>
    <row r="1822" spans="1:4" ht="38.25" x14ac:dyDescent="0.25">
      <c r="A1822" s="104">
        <v>101103</v>
      </c>
      <c r="B1822" s="105" t="s">
        <v>11076</v>
      </c>
      <c r="C1822" s="106" t="s">
        <v>13</v>
      </c>
      <c r="D1822" s="107">
        <v>535.85</v>
      </c>
    </row>
    <row r="1823" spans="1:4" ht="38.25" x14ac:dyDescent="0.25">
      <c r="A1823" s="104">
        <v>101104</v>
      </c>
      <c r="B1823" s="105" t="s">
        <v>11077</v>
      </c>
      <c r="C1823" s="106" t="s">
        <v>13</v>
      </c>
      <c r="D1823" s="107">
        <v>870.24</v>
      </c>
    </row>
    <row r="1824" spans="1:4" ht="38.25" x14ac:dyDescent="0.25">
      <c r="A1824" s="104">
        <v>101105</v>
      </c>
      <c r="B1824" s="105" t="s">
        <v>11078</v>
      </c>
      <c r="C1824" s="106" t="s">
        <v>13</v>
      </c>
      <c r="D1824" s="107">
        <v>828.74</v>
      </c>
    </row>
    <row r="1825" spans="1:4" ht="38.25" x14ac:dyDescent="0.25">
      <c r="A1825" s="104">
        <v>101106</v>
      </c>
      <c r="B1825" s="105" t="s">
        <v>11079</v>
      </c>
      <c r="C1825" s="106" t="s">
        <v>13</v>
      </c>
      <c r="D1825" s="107">
        <v>773.85</v>
      </c>
    </row>
    <row r="1826" spans="1:4" ht="38.25" x14ac:dyDescent="0.25">
      <c r="A1826" s="104">
        <v>101107</v>
      </c>
      <c r="B1826" s="105" t="s">
        <v>11080</v>
      </c>
      <c r="C1826" s="106" t="s">
        <v>13</v>
      </c>
      <c r="D1826" s="107">
        <v>714.12</v>
      </c>
    </row>
    <row r="1827" spans="1:4" ht="38.25" x14ac:dyDescent="0.25">
      <c r="A1827" s="104">
        <v>101108</v>
      </c>
      <c r="B1827" s="105" t="s">
        <v>11081</v>
      </c>
      <c r="C1827" s="106" t="s">
        <v>13</v>
      </c>
      <c r="D1827" s="107">
        <v>660.72</v>
      </c>
    </row>
    <row r="1828" spans="1:4" ht="38.25" x14ac:dyDescent="0.25">
      <c r="A1828" s="104">
        <v>101109</v>
      </c>
      <c r="B1828" s="105" t="s">
        <v>11082</v>
      </c>
      <c r="C1828" s="106" t="s">
        <v>13</v>
      </c>
      <c r="D1828" s="107">
        <v>647.02</v>
      </c>
    </row>
    <row r="1829" spans="1:4" ht="38.25" x14ac:dyDescent="0.25">
      <c r="A1829" s="104">
        <v>101110</v>
      </c>
      <c r="B1829" s="105" t="s">
        <v>11083</v>
      </c>
      <c r="C1829" s="106" t="s">
        <v>13</v>
      </c>
      <c r="D1829" s="107">
        <v>630.59</v>
      </c>
    </row>
    <row r="1830" spans="1:4" ht="38.25" x14ac:dyDescent="0.25">
      <c r="A1830" s="104">
        <v>101111</v>
      </c>
      <c r="B1830" s="105" t="s">
        <v>11084</v>
      </c>
      <c r="C1830" s="106" t="s">
        <v>13</v>
      </c>
      <c r="D1830" s="107">
        <v>595.94000000000005</v>
      </c>
    </row>
    <row r="1831" spans="1:4" ht="38.25" x14ac:dyDescent="0.25">
      <c r="A1831" s="104">
        <v>101112</v>
      </c>
      <c r="B1831" s="105" t="s">
        <v>11085</v>
      </c>
      <c r="C1831" s="106" t="s">
        <v>13</v>
      </c>
      <c r="D1831" s="107">
        <v>578.04999999999995</v>
      </c>
    </row>
    <row r="1832" spans="1:4" ht="38.25" x14ac:dyDescent="0.25">
      <c r="A1832" s="104">
        <v>101113</v>
      </c>
      <c r="B1832" s="105" t="s">
        <v>11086</v>
      </c>
      <c r="C1832" s="106" t="s">
        <v>13</v>
      </c>
      <c r="D1832" s="107">
        <v>648.89</v>
      </c>
    </row>
    <row r="1833" spans="1:4" ht="25.5" x14ac:dyDescent="0.25">
      <c r="A1833" s="104">
        <v>95601</v>
      </c>
      <c r="B1833" s="105" t="s">
        <v>2245</v>
      </c>
      <c r="C1833" s="106" t="s">
        <v>801</v>
      </c>
      <c r="D1833" s="107">
        <v>12.8</v>
      </c>
    </row>
    <row r="1834" spans="1:4" ht="25.5" x14ac:dyDescent="0.25">
      <c r="A1834" s="104">
        <v>95602</v>
      </c>
      <c r="B1834" s="105" t="s">
        <v>2246</v>
      </c>
      <c r="C1834" s="106" t="s">
        <v>801</v>
      </c>
      <c r="D1834" s="107">
        <v>16.46</v>
      </c>
    </row>
    <row r="1835" spans="1:4" ht="25.5" x14ac:dyDescent="0.25">
      <c r="A1835" s="104">
        <v>95603</v>
      </c>
      <c r="B1835" s="105" t="s">
        <v>2247</v>
      </c>
      <c r="C1835" s="106" t="s">
        <v>801</v>
      </c>
      <c r="D1835" s="107">
        <v>21.61</v>
      </c>
    </row>
    <row r="1836" spans="1:4" ht="25.5" x14ac:dyDescent="0.25">
      <c r="A1836" s="104">
        <v>95604</v>
      </c>
      <c r="B1836" s="105" t="s">
        <v>2248</v>
      </c>
      <c r="C1836" s="106" t="s">
        <v>801</v>
      </c>
      <c r="D1836" s="107">
        <v>28.45</v>
      </c>
    </row>
    <row r="1837" spans="1:4" ht="25.5" x14ac:dyDescent="0.25">
      <c r="A1837" s="104">
        <v>95605</v>
      </c>
      <c r="B1837" s="105" t="s">
        <v>2249</v>
      </c>
      <c r="C1837" s="106" t="s">
        <v>801</v>
      </c>
      <c r="D1837" s="107">
        <v>44.61</v>
      </c>
    </row>
    <row r="1838" spans="1:4" ht="25.5" x14ac:dyDescent="0.25">
      <c r="A1838" s="104">
        <v>95607</v>
      </c>
      <c r="B1838" s="105" t="s">
        <v>2250</v>
      </c>
      <c r="C1838" s="106" t="s">
        <v>801</v>
      </c>
      <c r="D1838" s="107">
        <v>5.31</v>
      </c>
    </row>
    <row r="1839" spans="1:4" ht="25.5" x14ac:dyDescent="0.25">
      <c r="A1839" s="104">
        <v>95608</v>
      </c>
      <c r="B1839" s="105" t="s">
        <v>2251</v>
      </c>
      <c r="C1839" s="106" t="s">
        <v>801</v>
      </c>
      <c r="D1839" s="107">
        <v>6.12</v>
      </c>
    </row>
    <row r="1840" spans="1:4" ht="25.5" x14ac:dyDescent="0.25">
      <c r="A1840" s="104">
        <v>95609</v>
      </c>
      <c r="B1840" s="105" t="s">
        <v>2252</v>
      </c>
      <c r="C1840" s="106" t="s">
        <v>801</v>
      </c>
      <c r="D1840" s="107">
        <v>6.82</v>
      </c>
    </row>
    <row r="1841" spans="1:4" ht="38.25" x14ac:dyDescent="0.25">
      <c r="A1841" s="104">
        <v>100651</v>
      </c>
      <c r="B1841" s="105" t="s">
        <v>11087</v>
      </c>
      <c r="C1841" s="106" t="s">
        <v>16</v>
      </c>
      <c r="D1841" s="107">
        <v>90.11</v>
      </c>
    </row>
    <row r="1842" spans="1:4" ht="38.25" x14ac:dyDescent="0.25">
      <c r="A1842" s="104">
        <v>100652</v>
      </c>
      <c r="B1842" s="105" t="s">
        <v>11088</v>
      </c>
      <c r="C1842" s="106" t="s">
        <v>16</v>
      </c>
      <c r="D1842" s="107">
        <v>177.81</v>
      </c>
    </row>
    <row r="1843" spans="1:4" ht="38.25" x14ac:dyDescent="0.25">
      <c r="A1843" s="104">
        <v>100653</v>
      </c>
      <c r="B1843" s="105" t="s">
        <v>11089</v>
      </c>
      <c r="C1843" s="106" t="s">
        <v>16</v>
      </c>
      <c r="D1843" s="107">
        <v>300.58</v>
      </c>
    </row>
    <row r="1844" spans="1:4" ht="38.25" x14ac:dyDescent="0.25">
      <c r="A1844" s="104">
        <v>100654</v>
      </c>
      <c r="B1844" s="105" t="s">
        <v>11090</v>
      </c>
      <c r="C1844" s="106" t="s">
        <v>16</v>
      </c>
      <c r="D1844" s="107">
        <v>402.45</v>
      </c>
    </row>
    <row r="1845" spans="1:4" ht="38.25" x14ac:dyDescent="0.25">
      <c r="A1845" s="104">
        <v>100655</v>
      </c>
      <c r="B1845" s="105" t="s">
        <v>11091</v>
      </c>
      <c r="C1845" s="106" t="s">
        <v>16</v>
      </c>
      <c r="D1845" s="107">
        <v>468.75</v>
      </c>
    </row>
    <row r="1846" spans="1:4" ht="38.25" x14ac:dyDescent="0.25">
      <c r="A1846" s="104">
        <v>100656</v>
      </c>
      <c r="B1846" s="105" t="s">
        <v>11092</v>
      </c>
      <c r="C1846" s="106" t="s">
        <v>16</v>
      </c>
      <c r="D1846" s="107">
        <v>65.59</v>
      </c>
    </row>
    <row r="1847" spans="1:4" ht="38.25" x14ac:dyDescent="0.25">
      <c r="A1847" s="104">
        <v>100657</v>
      </c>
      <c r="B1847" s="105" t="s">
        <v>11093</v>
      </c>
      <c r="C1847" s="106" t="s">
        <v>16</v>
      </c>
      <c r="D1847" s="107">
        <v>84.81</v>
      </c>
    </row>
    <row r="1848" spans="1:4" ht="38.25" x14ac:dyDescent="0.25">
      <c r="A1848" s="104">
        <v>100658</v>
      </c>
      <c r="B1848" s="105" t="s">
        <v>11094</v>
      </c>
      <c r="C1848" s="106" t="s">
        <v>16</v>
      </c>
      <c r="D1848" s="107">
        <v>197.39</v>
      </c>
    </row>
    <row r="1849" spans="1:4" ht="38.25" x14ac:dyDescent="0.25">
      <c r="A1849" s="104">
        <v>100889</v>
      </c>
      <c r="B1849" s="105" t="s">
        <v>11095</v>
      </c>
      <c r="C1849" s="106" t="s">
        <v>57</v>
      </c>
      <c r="D1849" s="107">
        <v>7.75</v>
      </c>
    </row>
    <row r="1850" spans="1:4" ht="38.25" x14ac:dyDescent="0.25">
      <c r="A1850" s="104">
        <v>100890</v>
      </c>
      <c r="B1850" s="105" t="s">
        <v>11096</v>
      </c>
      <c r="C1850" s="106" t="s">
        <v>57</v>
      </c>
      <c r="D1850" s="107">
        <v>7.63</v>
      </c>
    </row>
    <row r="1851" spans="1:4" ht="38.25" x14ac:dyDescent="0.25">
      <c r="A1851" s="104">
        <v>100892</v>
      </c>
      <c r="B1851" s="105" t="s">
        <v>11097</v>
      </c>
      <c r="C1851" s="106" t="s">
        <v>57</v>
      </c>
      <c r="D1851" s="107">
        <v>7.39</v>
      </c>
    </row>
    <row r="1852" spans="1:4" ht="38.25" x14ac:dyDescent="0.25">
      <c r="A1852" s="104">
        <v>100893</v>
      </c>
      <c r="B1852" s="105" t="s">
        <v>11098</v>
      </c>
      <c r="C1852" s="106" t="s">
        <v>57</v>
      </c>
      <c r="D1852" s="107">
        <v>7.29</v>
      </c>
    </row>
    <row r="1853" spans="1:4" ht="38.25" x14ac:dyDescent="0.25">
      <c r="A1853" s="104">
        <v>100894</v>
      </c>
      <c r="B1853" s="105" t="s">
        <v>11099</v>
      </c>
      <c r="C1853" s="106" t="s">
        <v>57</v>
      </c>
      <c r="D1853" s="107">
        <v>7.22</v>
      </c>
    </row>
    <row r="1854" spans="1:4" ht="51" x14ac:dyDescent="0.25">
      <c r="A1854" s="104">
        <v>100896</v>
      </c>
      <c r="B1854" s="105" t="s">
        <v>11100</v>
      </c>
      <c r="C1854" s="106" t="s">
        <v>16</v>
      </c>
      <c r="D1854" s="107">
        <v>40.479999999999997</v>
      </c>
    </row>
    <row r="1855" spans="1:4" ht="51" x14ac:dyDescent="0.25">
      <c r="A1855" s="104">
        <v>100897</v>
      </c>
      <c r="B1855" s="105" t="s">
        <v>11101</v>
      </c>
      <c r="C1855" s="106" t="s">
        <v>16</v>
      </c>
      <c r="D1855" s="107">
        <v>81.66</v>
      </c>
    </row>
    <row r="1856" spans="1:4" ht="51" x14ac:dyDescent="0.25">
      <c r="A1856" s="104">
        <v>100898</v>
      </c>
      <c r="B1856" s="105" t="s">
        <v>11102</v>
      </c>
      <c r="C1856" s="106" t="s">
        <v>16</v>
      </c>
      <c r="D1856" s="107">
        <v>161.43</v>
      </c>
    </row>
    <row r="1857" spans="1:4" ht="38.25" x14ac:dyDescent="0.25">
      <c r="A1857" s="104">
        <v>100899</v>
      </c>
      <c r="B1857" s="105" t="s">
        <v>11103</v>
      </c>
      <c r="C1857" s="106" t="s">
        <v>16</v>
      </c>
      <c r="D1857" s="107">
        <v>56.49</v>
      </c>
    </row>
    <row r="1858" spans="1:4" ht="38.25" x14ac:dyDescent="0.25">
      <c r="A1858" s="104">
        <v>100900</v>
      </c>
      <c r="B1858" s="105" t="s">
        <v>11104</v>
      </c>
      <c r="C1858" s="106" t="s">
        <v>16</v>
      </c>
      <c r="D1858" s="107">
        <v>186.8</v>
      </c>
    </row>
    <row r="1859" spans="1:4" ht="25.5" x14ac:dyDescent="0.25">
      <c r="A1859" s="104">
        <v>100929</v>
      </c>
      <c r="B1859" s="105" t="s">
        <v>11105</v>
      </c>
      <c r="C1859" s="106" t="s">
        <v>16</v>
      </c>
      <c r="D1859" s="107">
        <v>160.97999999999999</v>
      </c>
    </row>
    <row r="1860" spans="1:4" ht="25.5" x14ac:dyDescent="0.25">
      <c r="A1860" s="104">
        <v>100930</v>
      </c>
      <c r="B1860" s="105" t="s">
        <v>11106</v>
      </c>
      <c r="C1860" s="106" t="s">
        <v>16</v>
      </c>
      <c r="D1860" s="107">
        <v>239.04</v>
      </c>
    </row>
    <row r="1861" spans="1:4" ht="25.5" x14ac:dyDescent="0.25">
      <c r="A1861" s="104">
        <v>100931</v>
      </c>
      <c r="B1861" s="105" t="s">
        <v>11107</v>
      </c>
      <c r="C1861" s="106" t="s">
        <v>16</v>
      </c>
      <c r="D1861" s="107">
        <v>306.49</v>
      </c>
    </row>
    <row r="1862" spans="1:4" ht="25.5" x14ac:dyDescent="0.25">
      <c r="A1862" s="104">
        <v>100932</v>
      </c>
      <c r="B1862" s="105" t="s">
        <v>11108</v>
      </c>
      <c r="C1862" s="106" t="s">
        <v>16</v>
      </c>
      <c r="D1862" s="107">
        <v>410.07</v>
      </c>
    </row>
    <row r="1863" spans="1:4" ht="25.5" x14ac:dyDescent="0.25">
      <c r="A1863" s="104">
        <v>100933</v>
      </c>
      <c r="B1863" s="105" t="s">
        <v>11109</v>
      </c>
      <c r="C1863" s="106" t="s">
        <v>16</v>
      </c>
      <c r="D1863" s="107">
        <v>204.97</v>
      </c>
    </row>
    <row r="1864" spans="1:4" ht="25.5" x14ac:dyDescent="0.25">
      <c r="A1864" s="104">
        <v>100934</v>
      </c>
      <c r="B1864" s="105" t="s">
        <v>11110</v>
      </c>
      <c r="C1864" s="106" t="s">
        <v>16</v>
      </c>
      <c r="D1864" s="107">
        <v>294.02999999999997</v>
      </c>
    </row>
    <row r="1865" spans="1:4" ht="25.5" x14ac:dyDescent="0.25">
      <c r="A1865" s="104">
        <v>100935</v>
      </c>
      <c r="B1865" s="105" t="s">
        <v>11111</v>
      </c>
      <c r="C1865" s="106" t="s">
        <v>16</v>
      </c>
      <c r="D1865" s="107">
        <v>375.64</v>
      </c>
    </row>
    <row r="1866" spans="1:4" ht="25.5" x14ac:dyDescent="0.25">
      <c r="A1866" s="104">
        <v>100936</v>
      </c>
      <c r="B1866" s="105" t="s">
        <v>11112</v>
      </c>
      <c r="C1866" s="106" t="s">
        <v>16</v>
      </c>
      <c r="D1866" s="107">
        <v>490.73</v>
      </c>
    </row>
    <row r="1867" spans="1:4" ht="38.25" x14ac:dyDescent="0.25">
      <c r="A1867" s="104">
        <v>101173</v>
      </c>
      <c r="B1867" s="105" t="s">
        <v>11113</v>
      </c>
      <c r="C1867" s="106" t="s">
        <v>16</v>
      </c>
      <c r="D1867" s="107">
        <v>39.409999999999997</v>
      </c>
    </row>
    <row r="1868" spans="1:4" ht="38.25" x14ac:dyDescent="0.25">
      <c r="A1868" s="104">
        <v>101174</v>
      </c>
      <c r="B1868" s="105" t="s">
        <v>11114</v>
      </c>
      <c r="C1868" s="106" t="s">
        <v>16</v>
      </c>
      <c r="D1868" s="107">
        <v>55.44</v>
      </c>
    </row>
    <row r="1869" spans="1:4" ht="38.25" x14ac:dyDescent="0.25">
      <c r="A1869" s="104">
        <v>101175</v>
      </c>
      <c r="B1869" s="105" t="s">
        <v>11115</v>
      </c>
      <c r="C1869" s="106" t="s">
        <v>16</v>
      </c>
      <c r="D1869" s="107">
        <v>75.66</v>
      </c>
    </row>
    <row r="1870" spans="1:4" ht="25.5" x14ac:dyDescent="0.25">
      <c r="A1870" s="104">
        <v>101176</v>
      </c>
      <c r="B1870" s="105" t="s">
        <v>11116</v>
      </c>
      <c r="C1870" s="106" t="s">
        <v>16</v>
      </c>
      <c r="D1870" s="107">
        <v>96.7</v>
      </c>
    </row>
    <row r="1871" spans="1:4" ht="25.5" x14ac:dyDescent="0.25">
      <c r="A1871" s="104">
        <v>95240</v>
      </c>
      <c r="B1871" s="105" t="s">
        <v>2253</v>
      </c>
      <c r="C1871" s="106" t="s">
        <v>8</v>
      </c>
      <c r="D1871" s="107">
        <v>12.13</v>
      </c>
    </row>
    <row r="1872" spans="1:4" ht="25.5" x14ac:dyDescent="0.25">
      <c r="A1872" s="104">
        <v>95241</v>
      </c>
      <c r="B1872" s="105" t="s">
        <v>2254</v>
      </c>
      <c r="C1872" s="106" t="s">
        <v>8</v>
      </c>
      <c r="D1872" s="107">
        <v>20.23</v>
      </c>
    </row>
    <row r="1873" spans="1:4" ht="25.5" x14ac:dyDescent="0.25">
      <c r="A1873" s="104">
        <v>96616</v>
      </c>
      <c r="B1873" s="105" t="s">
        <v>2255</v>
      </c>
      <c r="C1873" s="106" t="s">
        <v>13</v>
      </c>
      <c r="D1873" s="107">
        <v>421.72</v>
      </c>
    </row>
    <row r="1874" spans="1:4" ht="25.5" x14ac:dyDescent="0.25">
      <c r="A1874" s="104">
        <v>96617</v>
      </c>
      <c r="B1874" s="105" t="s">
        <v>2256</v>
      </c>
      <c r="C1874" s="106" t="s">
        <v>8</v>
      </c>
      <c r="D1874" s="107">
        <v>12.63</v>
      </c>
    </row>
    <row r="1875" spans="1:4" ht="25.5" x14ac:dyDescent="0.25">
      <c r="A1875" s="104">
        <v>96619</v>
      </c>
      <c r="B1875" s="105" t="s">
        <v>2257</v>
      </c>
      <c r="C1875" s="106" t="s">
        <v>8</v>
      </c>
      <c r="D1875" s="107">
        <v>21.07</v>
      </c>
    </row>
    <row r="1876" spans="1:4" ht="25.5" x14ac:dyDescent="0.25">
      <c r="A1876" s="104">
        <v>96620</v>
      </c>
      <c r="B1876" s="105" t="s">
        <v>2258</v>
      </c>
      <c r="C1876" s="106" t="s">
        <v>13</v>
      </c>
      <c r="D1876" s="107">
        <v>404.93</v>
      </c>
    </row>
    <row r="1877" spans="1:4" ht="25.5" x14ac:dyDescent="0.25">
      <c r="A1877" s="104">
        <v>96621</v>
      </c>
      <c r="B1877" s="105" t="s">
        <v>2259</v>
      </c>
      <c r="C1877" s="106" t="s">
        <v>13</v>
      </c>
      <c r="D1877" s="107">
        <v>167.29</v>
      </c>
    </row>
    <row r="1878" spans="1:4" ht="25.5" x14ac:dyDescent="0.25">
      <c r="A1878" s="104">
        <v>96622</v>
      </c>
      <c r="B1878" s="105" t="s">
        <v>2260</v>
      </c>
      <c r="C1878" s="106" t="s">
        <v>13</v>
      </c>
      <c r="D1878" s="107">
        <v>117.88</v>
      </c>
    </row>
    <row r="1879" spans="1:4" ht="25.5" x14ac:dyDescent="0.25">
      <c r="A1879" s="104">
        <v>96623</v>
      </c>
      <c r="B1879" s="105" t="s">
        <v>2261</v>
      </c>
      <c r="C1879" s="106" t="s">
        <v>13</v>
      </c>
      <c r="D1879" s="107">
        <v>155.79</v>
      </c>
    </row>
    <row r="1880" spans="1:4" ht="25.5" x14ac:dyDescent="0.25">
      <c r="A1880" s="104">
        <v>96624</v>
      </c>
      <c r="B1880" s="105" t="s">
        <v>11117</v>
      </c>
      <c r="C1880" s="106" t="s">
        <v>13</v>
      </c>
      <c r="D1880" s="107">
        <v>113.82</v>
      </c>
    </row>
    <row r="1881" spans="1:4" x14ac:dyDescent="0.25">
      <c r="A1881" s="104">
        <v>97082</v>
      </c>
      <c r="B1881" s="105" t="s">
        <v>2262</v>
      </c>
      <c r="C1881" s="106" t="s">
        <v>13</v>
      </c>
      <c r="D1881" s="107">
        <v>41.73</v>
      </c>
    </row>
    <row r="1882" spans="1:4" ht="25.5" x14ac:dyDescent="0.25">
      <c r="A1882" s="104">
        <v>97083</v>
      </c>
      <c r="B1882" s="105" t="s">
        <v>2263</v>
      </c>
      <c r="C1882" s="106" t="s">
        <v>8</v>
      </c>
      <c r="D1882" s="107">
        <v>2.2000000000000002</v>
      </c>
    </row>
    <row r="1883" spans="1:4" ht="25.5" x14ac:dyDescent="0.25">
      <c r="A1883" s="104">
        <v>97084</v>
      </c>
      <c r="B1883" s="105" t="s">
        <v>2264</v>
      </c>
      <c r="C1883" s="106" t="s">
        <v>8</v>
      </c>
      <c r="D1883" s="107">
        <v>0.45</v>
      </c>
    </row>
    <row r="1884" spans="1:4" ht="25.5" x14ac:dyDescent="0.25">
      <c r="A1884" s="104">
        <v>97086</v>
      </c>
      <c r="B1884" s="105" t="s">
        <v>2265</v>
      </c>
      <c r="C1884" s="106" t="s">
        <v>8</v>
      </c>
      <c r="D1884" s="107">
        <v>74.8</v>
      </c>
    </row>
    <row r="1885" spans="1:4" ht="38.25" x14ac:dyDescent="0.25">
      <c r="A1885" s="104">
        <v>97094</v>
      </c>
      <c r="B1885" s="105" t="s">
        <v>2266</v>
      </c>
      <c r="C1885" s="106" t="s">
        <v>13</v>
      </c>
      <c r="D1885" s="107">
        <v>506.09</v>
      </c>
    </row>
    <row r="1886" spans="1:4" ht="38.25" x14ac:dyDescent="0.25">
      <c r="A1886" s="104">
        <v>97095</v>
      </c>
      <c r="B1886" s="105" t="s">
        <v>2267</v>
      </c>
      <c r="C1886" s="106" t="s">
        <v>13</v>
      </c>
      <c r="D1886" s="107">
        <v>475.43</v>
      </c>
    </row>
    <row r="1887" spans="1:4" ht="38.25" x14ac:dyDescent="0.25">
      <c r="A1887" s="104">
        <v>97096</v>
      </c>
      <c r="B1887" s="105" t="s">
        <v>2268</v>
      </c>
      <c r="C1887" s="106" t="s">
        <v>13</v>
      </c>
      <c r="D1887" s="107">
        <v>459.68</v>
      </c>
    </row>
    <row r="1888" spans="1:4" ht="25.5" x14ac:dyDescent="0.25">
      <c r="A1888" s="104">
        <v>97097</v>
      </c>
      <c r="B1888" s="105" t="s">
        <v>11118</v>
      </c>
      <c r="C1888" s="106" t="s">
        <v>8</v>
      </c>
      <c r="D1888" s="107">
        <v>26.4</v>
      </c>
    </row>
    <row r="1889" spans="1:4" ht="25.5" x14ac:dyDescent="0.25">
      <c r="A1889" s="104">
        <v>100322</v>
      </c>
      <c r="B1889" s="105" t="s">
        <v>11119</v>
      </c>
      <c r="C1889" s="106" t="s">
        <v>13</v>
      </c>
      <c r="D1889" s="107">
        <v>113.82</v>
      </c>
    </row>
    <row r="1890" spans="1:4" ht="25.5" x14ac:dyDescent="0.25">
      <c r="A1890" s="104">
        <v>100323</v>
      </c>
      <c r="B1890" s="105" t="s">
        <v>11120</v>
      </c>
      <c r="C1890" s="106" t="s">
        <v>13</v>
      </c>
      <c r="D1890" s="107">
        <v>94.04</v>
      </c>
    </row>
    <row r="1891" spans="1:4" ht="38.25" x14ac:dyDescent="0.25">
      <c r="A1891" s="104">
        <v>100324</v>
      </c>
      <c r="B1891" s="105" t="s">
        <v>11121</v>
      </c>
      <c r="C1891" s="106" t="s">
        <v>13</v>
      </c>
      <c r="D1891" s="107">
        <v>113.82</v>
      </c>
    </row>
    <row r="1892" spans="1:4" ht="38.25" x14ac:dyDescent="0.25">
      <c r="A1892" s="104">
        <v>90996</v>
      </c>
      <c r="B1892" s="105" t="s">
        <v>2269</v>
      </c>
      <c r="C1892" s="106" t="s">
        <v>8</v>
      </c>
      <c r="D1892" s="107">
        <v>11.19</v>
      </c>
    </row>
    <row r="1893" spans="1:4" ht="38.25" x14ac:dyDescent="0.25">
      <c r="A1893" s="104">
        <v>90997</v>
      </c>
      <c r="B1893" s="105" t="s">
        <v>2270</v>
      </c>
      <c r="C1893" s="106" t="s">
        <v>8</v>
      </c>
      <c r="D1893" s="107">
        <v>15.16</v>
      </c>
    </row>
    <row r="1894" spans="1:4" ht="38.25" x14ac:dyDescent="0.25">
      <c r="A1894" s="104">
        <v>90998</v>
      </c>
      <c r="B1894" s="105" t="s">
        <v>2271</v>
      </c>
      <c r="C1894" s="106" t="s">
        <v>8</v>
      </c>
      <c r="D1894" s="107">
        <v>18.27</v>
      </c>
    </row>
    <row r="1895" spans="1:4" ht="38.25" x14ac:dyDescent="0.25">
      <c r="A1895" s="104">
        <v>91000</v>
      </c>
      <c r="B1895" s="105" t="s">
        <v>2272</v>
      </c>
      <c r="C1895" s="106" t="s">
        <v>8</v>
      </c>
      <c r="D1895" s="107">
        <v>13.98</v>
      </c>
    </row>
    <row r="1896" spans="1:4" ht="38.25" x14ac:dyDescent="0.25">
      <c r="A1896" s="104">
        <v>91002</v>
      </c>
      <c r="B1896" s="105" t="s">
        <v>2273</v>
      </c>
      <c r="C1896" s="106" t="s">
        <v>8</v>
      </c>
      <c r="D1896" s="107">
        <v>12.87</v>
      </c>
    </row>
    <row r="1897" spans="1:4" ht="38.25" x14ac:dyDescent="0.25">
      <c r="A1897" s="104">
        <v>91003</v>
      </c>
      <c r="B1897" s="105" t="s">
        <v>2274</v>
      </c>
      <c r="C1897" s="106" t="s">
        <v>8</v>
      </c>
      <c r="D1897" s="107">
        <v>14.87</v>
      </c>
    </row>
    <row r="1898" spans="1:4" ht="38.25" x14ac:dyDescent="0.25">
      <c r="A1898" s="104">
        <v>91004</v>
      </c>
      <c r="B1898" s="105" t="s">
        <v>2275</v>
      </c>
      <c r="C1898" s="106" t="s">
        <v>8</v>
      </c>
      <c r="D1898" s="107">
        <v>11.79</v>
      </c>
    </row>
    <row r="1899" spans="1:4" ht="25.5" x14ac:dyDescent="0.25">
      <c r="A1899" s="104">
        <v>91005</v>
      </c>
      <c r="B1899" s="105" t="s">
        <v>2276</v>
      </c>
      <c r="C1899" s="106" t="s">
        <v>8</v>
      </c>
      <c r="D1899" s="107">
        <v>14.11</v>
      </c>
    </row>
    <row r="1900" spans="1:4" ht="38.25" x14ac:dyDescent="0.25">
      <c r="A1900" s="104">
        <v>91006</v>
      </c>
      <c r="B1900" s="105" t="s">
        <v>2277</v>
      </c>
      <c r="C1900" s="106" t="s">
        <v>8</v>
      </c>
      <c r="D1900" s="107">
        <v>10.9</v>
      </c>
    </row>
    <row r="1901" spans="1:4" ht="38.25" x14ac:dyDescent="0.25">
      <c r="A1901" s="104">
        <v>91007</v>
      </c>
      <c r="B1901" s="105" t="s">
        <v>2278</v>
      </c>
      <c r="C1901" s="106" t="s">
        <v>8</v>
      </c>
      <c r="D1901" s="107">
        <v>9.8000000000000007</v>
      </c>
    </row>
    <row r="1902" spans="1:4" ht="38.25" x14ac:dyDescent="0.25">
      <c r="A1902" s="104">
        <v>91008</v>
      </c>
      <c r="B1902" s="105" t="s">
        <v>2279</v>
      </c>
      <c r="C1902" s="106" t="s">
        <v>8</v>
      </c>
      <c r="D1902" s="107">
        <v>11.81</v>
      </c>
    </row>
    <row r="1903" spans="1:4" ht="25.5" x14ac:dyDescent="0.25">
      <c r="A1903" s="104">
        <v>92263</v>
      </c>
      <c r="B1903" s="105" t="s">
        <v>2280</v>
      </c>
      <c r="C1903" s="106" t="s">
        <v>8</v>
      </c>
      <c r="D1903" s="107">
        <v>99.72</v>
      </c>
    </row>
    <row r="1904" spans="1:4" ht="38.25" x14ac:dyDescent="0.25">
      <c r="A1904" s="104">
        <v>92264</v>
      </c>
      <c r="B1904" s="105" t="s">
        <v>2281</v>
      </c>
      <c r="C1904" s="106" t="s">
        <v>8</v>
      </c>
      <c r="D1904" s="107">
        <v>120.29</v>
      </c>
    </row>
    <row r="1905" spans="1:4" ht="25.5" x14ac:dyDescent="0.25">
      <c r="A1905" s="104">
        <v>92265</v>
      </c>
      <c r="B1905" s="105" t="s">
        <v>2282</v>
      </c>
      <c r="C1905" s="106" t="s">
        <v>8</v>
      </c>
      <c r="D1905" s="107">
        <v>75.81</v>
      </c>
    </row>
    <row r="1906" spans="1:4" ht="25.5" x14ac:dyDescent="0.25">
      <c r="A1906" s="104">
        <v>92266</v>
      </c>
      <c r="B1906" s="105" t="s">
        <v>482</v>
      </c>
      <c r="C1906" s="106" t="s">
        <v>8</v>
      </c>
      <c r="D1906" s="107">
        <v>94.15</v>
      </c>
    </row>
    <row r="1907" spans="1:4" ht="25.5" x14ac:dyDescent="0.25">
      <c r="A1907" s="104">
        <v>92267</v>
      </c>
      <c r="B1907" s="105" t="s">
        <v>2283</v>
      </c>
      <c r="C1907" s="106" t="s">
        <v>8</v>
      </c>
      <c r="D1907" s="107">
        <v>28.6</v>
      </c>
    </row>
    <row r="1908" spans="1:4" ht="25.5" x14ac:dyDescent="0.25">
      <c r="A1908" s="104">
        <v>92268</v>
      </c>
      <c r="B1908" s="105" t="s">
        <v>2284</v>
      </c>
      <c r="C1908" s="106" t="s">
        <v>8</v>
      </c>
      <c r="D1908" s="107">
        <v>44.78</v>
      </c>
    </row>
    <row r="1909" spans="1:4" ht="25.5" x14ac:dyDescent="0.25">
      <c r="A1909" s="104">
        <v>92269</v>
      </c>
      <c r="B1909" s="105" t="s">
        <v>2285</v>
      </c>
      <c r="C1909" s="106" t="s">
        <v>8</v>
      </c>
      <c r="D1909" s="107">
        <v>65.91</v>
      </c>
    </row>
    <row r="1910" spans="1:4" ht="25.5" x14ac:dyDescent="0.25">
      <c r="A1910" s="104">
        <v>92270</v>
      </c>
      <c r="B1910" s="105" t="s">
        <v>2286</v>
      </c>
      <c r="C1910" s="106" t="s">
        <v>8</v>
      </c>
      <c r="D1910" s="107">
        <v>51.31</v>
      </c>
    </row>
    <row r="1911" spans="1:4" ht="25.5" x14ac:dyDescent="0.25">
      <c r="A1911" s="104">
        <v>92271</v>
      </c>
      <c r="B1911" s="105" t="s">
        <v>2287</v>
      </c>
      <c r="C1911" s="106" t="s">
        <v>8</v>
      </c>
      <c r="D1911" s="107">
        <v>32.340000000000003</v>
      </c>
    </row>
    <row r="1912" spans="1:4" ht="25.5" x14ac:dyDescent="0.25">
      <c r="A1912" s="104">
        <v>92272</v>
      </c>
      <c r="B1912" s="105" t="s">
        <v>2288</v>
      </c>
      <c r="C1912" s="106" t="s">
        <v>16</v>
      </c>
      <c r="D1912" s="107">
        <v>22.18</v>
      </c>
    </row>
    <row r="1913" spans="1:4" ht="25.5" x14ac:dyDescent="0.25">
      <c r="A1913" s="104">
        <v>92273</v>
      </c>
      <c r="B1913" s="105" t="s">
        <v>2289</v>
      </c>
      <c r="C1913" s="106" t="s">
        <v>16</v>
      </c>
      <c r="D1913" s="107">
        <v>9.9</v>
      </c>
    </row>
    <row r="1914" spans="1:4" ht="51" x14ac:dyDescent="0.25">
      <c r="A1914" s="104">
        <v>92408</v>
      </c>
      <c r="B1914" s="105" t="s">
        <v>2290</v>
      </c>
      <c r="C1914" s="106" t="s">
        <v>8</v>
      </c>
      <c r="D1914" s="107">
        <v>137.38999999999999</v>
      </c>
    </row>
    <row r="1915" spans="1:4" ht="51" x14ac:dyDescent="0.25">
      <c r="A1915" s="104">
        <v>92409</v>
      </c>
      <c r="B1915" s="105" t="s">
        <v>2291</v>
      </c>
      <c r="C1915" s="106" t="s">
        <v>8</v>
      </c>
      <c r="D1915" s="107">
        <v>129.25</v>
      </c>
    </row>
    <row r="1916" spans="1:4" ht="51" x14ac:dyDescent="0.25">
      <c r="A1916" s="104">
        <v>92410</v>
      </c>
      <c r="B1916" s="105" t="s">
        <v>2292</v>
      </c>
      <c r="C1916" s="106" t="s">
        <v>8</v>
      </c>
      <c r="D1916" s="107">
        <v>96.93</v>
      </c>
    </row>
    <row r="1917" spans="1:4" ht="51" x14ac:dyDescent="0.25">
      <c r="A1917" s="104">
        <v>92411</v>
      </c>
      <c r="B1917" s="105" t="s">
        <v>2293</v>
      </c>
      <c r="C1917" s="106" t="s">
        <v>8</v>
      </c>
      <c r="D1917" s="107">
        <v>89.73</v>
      </c>
    </row>
    <row r="1918" spans="1:4" ht="51" x14ac:dyDescent="0.25">
      <c r="A1918" s="104">
        <v>92412</v>
      </c>
      <c r="B1918" s="105" t="s">
        <v>2294</v>
      </c>
      <c r="C1918" s="106" t="s">
        <v>8</v>
      </c>
      <c r="D1918" s="107">
        <v>65.91</v>
      </c>
    </row>
    <row r="1919" spans="1:4" ht="51" x14ac:dyDescent="0.25">
      <c r="A1919" s="104">
        <v>92413</v>
      </c>
      <c r="B1919" s="105" t="s">
        <v>2295</v>
      </c>
      <c r="C1919" s="106" t="s">
        <v>8</v>
      </c>
      <c r="D1919" s="107">
        <v>60.36</v>
      </c>
    </row>
    <row r="1920" spans="1:4" ht="51" x14ac:dyDescent="0.25">
      <c r="A1920" s="104">
        <v>92414</v>
      </c>
      <c r="B1920" s="105" t="s">
        <v>2296</v>
      </c>
      <c r="C1920" s="106" t="s">
        <v>8</v>
      </c>
      <c r="D1920" s="107">
        <v>94.02</v>
      </c>
    </row>
    <row r="1921" spans="1:4" ht="51" x14ac:dyDescent="0.25">
      <c r="A1921" s="104">
        <v>92415</v>
      </c>
      <c r="B1921" s="105" t="s">
        <v>2297</v>
      </c>
      <c r="C1921" s="106" t="s">
        <v>8</v>
      </c>
      <c r="D1921" s="107">
        <v>86.82</v>
      </c>
    </row>
    <row r="1922" spans="1:4" ht="51" x14ac:dyDescent="0.25">
      <c r="A1922" s="104">
        <v>92416</v>
      </c>
      <c r="B1922" s="105" t="s">
        <v>2298</v>
      </c>
      <c r="C1922" s="106" t="s">
        <v>8</v>
      </c>
      <c r="D1922" s="107">
        <v>108.8</v>
      </c>
    </row>
    <row r="1923" spans="1:4" ht="51" x14ac:dyDescent="0.25">
      <c r="A1923" s="104">
        <v>92417</v>
      </c>
      <c r="B1923" s="105" t="s">
        <v>2299</v>
      </c>
      <c r="C1923" s="106" t="s">
        <v>8</v>
      </c>
      <c r="D1923" s="107">
        <v>101.63</v>
      </c>
    </row>
    <row r="1924" spans="1:4" ht="51" x14ac:dyDescent="0.25">
      <c r="A1924" s="104">
        <v>92418</v>
      </c>
      <c r="B1924" s="105" t="s">
        <v>653</v>
      </c>
      <c r="C1924" s="106" t="s">
        <v>8</v>
      </c>
      <c r="D1924" s="107">
        <v>60.93</v>
      </c>
    </row>
    <row r="1925" spans="1:4" ht="51" x14ac:dyDescent="0.25">
      <c r="A1925" s="104">
        <v>92419</v>
      </c>
      <c r="B1925" s="105" t="s">
        <v>2300</v>
      </c>
      <c r="C1925" s="106" t="s">
        <v>8</v>
      </c>
      <c r="D1925" s="107">
        <v>55.42</v>
      </c>
    </row>
    <row r="1926" spans="1:4" ht="51" x14ac:dyDescent="0.25">
      <c r="A1926" s="104">
        <v>92420</v>
      </c>
      <c r="B1926" s="105" t="s">
        <v>2301</v>
      </c>
      <c r="C1926" s="106" t="s">
        <v>8</v>
      </c>
      <c r="D1926" s="107">
        <v>72.3</v>
      </c>
    </row>
    <row r="1927" spans="1:4" ht="51" x14ac:dyDescent="0.25">
      <c r="A1927" s="104">
        <v>92421</v>
      </c>
      <c r="B1927" s="105" t="s">
        <v>2302</v>
      </c>
      <c r="C1927" s="106" t="s">
        <v>8</v>
      </c>
      <c r="D1927" s="107">
        <v>66.78</v>
      </c>
    </row>
    <row r="1928" spans="1:4" ht="51" x14ac:dyDescent="0.25">
      <c r="A1928" s="104">
        <v>92422</v>
      </c>
      <c r="B1928" s="105" t="s">
        <v>2303</v>
      </c>
      <c r="C1928" s="106" t="s">
        <v>8</v>
      </c>
      <c r="D1928" s="107">
        <v>50.4</v>
      </c>
    </row>
    <row r="1929" spans="1:4" ht="51" x14ac:dyDescent="0.25">
      <c r="A1929" s="104">
        <v>92423</v>
      </c>
      <c r="B1929" s="105" t="s">
        <v>2304</v>
      </c>
      <c r="C1929" s="106" t="s">
        <v>8</v>
      </c>
      <c r="D1929" s="107">
        <v>45.61</v>
      </c>
    </row>
    <row r="1930" spans="1:4" ht="51" x14ac:dyDescent="0.25">
      <c r="A1930" s="104">
        <v>92424</v>
      </c>
      <c r="B1930" s="105" t="s">
        <v>2305</v>
      </c>
      <c r="C1930" s="106" t="s">
        <v>8</v>
      </c>
      <c r="D1930" s="107">
        <v>60.3</v>
      </c>
    </row>
    <row r="1931" spans="1:4" ht="51" x14ac:dyDescent="0.25">
      <c r="A1931" s="104">
        <v>92425</v>
      </c>
      <c r="B1931" s="105" t="s">
        <v>2306</v>
      </c>
      <c r="C1931" s="106" t="s">
        <v>8</v>
      </c>
      <c r="D1931" s="107">
        <v>55.5</v>
      </c>
    </row>
    <row r="1932" spans="1:4" ht="51" x14ac:dyDescent="0.25">
      <c r="A1932" s="104">
        <v>92426</v>
      </c>
      <c r="B1932" s="105" t="s">
        <v>395</v>
      </c>
      <c r="C1932" s="106" t="s">
        <v>8</v>
      </c>
      <c r="D1932" s="107">
        <v>45.09</v>
      </c>
    </row>
    <row r="1933" spans="1:4" ht="51" x14ac:dyDescent="0.25">
      <c r="A1933" s="104">
        <v>92427</v>
      </c>
      <c r="B1933" s="105" t="s">
        <v>2307</v>
      </c>
      <c r="C1933" s="106" t="s">
        <v>8</v>
      </c>
      <c r="D1933" s="107">
        <v>40.65</v>
      </c>
    </row>
    <row r="1934" spans="1:4" ht="51" x14ac:dyDescent="0.25">
      <c r="A1934" s="104">
        <v>92428</v>
      </c>
      <c r="B1934" s="105" t="s">
        <v>2308</v>
      </c>
      <c r="C1934" s="106" t="s">
        <v>8</v>
      </c>
      <c r="D1934" s="107">
        <v>54.25</v>
      </c>
    </row>
    <row r="1935" spans="1:4" ht="51" x14ac:dyDescent="0.25">
      <c r="A1935" s="104">
        <v>92429</v>
      </c>
      <c r="B1935" s="105" t="s">
        <v>2309</v>
      </c>
      <c r="C1935" s="106" t="s">
        <v>8</v>
      </c>
      <c r="D1935" s="107">
        <v>49.82</v>
      </c>
    </row>
    <row r="1936" spans="1:4" ht="51" x14ac:dyDescent="0.25">
      <c r="A1936" s="104">
        <v>92430</v>
      </c>
      <c r="B1936" s="105" t="s">
        <v>2310</v>
      </c>
      <c r="C1936" s="106" t="s">
        <v>8</v>
      </c>
      <c r="D1936" s="107">
        <v>41.84</v>
      </c>
    </row>
    <row r="1937" spans="1:4" ht="51" x14ac:dyDescent="0.25">
      <c r="A1937" s="104">
        <v>92431</v>
      </c>
      <c r="B1937" s="105" t="s">
        <v>2311</v>
      </c>
      <c r="C1937" s="106" t="s">
        <v>8</v>
      </c>
      <c r="D1937" s="107">
        <v>37.619999999999997</v>
      </c>
    </row>
    <row r="1938" spans="1:4" ht="51" x14ac:dyDescent="0.25">
      <c r="A1938" s="104">
        <v>92432</v>
      </c>
      <c r="B1938" s="105" t="s">
        <v>2312</v>
      </c>
      <c r="C1938" s="106" t="s">
        <v>8</v>
      </c>
      <c r="D1938" s="107">
        <v>50.53</v>
      </c>
    </row>
    <row r="1939" spans="1:4" ht="51" x14ac:dyDescent="0.25">
      <c r="A1939" s="104">
        <v>92433</v>
      </c>
      <c r="B1939" s="105" t="s">
        <v>2313</v>
      </c>
      <c r="C1939" s="106" t="s">
        <v>8</v>
      </c>
      <c r="D1939" s="107">
        <v>46.31</v>
      </c>
    </row>
    <row r="1940" spans="1:4" ht="51" x14ac:dyDescent="0.25">
      <c r="A1940" s="104">
        <v>92434</v>
      </c>
      <c r="B1940" s="105" t="s">
        <v>2314</v>
      </c>
      <c r="C1940" s="106" t="s">
        <v>8</v>
      </c>
      <c r="D1940" s="107">
        <v>39.9</v>
      </c>
    </row>
    <row r="1941" spans="1:4" ht="51" x14ac:dyDescent="0.25">
      <c r="A1941" s="104">
        <v>92435</v>
      </c>
      <c r="B1941" s="105" t="s">
        <v>2315</v>
      </c>
      <c r="C1941" s="106" t="s">
        <v>8</v>
      </c>
      <c r="D1941" s="107">
        <v>35.82</v>
      </c>
    </row>
    <row r="1942" spans="1:4" ht="51" x14ac:dyDescent="0.25">
      <c r="A1942" s="104">
        <v>92436</v>
      </c>
      <c r="B1942" s="105" t="s">
        <v>2316</v>
      </c>
      <c r="C1942" s="106" t="s">
        <v>8</v>
      </c>
      <c r="D1942" s="107">
        <v>48.29</v>
      </c>
    </row>
    <row r="1943" spans="1:4" ht="51" x14ac:dyDescent="0.25">
      <c r="A1943" s="104">
        <v>92437</v>
      </c>
      <c r="B1943" s="105" t="s">
        <v>2317</v>
      </c>
      <c r="C1943" s="106" t="s">
        <v>8</v>
      </c>
      <c r="D1943" s="107">
        <v>44.22</v>
      </c>
    </row>
    <row r="1944" spans="1:4" ht="51" x14ac:dyDescent="0.25">
      <c r="A1944" s="104">
        <v>92438</v>
      </c>
      <c r="B1944" s="105" t="s">
        <v>2318</v>
      </c>
      <c r="C1944" s="106" t="s">
        <v>8</v>
      </c>
      <c r="D1944" s="107">
        <v>38.51</v>
      </c>
    </row>
    <row r="1945" spans="1:4" ht="51" x14ac:dyDescent="0.25">
      <c r="A1945" s="104">
        <v>92439</v>
      </c>
      <c r="B1945" s="105" t="s">
        <v>2319</v>
      </c>
      <c r="C1945" s="106" t="s">
        <v>8</v>
      </c>
      <c r="D1945" s="107">
        <v>34.53</v>
      </c>
    </row>
    <row r="1946" spans="1:4" ht="51" x14ac:dyDescent="0.25">
      <c r="A1946" s="104">
        <v>92440</v>
      </c>
      <c r="B1946" s="105" t="s">
        <v>2320</v>
      </c>
      <c r="C1946" s="106" t="s">
        <v>8</v>
      </c>
      <c r="D1946" s="107">
        <v>46.67</v>
      </c>
    </row>
    <row r="1947" spans="1:4" ht="51" x14ac:dyDescent="0.25">
      <c r="A1947" s="104">
        <v>92441</v>
      </c>
      <c r="B1947" s="105" t="s">
        <v>2321</v>
      </c>
      <c r="C1947" s="106" t="s">
        <v>8</v>
      </c>
      <c r="D1947" s="107">
        <v>42.73</v>
      </c>
    </row>
    <row r="1948" spans="1:4" ht="51" x14ac:dyDescent="0.25">
      <c r="A1948" s="104">
        <v>92442</v>
      </c>
      <c r="B1948" s="105" t="s">
        <v>2322</v>
      </c>
      <c r="C1948" s="106" t="s">
        <v>8</v>
      </c>
      <c r="D1948" s="107">
        <v>35.64</v>
      </c>
    </row>
    <row r="1949" spans="1:4" ht="51" x14ac:dyDescent="0.25">
      <c r="A1949" s="104">
        <v>92443</v>
      </c>
      <c r="B1949" s="105" t="s">
        <v>2323</v>
      </c>
      <c r="C1949" s="106" t="s">
        <v>8</v>
      </c>
      <c r="D1949" s="107">
        <v>31.8</v>
      </c>
    </row>
    <row r="1950" spans="1:4" ht="51" x14ac:dyDescent="0.25">
      <c r="A1950" s="104">
        <v>92444</v>
      </c>
      <c r="B1950" s="105" t="s">
        <v>2324</v>
      </c>
      <c r="C1950" s="106" t="s">
        <v>8</v>
      </c>
      <c r="D1950" s="107">
        <v>43.54</v>
      </c>
    </row>
    <row r="1951" spans="1:4" ht="51" x14ac:dyDescent="0.25">
      <c r="A1951" s="104">
        <v>92445</v>
      </c>
      <c r="B1951" s="105" t="s">
        <v>2325</v>
      </c>
      <c r="C1951" s="106" t="s">
        <v>8</v>
      </c>
      <c r="D1951" s="107">
        <v>39.69</v>
      </c>
    </row>
    <row r="1952" spans="1:4" ht="38.25" x14ac:dyDescent="0.25">
      <c r="A1952" s="104">
        <v>92446</v>
      </c>
      <c r="B1952" s="105" t="s">
        <v>2326</v>
      </c>
      <c r="C1952" s="106" t="s">
        <v>8</v>
      </c>
      <c r="D1952" s="107">
        <v>125.96</v>
      </c>
    </row>
    <row r="1953" spans="1:4" ht="38.25" x14ac:dyDescent="0.25">
      <c r="A1953" s="104">
        <v>92447</v>
      </c>
      <c r="B1953" s="105" t="s">
        <v>2327</v>
      </c>
      <c r="C1953" s="106" t="s">
        <v>8</v>
      </c>
      <c r="D1953" s="107">
        <v>93.04</v>
      </c>
    </row>
    <row r="1954" spans="1:4" ht="38.25" x14ac:dyDescent="0.25">
      <c r="A1954" s="104">
        <v>92448</v>
      </c>
      <c r="B1954" s="105" t="s">
        <v>655</v>
      </c>
      <c r="C1954" s="106" t="s">
        <v>8</v>
      </c>
      <c r="D1954" s="107">
        <v>77.38</v>
      </c>
    </row>
    <row r="1955" spans="1:4" ht="38.25" x14ac:dyDescent="0.25">
      <c r="A1955" s="104">
        <v>92449</v>
      </c>
      <c r="B1955" s="105" t="s">
        <v>2328</v>
      </c>
      <c r="C1955" s="106" t="s">
        <v>8</v>
      </c>
      <c r="D1955" s="107">
        <v>166.24</v>
      </c>
    </row>
    <row r="1956" spans="1:4" ht="38.25" x14ac:dyDescent="0.25">
      <c r="A1956" s="104">
        <v>92450</v>
      </c>
      <c r="B1956" s="105" t="s">
        <v>2329</v>
      </c>
      <c r="C1956" s="106" t="s">
        <v>8</v>
      </c>
      <c r="D1956" s="107">
        <v>233.59</v>
      </c>
    </row>
    <row r="1957" spans="1:4" ht="38.25" x14ac:dyDescent="0.25">
      <c r="A1957" s="104">
        <v>92451</v>
      </c>
      <c r="B1957" s="105" t="s">
        <v>2330</v>
      </c>
      <c r="C1957" s="106" t="s">
        <v>8</v>
      </c>
      <c r="D1957" s="107">
        <v>113.68</v>
      </c>
    </row>
    <row r="1958" spans="1:4" ht="38.25" x14ac:dyDescent="0.25">
      <c r="A1958" s="104">
        <v>92452</v>
      </c>
      <c r="B1958" s="105" t="s">
        <v>2331</v>
      </c>
      <c r="C1958" s="106" t="s">
        <v>8</v>
      </c>
      <c r="D1958" s="107">
        <v>108.31</v>
      </c>
    </row>
    <row r="1959" spans="1:4" ht="38.25" x14ac:dyDescent="0.25">
      <c r="A1959" s="104">
        <v>92453</v>
      </c>
      <c r="B1959" s="105" t="s">
        <v>2332</v>
      </c>
      <c r="C1959" s="106" t="s">
        <v>8</v>
      </c>
      <c r="D1959" s="107">
        <v>142.86000000000001</v>
      </c>
    </row>
    <row r="1960" spans="1:4" ht="38.25" x14ac:dyDescent="0.25">
      <c r="A1960" s="104">
        <v>92454</v>
      </c>
      <c r="B1960" s="105" t="s">
        <v>2333</v>
      </c>
      <c r="C1960" s="106" t="s">
        <v>8</v>
      </c>
      <c r="D1960" s="107">
        <v>214.28</v>
      </c>
    </row>
    <row r="1961" spans="1:4" ht="38.25" x14ac:dyDescent="0.25">
      <c r="A1961" s="104">
        <v>92455</v>
      </c>
      <c r="B1961" s="105" t="s">
        <v>2334</v>
      </c>
      <c r="C1961" s="106" t="s">
        <v>8</v>
      </c>
      <c r="D1961" s="107">
        <v>93.47</v>
      </c>
    </row>
    <row r="1962" spans="1:4" ht="38.25" x14ac:dyDescent="0.25">
      <c r="A1962" s="104">
        <v>92456</v>
      </c>
      <c r="B1962" s="105" t="s">
        <v>2335</v>
      </c>
      <c r="C1962" s="106" t="s">
        <v>8</v>
      </c>
      <c r="D1962" s="107">
        <v>88.74</v>
      </c>
    </row>
    <row r="1963" spans="1:4" ht="38.25" x14ac:dyDescent="0.25">
      <c r="A1963" s="104">
        <v>92457</v>
      </c>
      <c r="B1963" s="105" t="s">
        <v>2336</v>
      </c>
      <c r="C1963" s="106" t="s">
        <v>8</v>
      </c>
      <c r="D1963" s="107">
        <v>123.74</v>
      </c>
    </row>
    <row r="1964" spans="1:4" ht="38.25" x14ac:dyDescent="0.25">
      <c r="A1964" s="104">
        <v>92458</v>
      </c>
      <c r="B1964" s="105" t="s">
        <v>2337</v>
      </c>
      <c r="C1964" s="106" t="s">
        <v>8</v>
      </c>
      <c r="D1964" s="107">
        <v>202.04</v>
      </c>
    </row>
    <row r="1965" spans="1:4" ht="38.25" x14ac:dyDescent="0.25">
      <c r="A1965" s="104">
        <v>92459</v>
      </c>
      <c r="B1965" s="105" t="s">
        <v>2338</v>
      </c>
      <c r="C1965" s="106" t="s">
        <v>8</v>
      </c>
      <c r="D1965" s="107">
        <v>79.06</v>
      </c>
    </row>
    <row r="1966" spans="1:4" ht="38.25" x14ac:dyDescent="0.25">
      <c r="A1966" s="104">
        <v>92460</v>
      </c>
      <c r="B1966" s="105" t="s">
        <v>2339</v>
      </c>
      <c r="C1966" s="106" t="s">
        <v>8</v>
      </c>
      <c r="D1966" s="107">
        <v>72.34</v>
      </c>
    </row>
    <row r="1967" spans="1:4" ht="38.25" x14ac:dyDescent="0.25">
      <c r="A1967" s="104">
        <v>92461</v>
      </c>
      <c r="B1967" s="105" t="s">
        <v>2340</v>
      </c>
      <c r="C1967" s="106" t="s">
        <v>8</v>
      </c>
      <c r="D1967" s="107">
        <v>113.88</v>
      </c>
    </row>
    <row r="1968" spans="1:4" ht="38.25" x14ac:dyDescent="0.25">
      <c r="A1968" s="104">
        <v>92462</v>
      </c>
      <c r="B1968" s="105" t="s">
        <v>2341</v>
      </c>
      <c r="C1968" s="106" t="s">
        <v>8</v>
      </c>
      <c r="D1968" s="107">
        <v>194.3</v>
      </c>
    </row>
    <row r="1969" spans="1:4" ht="38.25" x14ac:dyDescent="0.25">
      <c r="A1969" s="104">
        <v>92463</v>
      </c>
      <c r="B1969" s="105" t="s">
        <v>2342</v>
      </c>
      <c r="C1969" s="106" t="s">
        <v>8</v>
      </c>
      <c r="D1969" s="107">
        <v>71.430000000000007</v>
      </c>
    </row>
    <row r="1970" spans="1:4" ht="38.25" x14ac:dyDescent="0.25">
      <c r="A1970" s="104">
        <v>92464</v>
      </c>
      <c r="B1970" s="105" t="s">
        <v>396</v>
      </c>
      <c r="C1970" s="106" t="s">
        <v>8</v>
      </c>
      <c r="D1970" s="107">
        <v>69.150000000000006</v>
      </c>
    </row>
    <row r="1971" spans="1:4" ht="38.25" x14ac:dyDescent="0.25">
      <c r="A1971" s="104">
        <v>92465</v>
      </c>
      <c r="B1971" s="105" t="s">
        <v>2343</v>
      </c>
      <c r="C1971" s="106" t="s">
        <v>8</v>
      </c>
      <c r="D1971" s="107">
        <v>89.76</v>
      </c>
    </row>
    <row r="1972" spans="1:4" ht="38.25" x14ac:dyDescent="0.25">
      <c r="A1972" s="104">
        <v>92466</v>
      </c>
      <c r="B1972" s="105" t="s">
        <v>2344</v>
      </c>
      <c r="C1972" s="106" t="s">
        <v>8</v>
      </c>
      <c r="D1972" s="107">
        <v>189.06</v>
      </c>
    </row>
    <row r="1973" spans="1:4" ht="38.25" x14ac:dyDescent="0.25">
      <c r="A1973" s="104">
        <v>92467</v>
      </c>
      <c r="B1973" s="105" t="s">
        <v>2345</v>
      </c>
      <c r="C1973" s="106" t="s">
        <v>8</v>
      </c>
      <c r="D1973" s="107">
        <v>57.83</v>
      </c>
    </row>
    <row r="1974" spans="1:4" ht="38.25" x14ac:dyDescent="0.25">
      <c r="A1974" s="104">
        <v>92468</v>
      </c>
      <c r="B1974" s="105" t="s">
        <v>2346</v>
      </c>
      <c r="C1974" s="106" t="s">
        <v>8</v>
      </c>
      <c r="D1974" s="107">
        <v>64.12</v>
      </c>
    </row>
    <row r="1975" spans="1:4" ht="38.25" x14ac:dyDescent="0.25">
      <c r="A1975" s="104">
        <v>92469</v>
      </c>
      <c r="B1975" s="105" t="s">
        <v>2347</v>
      </c>
      <c r="C1975" s="106" t="s">
        <v>8</v>
      </c>
      <c r="D1975" s="107">
        <v>81.53</v>
      </c>
    </row>
    <row r="1976" spans="1:4" ht="38.25" x14ac:dyDescent="0.25">
      <c r="A1976" s="104">
        <v>92470</v>
      </c>
      <c r="B1976" s="105" t="s">
        <v>2348</v>
      </c>
      <c r="C1976" s="106" t="s">
        <v>8</v>
      </c>
      <c r="D1976" s="107">
        <v>184.8</v>
      </c>
    </row>
    <row r="1977" spans="1:4" ht="38.25" x14ac:dyDescent="0.25">
      <c r="A1977" s="104">
        <v>92471</v>
      </c>
      <c r="B1977" s="105" t="s">
        <v>2349</v>
      </c>
      <c r="C1977" s="106" t="s">
        <v>8</v>
      </c>
      <c r="D1977" s="107">
        <v>52.59</v>
      </c>
    </row>
    <row r="1978" spans="1:4" ht="38.25" x14ac:dyDescent="0.25">
      <c r="A1978" s="104">
        <v>92472</v>
      </c>
      <c r="B1978" s="105" t="s">
        <v>2350</v>
      </c>
      <c r="C1978" s="106" t="s">
        <v>8</v>
      </c>
      <c r="D1978" s="107">
        <v>60.39</v>
      </c>
    </row>
    <row r="1979" spans="1:4" ht="38.25" x14ac:dyDescent="0.25">
      <c r="A1979" s="104">
        <v>92473</v>
      </c>
      <c r="B1979" s="105" t="s">
        <v>2351</v>
      </c>
      <c r="C1979" s="106" t="s">
        <v>8</v>
      </c>
      <c r="D1979" s="107">
        <v>74.87</v>
      </c>
    </row>
    <row r="1980" spans="1:4" ht="38.25" x14ac:dyDescent="0.25">
      <c r="A1980" s="104">
        <v>92474</v>
      </c>
      <c r="B1980" s="105" t="s">
        <v>2352</v>
      </c>
      <c r="C1980" s="106" t="s">
        <v>8</v>
      </c>
      <c r="D1980" s="107">
        <v>181.14</v>
      </c>
    </row>
    <row r="1981" spans="1:4" ht="38.25" x14ac:dyDescent="0.25">
      <c r="A1981" s="104">
        <v>92475</v>
      </c>
      <c r="B1981" s="105" t="s">
        <v>2353</v>
      </c>
      <c r="C1981" s="106" t="s">
        <v>8</v>
      </c>
      <c r="D1981" s="107">
        <v>48.34</v>
      </c>
    </row>
    <row r="1982" spans="1:4" ht="38.25" x14ac:dyDescent="0.25">
      <c r="A1982" s="104">
        <v>92476</v>
      </c>
      <c r="B1982" s="105" t="s">
        <v>2354</v>
      </c>
      <c r="C1982" s="106" t="s">
        <v>8</v>
      </c>
      <c r="D1982" s="107">
        <v>57.24</v>
      </c>
    </row>
    <row r="1983" spans="1:4" ht="38.25" x14ac:dyDescent="0.25">
      <c r="A1983" s="104">
        <v>92477</v>
      </c>
      <c r="B1983" s="105" t="s">
        <v>2355</v>
      </c>
      <c r="C1983" s="106" t="s">
        <v>8</v>
      </c>
      <c r="D1983" s="107">
        <v>60.65</v>
      </c>
    </row>
    <row r="1984" spans="1:4" ht="38.25" x14ac:dyDescent="0.25">
      <c r="A1984" s="104">
        <v>92478</v>
      </c>
      <c r="B1984" s="105" t="s">
        <v>2356</v>
      </c>
      <c r="C1984" s="106" t="s">
        <v>8</v>
      </c>
      <c r="D1984" s="107">
        <v>173.91</v>
      </c>
    </row>
    <row r="1985" spans="1:4" ht="38.25" x14ac:dyDescent="0.25">
      <c r="A1985" s="104">
        <v>92479</v>
      </c>
      <c r="B1985" s="105" t="s">
        <v>2357</v>
      </c>
      <c r="C1985" s="106" t="s">
        <v>8</v>
      </c>
      <c r="D1985" s="107">
        <v>39.26</v>
      </c>
    </row>
    <row r="1986" spans="1:4" ht="38.25" x14ac:dyDescent="0.25">
      <c r="A1986" s="104">
        <v>92480</v>
      </c>
      <c r="B1986" s="105" t="s">
        <v>2358</v>
      </c>
      <c r="C1986" s="106" t="s">
        <v>8</v>
      </c>
      <c r="D1986" s="107">
        <v>50.92</v>
      </c>
    </row>
    <row r="1987" spans="1:4" ht="38.25" x14ac:dyDescent="0.25">
      <c r="A1987" s="104">
        <v>92481</v>
      </c>
      <c r="B1987" s="105" t="s">
        <v>2359</v>
      </c>
      <c r="C1987" s="106" t="s">
        <v>8</v>
      </c>
      <c r="D1987" s="107">
        <v>156.44</v>
      </c>
    </row>
    <row r="1988" spans="1:4" ht="38.25" x14ac:dyDescent="0.25">
      <c r="A1988" s="104">
        <v>92482</v>
      </c>
      <c r="B1988" s="105" t="s">
        <v>2360</v>
      </c>
      <c r="C1988" s="106" t="s">
        <v>8</v>
      </c>
      <c r="D1988" s="107">
        <v>146.94999999999999</v>
      </c>
    </row>
    <row r="1989" spans="1:4" ht="38.25" x14ac:dyDescent="0.25">
      <c r="A1989" s="104">
        <v>92483</v>
      </c>
      <c r="B1989" s="105" t="s">
        <v>2361</v>
      </c>
      <c r="C1989" s="106" t="s">
        <v>8</v>
      </c>
      <c r="D1989" s="107">
        <v>122.68</v>
      </c>
    </row>
    <row r="1990" spans="1:4" ht="38.25" x14ac:dyDescent="0.25">
      <c r="A1990" s="104">
        <v>92484</v>
      </c>
      <c r="B1990" s="105" t="s">
        <v>2362</v>
      </c>
      <c r="C1990" s="106" t="s">
        <v>8</v>
      </c>
      <c r="D1990" s="107">
        <v>114.3</v>
      </c>
    </row>
    <row r="1991" spans="1:4" ht="38.25" x14ac:dyDescent="0.25">
      <c r="A1991" s="104">
        <v>92485</v>
      </c>
      <c r="B1991" s="105" t="s">
        <v>2363</v>
      </c>
      <c r="C1991" s="106" t="s">
        <v>8</v>
      </c>
      <c r="D1991" s="107">
        <v>90.09</v>
      </c>
    </row>
    <row r="1992" spans="1:4" ht="38.25" x14ac:dyDescent="0.25">
      <c r="A1992" s="104">
        <v>92486</v>
      </c>
      <c r="B1992" s="105" t="s">
        <v>2364</v>
      </c>
      <c r="C1992" s="106" t="s">
        <v>8</v>
      </c>
      <c r="D1992" s="107">
        <v>83.65</v>
      </c>
    </row>
    <row r="1993" spans="1:4" ht="51" x14ac:dyDescent="0.25">
      <c r="A1993" s="104">
        <v>92487</v>
      </c>
      <c r="B1993" s="105" t="s">
        <v>2365</v>
      </c>
      <c r="C1993" s="106" t="s">
        <v>8</v>
      </c>
      <c r="D1993" s="107">
        <v>71.66</v>
      </c>
    </row>
    <row r="1994" spans="1:4" ht="51" x14ac:dyDescent="0.25">
      <c r="A1994" s="104">
        <v>92488</v>
      </c>
      <c r="B1994" s="105" t="s">
        <v>2366</v>
      </c>
      <c r="C1994" s="106" t="s">
        <v>8</v>
      </c>
      <c r="D1994" s="107">
        <v>69.44</v>
      </c>
    </row>
    <row r="1995" spans="1:4" ht="51" x14ac:dyDescent="0.25">
      <c r="A1995" s="104">
        <v>92489</v>
      </c>
      <c r="B1995" s="105" t="s">
        <v>2367</v>
      </c>
      <c r="C1995" s="106" t="s">
        <v>8</v>
      </c>
      <c r="D1995" s="107">
        <v>39.86</v>
      </c>
    </row>
    <row r="1996" spans="1:4" ht="51" x14ac:dyDescent="0.25">
      <c r="A1996" s="104">
        <v>92490</v>
      </c>
      <c r="B1996" s="105" t="s">
        <v>2368</v>
      </c>
      <c r="C1996" s="106" t="s">
        <v>8</v>
      </c>
      <c r="D1996" s="107">
        <v>37.82</v>
      </c>
    </row>
    <row r="1997" spans="1:4" ht="51" x14ac:dyDescent="0.25">
      <c r="A1997" s="104">
        <v>92491</v>
      </c>
      <c r="B1997" s="105" t="s">
        <v>2369</v>
      </c>
      <c r="C1997" s="106" t="s">
        <v>8</v>
      </c>
      <c r="D1997" s="107">
        <v>69.33</v>
      </c>
    </row>
    <row r="1998" spans="1:4" ht="51" x14ac:dyDescent="0.25">
      <c r="A1998" s="104">
        <v>92492</v>
      </c>
      <c r="B1998" s="105" t="s">
        <v>2370</v>
      </c>
      <c r="C1998" s="106" t="s">
        <v>8</v>
      </c>
      <c r="D1998" s="107">
        <v>67.209999999999994</v>
      </c>
    </row>
    <row r="1999" spans="1:4" ht="51" x14ac:dyDescent="0.25">
      <c r="A1999" s="104">
        <v>92493</v>
      </c>
      <c r="B1999" s="105" t="s">
        <v>2371</v>
      </c>
      <c r="C1999" s="106" t="s">
        <v>8</v>
      </c>
      <c r="D1999" s="107">
        <v>35.380000000000003</v>
      </c>
    </row>
    <row r="2000" spans="1:4" ht="51" x14ac:dyDescent="0.25">
      <c r="A2000" s="104">
        <v>92494</v>
      </c>
      <c r="B2000" s="105" t="s">
        <v>2372</v>
      </c>
      <c r="C2000" s="106" t="s">
        <v>8</v>
      </c>
      <c r="D2000" s="107">
        <v>35.909999999999997</v>
      </c>
    </row>
    <row r="2001" spans="1:4" ht="51" x14ac:dyDescent="0.25">
      <c r="A2001" s="104">
        <v>92495</v>
      </c>
      <c r="B2001" s="105" t="s">
        <v>2373</v>
      </c>
      <c r="C2001" s="106" t="s">
        <v>8</v>
      </c>
      <c r="D2001" s="107">
        <v>67.73</v>
      </c>
    </row>
    <row r="2002" spans="1:4" ht="51" x14ac:dyDescent="0.25">
      <c r="A2002" s="104">
        <v>92496</v>
      </c>
      <c r="B2002" s="105" t="s">
        <v>2374</v>
      </c>
      <c r="C2002" s="106" t="s">
        <v>8</v>
      </c>
      <c r="D2002" s="107">
        <v>65.69</v>
      </c>
    </row>
    <row r="2003" spans="1:4" ht="51" x14ac:dyDescent="0.25">
      <c r="A2003" s="104">
        <v>92497</v>
      </c>
      <c r="B2003" s="105" t="s">
        <v>2375</v>
      </c>
      <c r="C2003" s="106" t="s">
        <v>8</v>
      </c>
      <c r="D2003" s="107">
        <v>36.520000000000003</v>
      </c>
    </row>
    <row r="2004" spans="1:4" ht="51" x14ac:dyDescent="0.25">
      <c r="A2004" s="104">
        <v>92498</v>
      </c>
      <c r="B2004" s="105" t="s">
        <v>2376</v>
      </c>
      <c r="C2004" s="106" t="s">
        <v>8</v>
      </c>
      <c r="D2004" s="107">
        <v>34.630000000000003</v>
      </c>
    </row>
    <row r="2005" spans="1:4" ht="51" x14ac:dyDescent="0.25">
      <c r="A2005" s="104">
        <v>92499</v>
      </c>
      <c r="B2005" s="105" t="s">
        <v>2377</v>
      </c>
      <c r="C2005" s="106" t="s">
        <v>8</v>
      </c>
      <c r="D2005" s="107">
        <v>66.8</v>
      </c>
    </row>
    <row r="2006" spans="1:4" ht="51" x14ac:dyDescent="0.25">
      <c r="A2006" s="104">
        <v>92500</v>
      </c>
      <c r="B2006" s="105" t="s">
        <v>2378</v>
      </c>
      <c r="C2006" s="106" t="s">
        <v>8</v>
      </c>
      <c r="D2006" s="107">
        <v>64.819999999999993</v>
      </c>
    </row>
    <row r="2007" spans="1:4" ht="51" x14ac:dyDescent="0.25">
      <c r="A2007" s="104">
        <v>92501</v>
      </c>
      <c r="B2007" s="105" t="s">
        <v>2379</v>
      </c>
      <c r="C2007" s="106" t="s">
        <v>8</v>
      </c>
      <c r="D2007" s="107">
        <v>35.75</v>
      </c>
    </row>
    <row r="2008" spans="1:4" ht="51" x14ac:dyDescent="0.25">
      <c r="A2008" s="104">
        <v>92502</v>
      </c>
      <c r="B2008" s="105" t="s">
        <v>2380</v>
      </c>
      <c r="C2008" s="106" t="s">
        <v>8</v>
      </c>
      <c r="D2008" s="107">
        <v>33.909999999999997</v>
      </c>
    </row>
    <row r="2009" spans="1:4" ht="51" x14ac:dyDescent="0.25">
      <c r="A2009" s="104">
        <v>92503</v>
      </c>
      <c r="B2009" s="105" t="s">
        <v>2381</v>
      </c>
      <c r="C2009" s="106" t="s">
        <v>8</v>
      </c>
      <c r="D2009" s="107">
        <v>65.27</v>
      </c>
    </row>
    <row r="2010" spans="1:4" ht="51" x14ac:dyDescent="0.25">
      <c r="A2010" s="104">
        <v>92504</v>
      </c>
      <c r="B2010" s="105" t="s">
        <v>2382</v>
      </c>
      <c r="C2010" s="106" t="s">
        <v>8</v>
      </c>
      <c r="D2010" s="107">
        <v>38.619999999999997</v>
      </c>
    </row>
    <row r="2011" spans="1:4" ht="51" x14ac:dyDescent="0.25">
      <c r="A2011" s="104">
        <v>92505</v>
      </c>
      <c r="B2011" s="105" t="s">
        <v>2383</v>
      </c>
      <c r="C2011" s="106" t="s">
        <v>8</v>
      </c>
      <c r="D2011" s="107">
        <v>34.44</v>
      </c>
    </row>
    <row r="2012" spans="1:4" ht="51" x14ac:dyDescent="0.25">
      <c r="A2012" s="104">
        <v>92506</v>
      </c>
      <c r="B2012" s="105" t="s">
        <v>2384</v>
      </c>
      <c r="C2012" s="106" t="s">
        <v>8</v>
      </c>
      <c r="D2012" s="107">
        <v>32.659999999999997</v>
      </c>
    </row>
    <row r="2013" spans="1:4" ht="38.25" x14ac:dyDescent="0.25">
      <c r="A2013" s="104">
        <v>92507</v>
      </c>
      <c r="B2013" s="105" t="s">
        <v>2385</v>
      </c>
      <c r="C2013" s="106" t="s">
        <v>8</v>
      </c>
      <c r="D2013" s="107">
        <v>71.45</v>
      </c>
    </row>
    <row r="2014" spans="1:4" ht="38.25" x14ac:dyDescent="0.25">
      <c r="A2014" s="104">
        <v>92508</v>
      </c>
      <c r="B2014" s="105" t="s">
        <v>2386</v>
      </c>
      <c r="C2014" s="106" t="s">
        <v>8</v>
      </c>
      <c r="D2014" s="107">
        <v>69.680000000000007</v>
      </c>
    </row>
    <row r="2015" spans="1:4" ht="38.25" x14ac:dyDescent="0.25">
      <c r="A2015" s="104">
        <v>92509</v>
      </c>
      <c r="B2015" s="105" t="s">
        <v>2387</v>
      </c>
      <c r="C2015" s="106" t="s">
        <v>8</v>
      </c>
      <c r="D2015" s="107">
        <v>36.49</v>
      </c>
    </row>
    <row r="2016" spans="1:4" ht="38.25" x14ac:dyDescent="0.25">
      <c r="A2016" s="104">
        <v>92510</v>
      </c>
      <c r="B2016" s="105" t="s">
        <v>2388</v>
      </c>
      <c r="C2016" s="106" t="s">
        <v>8</v>
      </c>
      <c r="D2016" s="107">
        <v>34.85</v>
      </c>
    </row>
    <row r="2017" spans="1:4" ht="38.25" x14ac:dyDescent="0.25">
      <c r="A2017" s="104">
        <v>92511</v>
      </c>
      <c r="B2017" s="105" t="s">
        <v>2389</v>
      </c>
      <c r="C2017" s="106" t="s">
        <v>8</v>
      </c>
      <c r="D2017" s="107">
        <v>58.71</v>
      </c>
    </row>
    <row r="2018" spans="1:4" ht="38.25" x14ac:dyDescent="0.25">
      <c r="A2018" s="104">
        <v>92512</v>
      </c>
      <c r="B2018" s="105" t="s">
        <v>2390</v>
      </c>
      <c r="C2018" s="106" t="s">
        <v>8</v>
      </c>
      <c r="D2018" s="107">
        <v>57.35</v>
      </c>
    </row>
    <row r="2019" spans="1:4" ht="38.25" x14ac:dyDescent="0.25">
      <c r="A2019" s="104">
        <v>92513</v>
      </c>
      <c r="B2019" s="105" t="s">
        <v>2391</v>
      </c>
      <c r="C2019" s="106" t="s">
        <v>8</v>
      </c>
      <c r="D2019" s="107">
        <v>26.13</v>
      </c>
    </row>
    <row r="2020" spans="1:4" ht="38.25" x14ac:dyDescent="0.25">
      <c r="A2020" s="104">
        <v>92514</v>
      </c>
      <c r="B2020" s="105" t="s">
        <v>2392</v>
      </c>
      <c r="C2020" s="106" t="s">
        <v>8</v>
      </c>
      <c r="D2020" s="107">
        <v>24.87</v>
      </c>
    </row>
    <row r="2021" spans="1:4" ht="38.25" x14ac:dyDescent="0.25">
      <c r="A2021" s="104">
        <v>92515</v>
      </c>
      <c r="B2021" s="105" t="s">
        <v>2393</v>
      </c>
      <c r="C2021" s="106" t="s">
        <v>8</v>
      </c>
      <c r="D2021" s="107">
        <v>53.32</v>
      </c>
    </row>
    <row r="2022" spans="1:4" ht="38.25" x14ac:dyDescent="0.25">
      <c r="A2022" s="104">
        <v>92516</v>
      </c>
      <c r="B2022" s="105" t="s">
        <v>2394</v>
      </c>
      <c r="C2022" s="106" t="s">
        <v>8</v>
      </c>
      <c r="D2022" s="107">
        <v>52.15</v>
      </c>
    </row>
    <row r="2023" spans="1:4" ht="38.25" x14ac:dyDescent="0.25">
      <c r="A2023" s="104">
        <v>92517</v>
      </c>
      <c r="B2023" s="105" t="s">
        <v>2395</v>
      </c>
      <c r="C2023" s="106" t="s">
        <v>8</v>
      </c>
      <c r="D2023" s="107">
        <v>21.81</v>
      </c>
    </row>
    <row r="2024" spans="1:4" ht="38.25" x14ac:dyDescent="0.25">
      <c r="A2024" s="104">
        <v>92518</v>
      </c>
      <c r="B2024" s="105" t="s">
        <v>2396</v>
      </c>
      <c r="C2024" s="106" t="s">
        <v>8</v>
      </c>
      <c r="D2024" s="107">
        <v>20.71</v>
      </c>
    </row>
    <row r="2025" spans="1:4" ht="38.25" x14ac:dyDescent="0.25">
      <c r="A2025" s="104">
        <v>92519</v>
      </c>
      <c r="B2025" s="105" t="s">
        <v>2397</v>
      </c>
      <c r="C2025" s="106" t="s">
        <v>8</v>
      </c>
      <c r="D2025" s="107">
        <v>50.59</v>
      </c>
    </row>
    <row r="2026" spans="1:4" ht="38.25" x14ac:dyDescent="0.25">
      <c r="A2026" s="104">
        <v>92520</v>
      </c>
      <c r="B2026" s="105" t="s">
        <v>2398</v>
      </c>
      <c r="C2026" s="106" t="s">
        <v>8</v>
      </c>
      <c r="D2026" s="107">
        <v>49.5</v>
      </c>
    </row>
    <row r="2027" spans="1:4" ht="38.25" x14ac:dyDescent="0.25">
      <c r="A2027" s="104">
        <v>92521</v>
      </c>
      <c r="B2027" s="105" t="s">
        <v>2399</v>
      </c>
      <c r="C2027" s="106" t="s">
        <v>8</v>
      </c>
      <c r="D2027" s="107">
        <v>19.59</v>
      </c>
    </row>
    <row r="2028" spans="1:4" ht="38.25" x14ac:dyDescent="0.25">
      <c r="A2028" s="104">
        <v>92522</v>
      </c>
      <c r="B2028" s="105" t="s">
        <v>397</v>
      </c>
      <c r="C2028" s="106" t="s">
        <v>8</v>
      </c>
      <c r="D2028" s="107">
        <v>18.57</v>
      </c>
    </row>
    <row r="2029" spans="1:4" ht="38.25" x14ac:dyDescent="0.25">
      <c r="A2029" s="104">
        <v>92523</v>
      </c>
      <c r="B2029" s="105" t="s">
        <v>2400</v>
      </c>
      <c r="C2029" s="106" t="s">
        <v>8</v>
      </c>
      <c r="D2029" s="107">
        <v>50.29</v>
      </c>
    </row>
    <row r="2030" spans="1:4" ht="38.25" x14ac:dyDescent="0.25">
      <c r="A2030" s="104">
        <v>92524</v>
      </c>
      <c r="B2030" s="105" t="s">
        <v>2401</v>
      </c>
      <c r="C2030" s="106" t="s">
        <v>8</v>
      </c>
      <c r="D2030" s="107">
        <v>49.25</v>
      </c>
    </row>
    <row r="2031" spans="1:4" ht="38.25" x14ac:dyDescent="0.25">
      <c r="A2031" s="104">
        <v>92525</v>
      </c>
      <c r="B2031" s="105" t="s">
        <v>654</v>
      </c>
      <c r="C2031" s="106" t="s">
        <v>8</v>
      </c>
      <c r="D2031" s="107">
        <v>19.61</v>
      </c>
    </row>
    <row r="2032" spans="1:4" ht="38.25" x14ac:dyDescent="0.25">
      <c r="A2032" s="104">
        <v>92526</v>
      </c>
      <c r="B2032" s="105" t="s">
        <v>2402</v>
      </c>
      <c r="C2032" s="106" t="s">
        <v>8</v>
      </c>
      <c r="D2032" s="107">
        <v>18.63</v>
      </c>
    </row>
    <row r="2033" spans="1:4" ht="38.25" x14ac:dyDescent="0.25">
      <c r="A2033" s="104">
        <v>92527</v>
      </c>
      <c r="B2033" s="105" t="s">
        <v>2403</v>
      </c>
      <c r="C2033" s="106" t="s">
        <v>8</v>
      </c>
      <c r="D2033" s="107">
        <v>49.14</v>
      </c>
    </row>
    <row r="2034" spans="1:4" ht="38.25" x14ac:dyDescent="0.25">
      <c r="A2034" s="104">
        <v>92528</v>
      </c>
      <c r="B2034" s="105" t="s">
        <v>2404</v>
      </c>
      <c r="C2034" s="106" t="s">
        <v>8</v>
      </c>
      <c r="D2034" s="107">
        <v>48.13</v>
      </c>
    </row>
    <row r="2035" spans="1:4" ht="38.25" x14ac:dyDescent="0.25">
      <c r="A2035" s="104">
        <v>92529</v>
      </c>
      <c r="B2035" s="105" t="s">
        <v>2405</v>
      </c>
      <c r="C2035" s="106" t="s">
        <v>8</v>
      </c>
      <c r="D2035" s="107">
        <v>18.66</v>
      </c>
    </row>
    <row r="2036" spans="1:4" ht="38.25" x14ac:dyDescent="0.25">
      <c r="A2036" s="104">
        <v>92530</v>
      </c>
      <c r="B2036" s="105" t="s">
        <v>2406</v>
      </c>
      <c r="C2036" s="106" t="s">
        <v>8</v>
      </c>
      <c r="D2036" s="107">
        <v>17.71</v>
      </c>
    </row>
    <row r="2037" spans="1:4" ht="38.25" x14ac:dyDescent="0.25">
      <c r="A2037" s="104">
        <v>92531</v>
      </c>
      <c r="B2037" s="105" t="s">
        <v>2407</v>
      </c>
      <c r="C2037" s="106" t="s">
        <v>8</v>
      </c>
      <c r="D2037" s="107">
        <v>48.27</v>
      </c>
    </row>
    <row r="2038" spans="1:4" ht="38.25" x14ac:dyDescent="0.25">
      <c r="A2038" s="104">
        <v>92532</v>
      </c>
      <c r="B2038" s="105" t="s">
        <v>2408</v>
      </c>
      <c r="C2038" s="106" t="s">
        <v>8</v>
      </c>
      <c r="D2038" s="107">
        <v>47.28</v>
      </c>
    </row>
    <row r="2039" spans="1:4" ht="38.25" x14ac:dyDescent="0.25">
      <c r="A2039" s="104">
        <v>92533</v>
      </c>
      <c r="B2039" s="105" t="s">
        <v>2409</v>
      </c>
      <c r="C2039" s="106" t="s">
        <v>8</v>
      </c>
      <c r="D2039" s="107">
        <v>17.940000000000001</v>
      </c>
    </row>
    <row r="2040" spans="1:4" ht="38.25" x14ac:dyDescent="0.25">
      <c r="A2040" s="104">
        <v>92534</v>
      </c>
      <c r="B2040" s="105" t="s">
        <v>2410</v>
      </c>
      <c r="C2040" s="106" t="s">
        <v>8</v>
      </c>
      <c r="D2040" s="107">
        <v>17.05</v>
      </c>
    </row>
    <row r="2041" spans="1:4" ht="38.25" x14ac:dyDescent="0.25">
      <c r="A2041" s="104">
        <v>92535</v>
      </c>
      <c r="B2041" s="105" t="s">
        <v>2411</v>
      </c>
      <c r="C2041" s="106" t="s">
        <v>8</v>
      </c>
      <c r="D2041" s="107">
        <v>46.69</v>
      </c>
    </row>
    <row r="2042" spans="1:4" ht="38.25" x14ac:dyDescent="0.25">
      <c r="A2042" s="104">
        <v>92536</v>
      </c>
      <c r="B2042" s="105" t="s">
        <v>2412</v>
      </c>
      <c r="C2042" s="106" t="s">
        <v>8</v>
      </c>
      <c r="D2042" s="107">
        <v>45.74</v>
      </c>
    </row>
    <row r="2043" spans="1:4" ht="38.25" x14ac:dyDescent="0.25">
      <c r="A2043" s="104">
        <v>92537</v>
      </c>
      <c r="B2043" s="105" t="s">
        <v>2413</v>
      </c>
      <c r="C2043" s="106" t="s">
        <v>8</v>
      </c>
      <c r="D2043" s="107">
        <v>16.55</v>
      </c>
    </row>
    <row r="2044" spans="1:4" ht="38.25" x14ac:dyDescent="0.25">
      <c r="A2044" s="104">
        <v>92538</v>
      </c>
      <c r="B2044" s="105" t="s">
        <v>2414</v>
      </c>
      <c r="C2044" s="106" t="s">
        <v>8</v>
      </c>
      <c r="D2044" s="107">
        <v>15.67</v>
      </c>
    </row>
    <row r="2045" spans="1:4" ht="25.5" x14ac:dyDescent="0.25">
      <c r="A2045" s="104">
        <v>95934</v>
      </c>
      <c r="B2045" s="105" t="s">
        <v>2415</v>
      </c>
      <c r="C2045" s="106" t="s">
        <v>8</v>
      </c>
      <c r="D2045" s="107">
        <v>119.36</v>
      </c>
    </row>
    <row r="2046" spans="1:4" ht="25.5" x14ac:dyDescent="0.25">
      <c r="A2046" s="104">
        <v>95935</v>
      </c>
      <c r="B2046" s="105" t="s">
        <v>2416</v>
      </c>
      <c r="C2046" s="106" t="s">
        <v>8</v>
      </c>
      <c r="D2046" s="107">
        <v>98.64</v>
      </c>
    </row>
    <row r="2047" spans="1:4" ht="25.5" x14ac:dyDescent="0.25">
      <c r="A2047" s="104">
        <v>95936</v>
      </c>
      <c r="B2047" s="105" t="s">
        <v>2417</v>
      </c>
      <c r="C2047" s="106" t="s">
        <v>8</v>
      </c>
      <c r="D2047" s="107">
        <v>87.11</v>
      </c>
    </row>
    <row r="2048" spans="1:4" ht="25.5" x14ac:dyDescent="0.25">
      <c r="A2048" s="104">
        <v>95937</v>
      </c>
      <c r="B2048" s="105" t="s">
        <v>2418</v>
      </c>
      <c r="C2048" s="106" t="s">
        <v>8</v>
      </c>
      <c r="D2048" s="107">
        <v>231.6</v>
      </c>
    </row>
    <row r="2049" spans="1:4" ht="25.5" x14ac:dyDescent="0.25">
      <c r="A2049" s="104">
        <v>95938</v>
      </c>
      <c r="B2049" s="105" t="s">
        <v>2419</v>
      </c>
      <c r="C2049" s="106" t="s">
        <v>8</v>
      </c>
      <c r="D2049" s="107">
        <v>193.33</v>
      </c>
    </row>
    <row r="2050" spans="1:4" ht="38.25" x14ac:dyDescent="0.25">
      <c r="A2050" s="104">
        <v>95939</v>
      </c>
      <c r="B2050" s="105" t="s">
        <v>678</v>
      </c>
      <c r="C2050" s="106" t="s">
        <v>8</v>
      </c>
      <c r="D2050" s="107">
        <v>152.30000000000001</v>
      </c>
    </row>
    <row r="2051" spans="1:4" ht="38.25" x14ac:dyDescent="0.25">
      <c r="A2051" s="104">
        <v>95940</v>
      </c>
      <c r="B2051" s="105" t="s">
        <v>2420</v>
      </c>
      <c r="C2051" s="106" t="s">
        <v>8</v>
      </c>
      <c r="D2051" s="107">
        <v>124.95</v>
      </c>
    </row>
    <row r="2052" spans="1:4" ht="38.25" x14ac:dyDescent="0.25">
      <c r="A2052" s="104">
        <v>95941</v>
      </c>
      <c r="B2052" s="105" t="s">
        <v>2421</v>
      </c>
      <c r="C2052" s="106" t="s">
        <v>8</v>
      </c>
      <c r="D2052" s="107">
        <v>109.94</v>
      </c>
    </row>
    <row r="2053" spans="1:4" ht="38.25" x14ac:dyDescent="0.25">
      <c r="A2053" s="104">
        <v>95942</v>
      </c>
      <c r="B2053" s="105" t="s">
        <v>2422</v>
      </c>
      <c r="C2053" s="106" t="s">
        <v>8</v>
      </c>
      <c r="D2053" s="107">
        <v>100.56</v>
      </c>
    </row>
    <row r="2054" spans="1:4" ht="25.5" x14ac:dyDescent="0.25">
      <c r="A2054" s="104">
        <v>96252</v>
      </c>
      <c r="B2054" s="105" t="s">
        <v>2423</v>
      </c>
      <c r="C2054" s="106" t="s">
        <v>8</v>
      </c>
      <c r="D2054" s="107">
        <v>148.69</v>
      </c>
    </row>
    <row r="2055" spans="1:4" ht="38.25" x14ac:dyDescent="0.25">
      <c r="A2055" s="104">
        <v>96257</v>
      </c>
      <c r="B2055" s="105" t="s">
        <v>2424</v>
      </c>
      <c r="C2055" s="106" t="s">
        <v>8</v>
      </c>
      <c r="D2055" s="107">
        <v>125.4</v>
      </c>
    </row>
    <row r="2056" spans="1:4" ht="38.25" x14ac:dyDescent="0.25">
      <c r="A2056" s="104">
        <v>96258</v>
      </c>
      <c r="B2056" s="105" t="s">
        <v>2425</v>
      </c>
      <c r="C2056" s="106" t="s">
        <v>8</v>
      </c>
      <c r="D2056" s="107">
        <v>117.22</v>
      </c>
    </row>
    <row r="2057" spans="1:4" ht="38.25" x14ac:dyDescent="0.25">
      <c r="A2057" s="104">
        <v>96259</v>
      </c>
      <c r="B2057" s="105" t="s">
        <v>2426</v>
      </c>
      <c r="C2057" s="106" t="s">
        <v>8</v>
      </c>
      <c r="D2057" s="107">
        <v>140.85</v>
      </c>
    </row>
    <row r="2058" spans="1:4" ht="25.5" x14ac:dyDescent="0.25">
      <c r="A2058" s="104">
        <v>96529</v>
      </c>
      <c r="B2058" s="105" t="s">
        <v>2427</v>
      </c>
      <c r="C2058" s="106" t="s">
        <v>8</v>
      </c>
      <c r="D2058" s="107">
        <v>183.36</v>
      </c>
    </row>
    <row r="2059" spans="1:4" ht="38.25" x14ac:dyDescent="0.25">
      <c r="A2059" s="104">
        <v>96530</v>
      </c>
      <c r="B2059" s="105" t="s">
        <v>2428</v>
      </c>
      <c r="C2059" s="106" t="s">
        <v>8</v>
      </c>
      <c r="D2059" s="107">
        <v>88.62</v>
      </c>
    </row>
    <row r="2060" spans="1:4" ht="38.25" x14ac:dyDescent="0.25">
      <c r="A2060" s="104">
        <v>96531</v>
      </c>
      <c r="B2060" s="105" t="s">
        <v>2429</v>
      </c>
      <c r="C2060" s="106" t="s">
        <v>8</v>
      </c>
      <c r="D2060" s="107">
        <v>66.790000000000006</v>
      </c>
    </row>
    <row r="2061" spans="1:4" ht="25.5" x14ac:dyDescent="0.25">
      <c r="A2061" s="104">
        <v>96532</v>
      </c>
      <c r="B2061" s="105" t="s">
        <v>2430</v>
      </c>
      <c r="C2061" s="106" t="s">
        <v>8</v>
      </c>
      <c r="D2061" s="107">
        <v>120.74</v>
      </c>
    </row>
    <row r="2062" spans="1:4" ht="38.25" x14ac:dyDescent="0.25">
      <c r="A2062" s="104">
        <v>96533</v>
      </c>
      <c r="B2062" s="105" t="s">
        <v>2431</v>
      </c>
      <c r="C2062" s="106" t="s">
        <v>8</v>
      </c>
      <c r="D2062" s="107">
        <v>57.82</v>
      </c>
    </row>
    <row r="2063" spans="1:4" ht="38.25" x14ac:dyDescent="0.25">
      <c r="A2063" s="104">
        <v>96534</v>
      </c>
      <c r="B2063" s="105" t="s">
        <v>2432</v>
      </c>
      <c r="C2063" s="106" t="s">
        <v>8</v>
      </c>
      <c r="D2063" s="107">
        <v>49.56</v>
      </c>
    </row>
    <row r="2064" spans="1:4" ht="25.5" x14ac:dyDescent="0.25">
      <c r="A2064" s="104">
        <v>96535</v>
      </c>
      <c r="B2064" s="105" t="s">
        <v>2433</v>
      </c>
      <c r="C2064" s="106" t="s">
        <v>8</v>
      </c>
      <c r="D2064" s="107">
        <v>88.14</v>
      </c>
    </row>
    <row r="2065" spans="1:4" ht="38.25" x14ac:dyDescent="0.25">
      <c r="A2065" s="104">
        <v>96536</v>
      </c>
      <c r="B2065" s="105" t="s">
        <v>2434</v>
      </c>
      <c r="C2065" s="106" t="s">
        <v>8</v>
      </c>
      <c r="D2065" s="107">
        <v>41.8</v>
      </c>
    </row>
    <row r="2066" spans="1:4" ht="38.25" x14ac:dyDescent="0.25">
      <c r="A2066" s="104">
        <v>96537</v>
      </c>
      <c r="B2066" s="105" t="s">
        <v>2435</v>
      </c>
      <c r="C2066" s="106" t="s">
        <v>8</v>
      </c>
      <c r="D2066" s="107">
        <v>112.69</v>
      </c>
    </row>
    <row r="2067" spans="1:4" ht="38.25" x14ac:dyDescent="0.25">
      <c r="A2067" s="104">
        <v>96538</v>
      </c>
      <c r="B2067" s="105" t="s">
        <v>2436</v>
      </c>
      <c r="C2067" s="106" t="s">
        <v>8</v>
      </c>
      <c r="D2067" s="107">
        <v>175.12</v>
      </c>
    </row>
    <row r="2068" spans="1:4" ht="38.25" x14ac:dyDescent="0.25">
      <c r="A2068" s="104">
        <v>96539</v>
      </c>
      <c r="B2068" s="105" t="s">
        <v>2437</v>
      </c>
      <c r="C2068" s="106" t="s">
        <v>8</v>
      </c>
      <c r="D2068" s="107">
        <v>78.63</v>
      </c>
    </row>
    <row r="2069" spans="1:4" ht="38.25" x14ac:dyDescent="0.25">
      <c r="A2069" s="104">
        <v>96540</v>
      </c>
      <c r="B2069" s="105" t="s">
        <v>2438</v>
      </c>
      <c r="C2069" s="106" t="s">
        <v>8</v>
      </c>
      <c r="D2069" s="107">
        <v>80.430000000000007</v>
      </c>
    </row>
    <row r="2070" spans="1:4" ht="38.25" x14ac:dyDescent="0.25">
      <c r="A2070" s="104">
        <v>96541</v>
      </c>
      <c r="B2070" s="105" t="s">
        <v>2439</v>
      </c>
      <c r="C2070" s="106" t="s">
        <v>8</v>
      </c>
      <c r="D2070" s="107">
        <v>124.12</v>
      </c>
    </row>
    <row r="2071" spans="1:4" ht="38.25" x14ac:dyDescent="0.25">
      <c r="A2071" s="104">
        <v>96542</v>
      </c>
      <c r="B2071" s="105" t="s">
        <v>2440</v>
      </c>
      <c r="C2071" s="106" t="s">
        <v>8</v>
      </c>
      <c r="D2071" s="107">
        <v>59.29</v>
      </c>
    </row>
    <row r="2072" spans="1:4" ht="25.5" x14ac:dyDescent="0.25">
      <c r="A2072" s="104">
        <v>96543</v>
      </c>
      <c r="B2072" s="105" t="s">
        <v>2441</v>
      </c>
      <c r="C2072" s="106" t="s">
        <v>57</v>
      </c>
      <c r="D2072" s="107">
        <v>11.65</v>
      </c>
    </row>
    <row r="2073" spans="1:4" ht="38.25" x14ac:dyDescent="0.25">
      <c r="A2073" s="104">
        <v>97747</v>
      </c>
      <c r="B2073" s="105" t="s">
        <v>2442</v>
      </c>
      <c r="C2073" s="106" t="s">
        <v>8</v>
      </c>
      <c r="D2073" s="107">
        <v>130.58000000000001</v>
      </c>
    </row>
    <row r="2074" spans="1:4" ht="25.5" x14ac:dyDescent="0.25">
      <c r="A2074" s="104">
        <v>89996</v>
      </c>
      <c r="B2074" s="105" t="s">
        <v>2443</v>
      </c>
      <c r="C2074" s="106" t="s">
        <v>57</v>
      </c>
      <c r="D2074" s="107">
        <v>6.96</v>
      </c>
    </row>
    <row r="2075" spans="1:4" ht="25.5" x14ac:dyDescent="0.25">
      <c r="A2075" s="104">
        <v>89997</v>
      </c>
      <c r="B2075" s="105" t="s">
        <v>2444</v>
      </c>
      <c r="C2075" s="106" t="s">
        <v>57</v>
      </c>
      <c r="D2075" s="107">
        <v>5.64</v>
      </c>
    </row>
    <row r="2076" spans="1:4" ht="25.5" x14ac:dyDescent="0.25">
      <c r="A2076" s="104">
        <v>89998</v>
      </c>
      <c r="B2076" s="105" t="s">
        <v>2445</v>
      </c>
      <c r="C2076" s="106" t="s">
        <v>57</v>
      </c>
      <c r="D2076" s="107">
        <v>6.59</v>
      </c>
    </row>
    <row r="2077" spans="1:4" ht="25.5" x14ac:dyDescent="0.25">
      <c r="A2077" s="104">
        <v>89999</v>
      </c>
      <c r="B2077" s="105" t="s">
        <v>2446</v>
      </c>
      <c r="C2077" s="106" t="s">
        <v>57</v>
      </c>
      <c r="D2077" s="107">
        <v>9.76</v>
      </c>
    </row>
    <row r="2078" spans="1:4" ht="25.5" x14ac:dyDescent="0.25">
      <c r="A2078" s="104">
        <v>90000</v>
      </c>
      <c r="B2078" s="105" t="s">
        <v>2447</v>
      </c>
      <c r="C2078" s="106" t="s">
        <v>57</v>
      </c>
      <c r="D2078" s="107">
        <v>7.92</v>
      </c>
    </row>
    <row r="2079" spans="1:4" ht="38.25" x14ac:dyDescent="0.25">
      <c r="A2079" s="104">
        <v>91593</v>
      </c>
      <c r="B2079" s="105" t="s">
        <v>10505</v>
      </c>
      <c r="C2079" s="106" t="s">
        <v>57</v>
      </c>
      <c r="D2079" s="107">
        <v>7.39</v>
      </c>
    </row>
    <row r="2080" spans="1:4" ht="38.25" x14ac:dyDescent="0.25">
      <c r="A2080" s="104">
        <v>91594</v>
      </c>
      <c r="B2080" s="105" t="s">
        <v>10506</v>
      </c>
      <c r="C2080" s="106" t="s">
        <v>57</v>
      </c>
      <c r="D2080" s="107">
        <v>7.66</v>
      </c>
    </row>
    <row r="2081" spans="1:4" ht="25.5" x14ac:dyDescent="0.25">
      <c r="A2081" s="104">
        <v>91595</v>
      </c>
      <c r="B2081" s="105" t="s">
        <v>10507</v>
      </c>
      <c r="C2081" s="106" t="s">
        <v>57</v>
      </c>
      <c r="D2081" s="107">
        <v>8.1300000000000008</v>
      </c>
    </row>
    <row r="2082" spans="1:4" ht="25.5" x14ac:dyDescent="0.25">
      <c r="A2082" s="104">
        <v>91596</v>
      </c>
      <c r="B2082" s="105" t="s">
        <v>10508</v>
      </c>
      <c r="C2082" s="106" t="s">
        <v>57</v>
      </c>
      <c r="D2082" s="107">
        <v>7.6</v>
      </c>
    </row>
    <row r="2083" spans="1:4" ht="25.5" x14ac:dyDescent="0.25">
      <c r="A2083" s="104">
        <v>91597</v>
      </c>
      <c r="B2083" s="105" t="s">
        <v>10509</v>
      </c>
      <c r="C2083" s="106" t="s">
        <v>57</v>
      </c>
      <c r="D2083" s="107">
        <v>5.4</v>
      </c>
    </row>
    <row r="2084" spans="1:4" ht="25.5" x14ac:dyDescent="0.25">
      <c r="A2084" s="104">
        <v>91598</v>
      </c>
      <c r="B2084" s="105" t="s">
        <v>10510</v>
      </c>
      <c r="C2084" s="106" t="s">
        <v>57</v>
      </c>
      <c r="D2084" s="107">
        <v>7.46</v>
      </c>
    </row>
    <row r="2085" spans="1:4" ht="25.5" x14ac:dyDescent="0.25">
      <c r="A2085" s="104">
        <v>91599</v>
      </c>
      <c r="B2085" s="105" t="s">
        <v>10511</v>
      </c>
      <c r="C2085" s="106" t="s">
        <v>57</v>
      </c>
      <c r="D2085" s="107">
        <v>5.66</v>
      </c>
    </row>
    <row r="2086" spans="1:4" ht="25.5" x14ac:dyDescent="0.25">
      <c r="A2086" s="104">
        <v>91600</v>
      </c>
      <c r="B2086" s="105" t="s">
        <v>10512</v>
      </c>
      <c r="C2086" s="106" t="s">
        <v>57</v>
      </c>
      <c r="D2086" s="107">
        <v>9.2899999999999991</v>
      </c>
    </row>
    <row r="2087" spans="1:4" ht="25.5" x14ac:dyDescent="0.25">
      <c r="A2087" s="104">
        <v>91601</v>
      </c>
      <c r="B2087" s="105" t="s">
        <v>10513</v>
      </c>
      <c r="C2087" s="106" t="s">
        <v>57</v>
      </c>
      <c r="D2087" s="107">
        <v>7.95</v>
      </c>
    </row>
    <row r="2088" spans="1:4" ht="25.5" x14ac:dyDescent="0.25">
      <c r="A2088" s="104">
        <v>91602</v>
      </c>
      <c r="B2088" s="105" t="s">
        <v>10514</v>
      </c>
      <c r="C2088" s="106" t="s">
        <v>57</v>
      </c>
      <c r="D2088" s="107">
        <v>7.29</v>
      </c>
    </row>
    <row r="2089" spans="1:4" ht="25.5" x14ac:dyDescent="0.25">
      <c r="A2089" s="104">
        <v>91603</v>
      </c>
      <c r="B2089" s="105" t="s">
        <v>10515</v>
      </c>
      <c r="C2089" s="106" t="s">
        <v>57</v>
      </c>
      <c r="D2089" s="107">
        <v>6.9</v>
      </c>
    </row>
    <row r="2090" spans="1:4" ht="38.25" x14ac:dyDescent="0.25">
      <c r="A2090" s="104">
        <v>92759</v>
      </c>
      <c r="B2090" s="105" t="s">
        <v>2448</v>
      </c>
      <c r="C2090" s="106" t="s">
        <v>57</v>
      </c>
      <c r="D2090" s="107">
        <v>9.7100000000000009</v>
      </c>
    </row>
    <row r="2091" spans="1:4" ht="38.25" x14ac:dyDescent="0.25">
      <c r="A2091" s="104">
        <v>92760</v>
      </c>
      <c r="B2091" s="105" t="s">
        <v>2449</v>
      </c>
      <c r="C2091" s="106" t="s">
        <v>57</v>
      </c>
      <c r="D2091" s="107">
        <v>9.0299999999999994</v>
      </c>
    </row>
    <row r="2092" spans="1:4" ht="38.25" x14ac:dyDescent="0.25">
      <c r="A2092" s="104">
        <v>92761</v>
      </c>
      <c r="B2092" s="105" t="s">
        <v>2450</v>
      </c>
      <c r="C2092" s="106" t="s">
        <v>57</v>
      </c>
      <c r="D2092" s="107">
        <v>8.3699999999999992</v>
      </c>
    </row>
    <row r="2093" spans="1:4" ht="38.25" x14ac:dyDescent="0.25">
      <c r="A2093" s="104">
        <v>92762</v>
      </c>
      <c r="B2093" s="105" t="s">
        <v>2451</v>
      </c>
      <c r="C2093" s="106" t="s">
        <v>57</v>
      </c>
      <c r="D2093" s="107">
        <v>7.47</v>
      </c>
    </row>
    <row r="2094" spans="1:4" ht="38.25" x14ac:dyDescent="0.25">
      <c r="A2094" s="104">
        <v>92763</v>
      </c>
      <c r="B2094" s="105" t="s">
        <v>2452</v>
      </c>
      <c r="C2094" s="106" t="s">
        <v>57</v>
      </c>
      <c r="D2094" s="107">
        <v>6.27</v>
      </c>
    </row>
    <row r="2095" spans="1:4" ht="38.25" x14ac:dyDescent="0.25">
      <c r="A2095" s="104">
        <v>92764</v>
      </c>
      <c r="B2095" s="105" t="s">
        <v>2453</v>
      </c>
      <c r="C2095" s="106" t="s">
        <v>57</v>
      </c>
      <c r="D2095" s="107">
        <v>5.93</v>
      </c>
    </row>
    <row r="2096" spans="1:4" ht="38.25" x14ac:dyDescent="0.25">
      <c r="A2096" s="104">
        <v>92765</v>
      </c>
      <c r="B2096" s="105" t="s">
        <v>2454</v>
      </c>
      <c r="C2096" s="106" t="s">
        <v>57</v>
      </c>
      <c r="D2096" s="107">
        <v>6.63</v>
      </c>
    </row>
    <row r="2097" spans="1:4" ht="38.25" x14ac:dyDescent="0.25">
      <c r="A2097" s="104">
        <v>92766</v>
      </c>
      <c r="B2097" s="105" t="s">
        <v>2455</v>
      </c>
      <c r="C2097" s="106" t="s">
        <v>57</v>
      </c>
      <c r="D2097" s="107">
        <v>6.46</v>
      </c>
    </row>
    <row r="2098" spans="1:4" ht="38.25" x14ac:dyDescent="0.25">
      <c r="A2098" s="104">
        <v>92767</v>
      </c>
      <c r="B2098" s="105" t="s">
        <v>2456</v>
      </c>
      <c r="C2098" s="106" t="s">
        <v>57</v>
      </c>
      <c r="D2098" s="107">
        <v>9.8699999999999992</v>
      </c>
    </row>
    <row r="2099" spans="1:4" ht="38.25" x14ac:dyDescent="0.25">
      <c r="A2099" s="104">
        <v>92768</v>
      </c>
      <c r="B2099" s="105" t="s">
        <v>2457</v>
      </c>
      <c r="C2099" s="106" t="s">
        <v>57</v>
      </c>
      <c r="D2099" s="107">
        <v>8.7100000000000009</v>
      </c>
    </row>
    <row r="2100" spans="1:4" ht="38.25" x14ac:dyDescent="0.25">
      <c r="A2100" s="104">
        <v>92769</v>
      </c>
      <c r="B2100" s="105" t="s">
        <v>2458</v>
      </c>
      <c r="C2100" s="106" t="s">
        <v>57</v>
      </c>
      <c r="D2100" s="107">
        <v>8.26</v>
      </c>
    </row>
    <row r="2101" spans="1:4" ht="38.25" x14ac:dyDescent="0.25">
      <c r="A2101" s="104">
        <v>92770</v>
      </c>
      <c r="B2101" s="105" t="s">
        <v>2459</v>
      </c>
      <c r="C2101" s="106" t="s">
        <v>57</v>
      </c>
      <c r="D2101" s="107">
        <v>7.79</v>
      </c>
    </row>
    <row r="2102" spans="1:4" ht="38.25" x14ac:dyDescent="0.25">
      <c r="A2102" s="104">
        <v>92771</v>
      </c>
      <c r="B2102" s="105" t="s">
        <v>2460</v>
      </c>
      <c r="C2102" s="106" t="s">
        <v>57</v>
      </c>
      <c r="D2102" s="107">
        <v>7</v>
      </c>
    </row>
    <row r="2103" spans="1:4" ht="38.25" x14ac:dyDescent="0.25">
      <c r="A2103" s="104">
        <v>92772</v>
      </c>
      <c r="B2103" s="105" t="s">
        <v>2461</v>
      </c>
      <c r="C2103" s="106" t="s">
        <v>57</v>
      </c>
      <c r="D2103" s="107">
        <v>5.91</v>
      </c>
    </row>
    <row r="2104" spans="1:4" ht="38.25" x14ac:dyDescent="0.25">
      <c r="A2104" s="104">
        <v>92773</v>
      </c>
      <c r="B2104" s="105" t="s">
        <v>2462</v>
      </c>
      <c r="C2104" s="106" t="s">
        <v>57</v>
      </c>
      <c r="D2104" s="107">
        <v>5.68</v>
      </c>
    </row>
    <row r="2105" spans="1:4" ht="38.25" x14ac:dyDescent="0.25">
      <c r="A2105" s="104">
        <v>92774</v>
      </c>
      <c r="B2105" s="105" t="s">
        <v>2463</v>
      </c>
      <c r="C2105" s="106" t="s">
        <v>57</v>
      </c>
      <c r="D2105" s="107">
        <v>6.46</v>
      </c>
    </row>
    <row r="2106" spans="1:4" ht="38.25" x14ac:dyDescent="0.25">
      <c r="A2106" s="104">
        <v>92775</v>
      </c>
      <c r="B2106" s="105" t="s">
        <v>2464</v>
      </c>
      <c r="C2106" s="106" t="s">
        <v>57</v>
      </c>
      <c r="D2106" s="107">
        <v>11.71</v>
      </c>
    </row>
    <row r="2107" spans="1:4" ht="38.25" x14ac:dyDescent="0.25">
      <c r="A2107" s="104">
        <v>92776</v>
      </c>
      <c r="B2107" s="105" t="s">
        <v>2465</v>
      </c>
      <c r="C2107" s="106" t="s">
        <v>57</v>
      </c>
      <c r="D2107" s="107">
        <v>10.55</v>
      </c>
    </row>
    <row r="2108" spans="1:4" ht="38.25" x14ac:dyDescent="0.25">
      <c r="A2108" s="104">
        <v>92777</v>
      </c>
      <c r="B2108" s="105" t="s">
        <v>2466</v>
      </c>
      <c r="C2108" s="106" t="s">
        <v>57</v>
      </c>
      <c r="D2108" s="107">
        <v>9.51</v>
      </c>
    </row>
    <row r="2109" spans="1:4" ht="38.25" x14ac:dyDescent="0.25">
      <c r="A2109" s="104">
        <v>92778</v>
      </c>
      <c r="B2109" s="105" t="s">
        <v>2467</v>
      </c>
      <c r="C2109" s="106" t="s">
        <v>57</v>
      </c>
      <c r="D2109" s="107">
        <v>8.33</v>
      </c>
    </row>
    <row r="2110" spans="1:4" ht="38.25" x14ac:dyDescent="0.25">
      <c r="A2110" s="104">
        <v>92779</v>
      </c>
      <c r="B2110" s="105" t="s">
        <v>2468</v>
      </c>
      <c r="C2110" s="106" t="s">
        <v>57</v>
      </c>
      <c r="D2110" s="107">
        <v>6.89</v>
      </c>
    </row>
    <row r="2111" spans="1:4" ht="38.25" x14ac:dyDescent="0.25">
      <c r="A2111" s="104">
        <v>92780</v>
      </c>
      <c r="B2111" s="105" t="s">
        <v>2469</v>
      </c>
      <c r="C2111" s="106" t="s">
        <v>57</v>
      </c>
      <c r="D2111" s="107">
        <v>6.35</v>
      </c>
    </row>
    <row r="2112" spans="1:4" ht="38.25" x14ac:dyDescent="0.25">
      <c r="A2112" s="104">
        <v>92781</v>
      </c>
      <c r="B2112" s="105" t="s">
        <v>2470</v>
      </c>
      <c r="C2112" s="106" t="s">
        <v>57</v>
      </c>
      <c r="D2112" s="107">
        <v>6.92</v>
      </c>
    </row>
    <row r="2113" spans="1:4" ht="38.25" x14ac:dyDescent="0.25">
      <c r="A2113" s="104">
        <v>92782</v>
      </c>
      <c r="B2113" s="105" t="s">
        <v>2471</v>
      </c>
      <c r="C2113" s="106" t="s">
        <v>57</v>
      </c>
      <c r="D2113" s="107">
        <v>6.63</v>
      </c>
    </row>
    <row r="2114" spans="1:4" ht="38.25" x14ac:dyDescent="0.25">
      <c r="A2114" s="104">
        <v>92783</v>
      </c>
      <c r="B2114" s="105" t="s">
        <v>2472</v>
      </c>
      <c r="C2114" s="106" t="s">
        <v>57</v>
      </c>
      <c r="D2114" s="107">
        <v>11.56</v>
      </c>
    </row>
    <row r="2115" spans="1:4" ht="38.25" x14ac:dyDescent="0.25">
      <c r="A2115" s="104">
        <v>92784</v>
      </c>
      <c r="B2115" s="105" t="s">
        <v>2473</v>
      </c>
      <c r="C2115" s="106" t="s">
        <v>57</v>
      </c>
      <c r="D2115" s="107">
        <v>10.08</v>
      </c>
    </row>
    <row r="2116" spans="1:4" ht="38.25" x14ac:dyDescent="0.25">
      <c r="A2116" s="104">
        <v>92785</v>
      </c>
      <c r="B2116" s="105" t="s">
        <v>2474</v>
      </c>
      <c r="C2116" s="106" t="s">
        <v>57</v>
      </c>
      <c r="D2116" s="107">
        <v>9.3000000000000007</v>
      </c>
    </row>
    <row r="2117" spans="1:4" ht="38.25" x14ac:dyDescent="0.25">
      <c r="A2117" s="104">
        <v>92786</v>
      </c>
      <c r="B2117" s="105" t="s">
        <v>2475</v>
      </c>
      <c r="C2117" s="106" t="s">
        <v>57</v>
      </c>
      <c r="D2117" s="107">
        <v>8.56</v>
      </c>
    </row>
    <row r="2118" spans="1:4" ht="38.25" x14ac:dyDescent="0.25">
      <c r="A2118" s="104">
        <v>92787</v>
      </c>
      <c r="B2118" s="105" t="s">
        <v>2476</v>
      </c>
      <c r="C2118" s="106" t="s">
        <v>57</v>
      </c>
      <c r="D2118" s="107">
        <v>7.57</v>
      </c>
    </row>
    <row r="2119" spans="1:4" ht="38.25" x14ac:dyDescent="0.25">
      <c r="A2119" s="104">
        <v>92788</v>
      </c>
      <c r="B2119" s="105" t="s">
        <v>2477</v>
      </c>
      <c r="C2119" s="106" t="s">
        <v>57</v>
      </c>
      <c r="D2119" s="107">
        <v>6.31</v>
      </c>
    </row>
    <row r="2120" spans="1:4" ht="38.25" x14ac:dyDescent="0.25">
      <c r="A2120" s="104">
        <v>92789</v>
      </c>
      <c r="B2120" s="105" t="s">
        <v>2478</v>
      </c>
      <c r="C2120" s="106" t="s">
        <v>57</v>
      </c>
      <c r="D2120" s="107">
        <v>5.94</v>
      </c>
    </row>
    <row r="2121" spans="1:4" ht="38.25" x14ac:dyDescent="0.25">
      <c r="A2121" s="104">
        <v>92790</v>
      </c>
      <c r="B2121" s="105" t="s">
        <v>2479</v>
      </c>
      <c r="C2121" s="106" t="s">
        <v>57</v>
      </c>
      <c r="D2121" s="107">
        <v>6.61</v>
      </c>
    </row>
    <row r="2122" spans="1:4" ht="25.5" x14ac:dyDescent="0.25">
      <c r="A2122" s="104">
        <v>92791</v>
      </c>
      <c r="B2122" s="105" t="s">
        <v>2480</v>
      </c>
      <c r="C2122" s="106" t="s">
        <v>57</v>
      </c>
      <c r="D2122" s="107">
        <v>6.77</v>
      </c>
    </row>
    <row r="2123" spans="1:4" ht="25.5" x14ac:dyDescent="0.25">
      <c r="A2123" s="104">
        <v>92792</v>
      </c>
      <c r="B2123" s="105" t="s">
        <v>2481</v>
      </c>
      <c r="C2123" s="106" t="s">
        <v>57</v>
      </c>
      <c r="D2123" s="107">
        <v>6.7</v>
      </c>
    </row>
    <row r="2124" spans="1:4" ht="25.5" x14ac:dyDescent="0.25">
      <c r="A2124" s="104">
        <v>92793</v>
      </c>
      <c r="B2124" s="105" t="s">
        <v>2482</v>
      </c>
      <c r="C2124" s="106" t="s">
        <v>57</v>
      </c>
      <c r="D2124" s="107">
        <v>6.56</v>
      </c>
    </row>
    <row r="2125" spans="1:4" ht="25.5" x14ac:dyDescent="0.25">
      <c r="A2125" s="104">
        <v>92794</v>
      </c>
      <c r="B2125" s="105" t="s">
        <v>2483</v>
      </c>
      <c r="C2125" s="106" t="s">
        <v>57</v>
      </c>
      <c r="D2125" s="107">
        <v>6.03</v>
      </c>
    </row>
    <row r="2126" spans="1:4" ht="25.5" x14ac:dyDescent="0.25">
      <c r="A2126" s="104">
        <v>92795</v>
      </c>
      <c r="B2126" s="105" t="s">
        <v>2484</v>
      </c>
      <c r="C2126" s="106" t="s">
        <v>57</v>
      </c>
      <c r="D2126" s="107">
        <v>5.14</v>
      </c>
    </row>
    <row r="2127" spans="1:4" ht="25.5" x14ac:dyDescent="0.25">
      <c r="A2127" s="104">
        <v>92796</v>
      </c>
      <c r="B2127" s="105" t="s">
        <v>2485</v>
      </c>
      <c r="C2127" s="106" t="s">
        <v>57</v>
      </c>
      <c r="D2127" s="107">
        <v>5.07</v>
      </c>
    </row>
    <row r="2128" spans="1:4" ht="25.5" x14ac:dyDescent="0.25">
      <c r="A2128" s="104">
        <v>92797</v>
      </c>
      <c r="B2128" s="105" t="s">
        <v>2486</v>
      </c>
      <c r="C2128" s="106" t="s">
        <v>57</v>
      </c>
      <c r="D2128" s="107">
        <v>5.96</v>
      </c>
    </row>
    <row r="2129" spans="1:4" ht="25.5" x14ac:dyDescent="0.25">
      <c r="A2129" s="104">
        <v>92798</v>
      </c>
      <c r="B2129" s="105" t="s">
        <v>2487</v>
      </c>
      <c r="C2129" s="106" t="s">
        <v>57</v>
      </c>
      <c r="D2129" s="107">
        <v>5.94</v>
      </c>
    </row>
    <row r="2130" spans="1:4" ht="25.5" x14ac:dyDescent="0.25">
      <c r="A2130" s="104">
        <v>92799</v>
      </c>
      <c r="B2130" s="105" t="s">
        <v>2488</v>
      </c>
      <c r="C2130" s="106" t="s">
        <v>57</v>
      </c>
      <c r="D2130" s="107">
        <v>7.1</v>
      </c>
    </row>
    <row r="2131" spans="1:4" ht="25.5" x14ac:dyDescent="0.25">
      <c r="A2131" s="104">
        <v>92800</v>
      </c>
      <c r="B2131" s="105" t="s">
        <v>2489</v>
      </c>
      <c r="C2131" s="106" t="s">
        <v>57</v>
      </c>
      <c r="D2131" s="107">
        <v>6.41</v>
      </c>
    </row>
    <row r="2132" spans="1:4" ht="25.5" x14ac:dyDescent="0.25">
      <c r="A2132" s="104">
        <v>92801</v>
      </c>
      <c r="B2132" s="105" t="s">
        <v>2490</v>
      </c>
      <c r="C2132" s="106" t="s">
        <v>57</v>
      </c>
      <c r="D2132" s="107">
        <v>6.48</v>
      </c>
    </row>
    <row r="2133" spans="1:4" ht="25.5" x14ac:dyDescent="0.25">
      <c r="A2133" s="104">
        <v>92802</v>
      </c>
      <c r="B2133" s="105" t="s">
        <v>2491</v>
      </c>
      <c r="C2133" s="106" t="s">
        <v>57</v>
      </c>
      <c r="D2133" s="107">
        <v>6.44</v>
      </c>
    </row>
    <row r="2134" spans="1:4" ht="25.5" x14ac:dyDescent="0.25">
      <c r="A2134" s="104">
        <v>92803</v>
      </c>
      <c r="B2134" s="105" t="s">
        <v>2492</v>
      </c>
      <c r="C2134" s="106" t="s">
        <v>57</v>
      </c>
      <c r="D2134" s="107">
        <v>5.95</v>
      </c>
    </row>
    <row r="2135" spans="1:4" ht="25.5" x14ac:dyDescent="0.25">
      <c r="A2135" s="104">
        <v>92804</v>
      </c>
      <c r="B2135" s="105" t="s">
        <v>2493</v>
      </c>
      <c r="C2135" s="106" t="s">
        <v>57</v>
      </c>
      <c r="D2135" s="107">
        <v>5.09</v>
      </c>
    </row>
    <row r="2136" spans="1:4" ht="25.5" x14ac:dyDescent="0.25">
      <c r="A2136" s="104">
        <v>92805</v>
      </c>
      <c r="B2136" s="105" t="s">
        <v>2494</v>
      </c>
      <c r="C2136" s="106" t="s">
        <v>57</v>
      </c>
      <c r="D2136" s="107">
        <v>5.05</v>
      </c>
    </row>
    <row r="2137" spans="1:4" ht="25.5" x14ac:dyDescent="0.25">
      <c r="A2137" s="106">
        <v>92806</v>
      </c>
      <c r="B2137" s="105" t="s">
        <v>2495</v>
      </c>
      <c r="C2137" s="106" t="s">
        <v>57</v>
      </c>
      <c r="D2137" s="107">
        <v>5.95</v>
      </c>
    </row>
    <row r="2138" spans="1:4" x14ac:dyDescent="0.25">
      <c r="A2138" s="106">
        <v>92875</v>
      </c>
      <c r="B2138" s="105" t="s">
        <v>2496</v>
      </c>
      <c r="C2138" s="106" t="s">
        <v>57</v>
      </c>
      <c r="D2138" s="107">
        <v>6.18</v>
      </c>
    </row>
    <row r="2139" spans="1:4" x14ac:dyDescent="0.25">
      <c r="A2139" s="104">
        <v>92876</v>
      </c>
      <c r="B2139" s="105" t="s">
        <v>2497</v>
      </c>
      <c r="C2139" s="106" t="s">
        <v>57</v>
      </c>
      <c r="D2139" s="107">
        <v>5.99</v>
      </c>
    </row>
    <row r="2140" spans="1:4" x14ac:dyDescent="0.25">
      <c r="A2140" s="104">
        <v>92877</v>
      </c>
      <c r="B2140" s="105" t="s">
        <v>2498</v>
      </c>
      <c r="C2140" s="106" t="s">
        <v>57</v>
      </c>
      <c r="D2140" s="107">
        <v>6.45</v>
      </c>
    </row>
    <row r="2141" spans="1:4" x14ac:dyDescent="0.25">
      <c r="A2141" s="104">
        <v>92878</v>
      </c>
      <c r="B2141" s="105" t="s">
        <v>2499</v>
      </c>
      <c r="C2141" s="106" t="s">
        <v>57</v>
      </c>
      <c r="D2141" s="107">
        <v>6.34</v>
      </c>
    </row>
    <row r="2142" spans="1:4" x14ac:dyDescent="0.25">
      <c r="A2142" s="104">
        <v>92879</v>
      </c>
      <c r="B2142" s="105" t="s">
        <v>2500</v>
      </c>
      <c r="C2142" s="106" t="s">
        <v>57</v>
      </c>
      <c r="D2142" s="107">
        <v>6.27</v>
      </c>
    </row>
    <row r="2143" spans="1:4" x14ac:dyDescent="0.25">
      <c r="A2143" s="104">
        <v>92880</v>
      </c>
      <c r="B2143" s="105" t="s">
        <v>2501</v>
      </c>
      <c r="C2143" s="106" t="s">
        <v>57</v>
      </c>
      <c r="D2143" s="107">
        <v>6.41</v>
      </c>
    </row>
    <row r="2144" spans="1:4" x14ac:dyDescent="0.25">
      <c r="A2144" s="104">
        <v>92881</v>
      </c>
      <c r="B2144" s="105" t="s">
        <v>2502</v>
      </c>
      <c r="C2144" s="106" t="s">
        <v>57</v>
      </c>
      <c r="D2144" s="107">
        <v>6.39</v>
      </c>
    </row>
    <row r="2145" spans="1:4" ht="25.5" x14ac:dyDescent="0.25">
      <c r="A2145" s="104">
        <v>92882</v>
      </c>
      <c r="B2145" s="105" t="s">
        <v>2503</v>
      </c>
      <c r="C2145" s="106" t="s">
        <v>57</v>
      </c>
      <c r="D2145" s="107">
        <v>8.51</v>
      </c>
    </row>
    <row r="2146" spans="1:4" ht="25.5" x14ac:dyDescent="0.25">
      <c r="A2146" s="104">
        <v>92883</v>
      </c>
      <c r="B2146" s="105" t="s">
        <v>2504</v>
      </c>
      <c r="C2146" s="106" t="s">
        <v>57</v>
      </c>
      <c r="D2146" s="107">
        <v>7.8</v>
      </c>
    </row>
    <row r="2147" spans="1:4" ht="25.5" x14ac:dyDescent="0.25">
      <c r="A2147" s="104">
        <v>92884</v>
      </c>
      <c r="B2147" s="105" t="s">
        <v>2505</v>
      </c>
      <c r="C2147" s="106" t="s">
        <v>57</v>
      </c>
      <c r="D2147" s="107">
        <v>7.89</v>
      </c>
    </row>
    <row r="2148" spans="1:4" ht="25.5" x14ac:dyDescent="0.25">
      <c r="A2148" s="104">
        <v>92885</v>
      </c>
      <c r="B2148" s="105" t="s">
        <v>2506</v>
      </c>
      <c r="C2148" s="106" t="s">
        <v>57</v>
      </c>
      <c r="D2148" s="107">
        <v>7.47</v>
      </c>
    </row>
    <row r="2149" spans="1:4" ht="25.5" x14ac:dyDescent="0.25">
      <c r="A2149" s="104">
        <v>92886</v>
      </c>
      <c r="B2149" s="105" t="s">
        <v>2507</v>
      </c>
      <c r="C2149" s="106" t="s">
        <v>57</v>
      </c>
      <c r="D2149" s="107">
        <v>7.13</v>
      </c>
    </row>
    <row r="2150" spans="1:4" ht="25.5" x14ac:dyDescent="0.25">
      <c r="A2150" s="104">
        <v>92887</v>
      </c>
      <c r="B2150" s="105" t="s">
        <v>2508</v>
      </c>
      <c r="C2150" s="106" t="s">
        <v>57</v>
      </c>
      <c r="D2150" s="107">
        <v>7.08</v>
      </c>
    </row>
    <row r="2151" spans="1:4" ht="25.5" x14ac:dyDescent="0.25">
      <c r="A2151" s="104">
        <v>92888</v>
      </c>
      <c r="B2151" s="105" t="s">
        <v>2509</v>
      </c>
      <c r="C2151" s="106" t="s">
        <v>57</v>
      </c>
      <c r="D2151" s="107">
        <v>6.91</v>
      </c>
    </row>
    <row r="2152" spans="1:4" ht="38.25" x14ac:dyDescent="0.25">
      <c r="A2152" s="104">
        <v>92915</v>
      </c>
      <c r="B2152" s="105" t="s">
        <v>2510</v>
      </c>
      <c r="C2152" s="106" t="s">
        <v>57</v>
      </c>
      <c r="D2152" s="107">
        <v>10.72</v>
      </c>
    </row>
    <row r="2153" spans="1:4" ht="38.25" x14ac:dyDescent="0.25">
      <c r="A2153" s="104">
        <v>92916</v>
      </c>
      <c r="B2153" s="105" t="s">
        <v>2511</v>
      </c>
      <c r="C2153" s="106" t="s">
        <v>57</v>
      </c>
      <c r="D2153" s="107">
        <v>9.7899999999999991</v>
      </c>
    </row>
    <row r="2154" spans="1:4" ht="38.25" x14ac:dyDescent="0.25">
      <c r="A2154" s="104">
        <v>92917</v>
      </c>
      <c r="B2154" s="105" t="s">
        <v>2512</v>
      </c>
      <c r="C2154" s="106" t="s">
        <v>57</v>
      </c>
      <c r="D2154" s="107">
        <v>8.9499999999999993</v>
      </c>
    </row>
    <row r="2155" spans="1:4" ht="38.25" x14ac:dyDescent="0.25">
      <c r="A2155" s="104">
        <v>92919</v>
      </c>
      <c r="B2155" s="105" t="s">
        <v>2513</v>
      </c>
      <c r="C2155" s="106" t="s">
        <v>57</v>
      </c>
      <c r="D2155" s="107">
        <v>7.9</v>
      </c>
    </row>
    <row r="2156" spans="1:4" ht="38.25" x14ac:dyDescent="0.25">
      <c r="A2156" s="104">
        <v>92921</v>
      </c>
      <c r="B2156" s="105" t="s">
        <v>2514</v>
      </c>
      <c r="C2156" s="106" t="s">
        <v>57</v>
      </c>
      <c r="D2156" s="107">
        <v>6.58</v>
      </c>
    </row>
    <row r="2157" spans="1:4" ht="38.25" x14ac:dyDescent="0.25">
      <c r="A2157" s="104">
        <v>92922</v>
      </c>
      <c r="B2157" s="105" t="s">
        <v>2515</v>
      </c>
      <c r="C2157" s="106" t="s">
        <v>57</v>
      </c>
      <c r="D2157" s="107">
        <v>6.14</v>
      </c>
    </row>
    <row r="2158" spans="1:4" ht="38.25" x14ac:dyDescent="0.25">
      <c r="A2158" s="104">
        <v>92923</v>
      </c>
      <c r="B2158" s="105" t="s">
        <v>2516</v>
      </c>
      <c r="C2158" s="106" t="s">
        <v>57</v>
      </c>
      <c r="D2158" s="107">
        <v>6.77</v>
      </c>
    </row>
    <row r="2159" spans="1:4" ht="38.25" x14ac:dyDescent="0.25">
      <c r="A2159" s="104">
        <v>92924</v>
      </c>
      <c r="B2159" s="105" t="s">
        <v>2517</v>
      </c>
      <c r="C2159" s="106" t="s">
        <v>57</v>
      </c>
      <c r="D2159" s="107">
        <v>6.55</v>
      </c>
    </row>
    <row r="2160" spans="1:4" ht="25.5" x14ac:dyDescent="0.25">
      <c r="A2160" s="104">
        <v>95445</v>
      </c>
      <c r="B2160" s="105" t="s">
        <v>2518</v>
      </c>
      <c r="C2160" s="106" t="s">
        <v>57</v>
      </c>
      <c r="D2160" s="107">
        <v>5.44</v>
      </c>
    </row>
    <row r="2161" spans="1:4" ht="25.5" x14ac:dyDescent="0.25">
      <c r="A2161" s="104">
        <v>95446</v>
      </c>
      <c r="B2161" s="105" t="s">
        <v>2519</v>
      </c>
      <c r="C2161" s="106" t="s">
        <v>57</v>
      </c>
      <c r="D2161" s="107">
        <v>5.86</v>
      </c>
    </row>
    <row r="2162" spans="1:4" ht="25.5" x14ac:dyDescent="0.25">
      <c r="A2162" s="104">
        <v>95448</v>
      </c>
      <c r="B2162" s="105" t="s">
        <v>11122</v>
      </c>
      <c r="C2162" s="106" t="s">
        <v>57</v>
      </c>
      <c r="D2162" s="107">
        <v>6.53</v>
      </c>
    </row>
    <row r="2163" spans="1:4" ht="25.5" x14ac:dyDescent="0.25">
      <c r="A2163" s="104">
        <v>95576</v>
      </c>
      <c r="B2163" s="105" t="s">
        <v>2520</v>
      </c>
      <c r="C2163" s="106" t="s">
        <v>57</v>
      </c>
      <c r="D2163" s="107">
        <v>8.48</v>
      </c>
    </row>
    <row r="2164" spans="1:4" ht="25.5" x14ac:dyDescent="0.25">
      <c r="A2164" s="104">
        <v>95577</v>
      </c>
      <c r="B2164" s="105" t="s">
        <v>2521</v>
      </c>
      <c r="C2164" s="106" t="s">
        <v>57</v>
      </c>
      <c r="D2164" s="107">
        <v>7.63</v>
      </c>
    </row>
    <row r="2165" spans="1:4" ht="25.5" x14ac:dyDescent="0.25">
      <c r="A2165" s="104">
        <v>95578</v>
      </c>
      <c r="B2165" s="105" t="s">
        <v>2522</v>
      </c>
      <c r="C2165" s="106" t="s">
        <v>57</v>
      </c>
      <c r="D2165" s="107">
        <v>6.48</v>
      </c>
    </row>
    <row r="2166" spans="1:4" ht="25.5" x14ac:dyDescent="0.25">
      <c r="A2166" s="104">
        <v>95579</v>
      </c>
      <c r="B2166" s="105" t="s">
        <v>2523</v>
      </c>
      <c r="C2166" s="106" t="s">
        <v>57</v>
      </c>
      <c r="D2166" s="107">
        <v>6.16</v>
      </c>
    </row>
    <row r="2167" spans="1:4" ht="25.5" x14ac:dyDescent="0.25">
      <c r="A2167" s="104">
        <v>95580</v>
      </c>
      <c r="B2167" s="105" t="s">
        <v>2524</v>
      </c>
      <c r="C2167" s="106" t="s">
        <v>57</v>
      </c>
      <c r="D2167" s="107">
        <v>6.9</v>
      </c>
    </row>
    <row r="2168" spans="1:4" ht="25.5" x14ac:dyDescent="0.25">
      <c r="A2168" s="104">
        <v>95581</v>
      </c>
      <c r="B2168" s="105" t="s">
        <v>2525</v>
      </c>
      <c r="C2168" s="106" t="s">
        <v>57</v>
      </c>
      <c r="D2168" s="107">
        <v>6.75</v>
      </c>
    </row>
    <row r="2169" spans="1:4" ht="25.5" x14ac:dyDescent="0.25">
      <c r="A2169" s="104">
        <v>95582</v>
      </c>
      <c r="B2169" s="105" t="s">
        <v>11123</v>
      </c>
      <c r="C2169" s="106" t="s">
        <v>57</v>
      </c>
      <c r="D2169" s="107">
        <v>7.23</v>
      </c>
    </row>
    <row r="2170" spans="1:4" ht="25.5" x14ac:dyDescent="0.25">
      <c r="A2170" s="104">
        <v>95583</v>
      </c>
      <c r="B2170" s="105" t="s">
        <v>2526</v>
      </c>
      <c r="C2170" s="106" t="s">
        <v>57</v>
      </c>
      <c r="D2170" s="107">
        <v>11.05</v>
      </c>
    </row>
    <row r="2171" spans="1:4" ht="25.5" x14ac:dyDescent="0.25">
      <c r="A2171" s="104">
        <v>95584</v>
      </c>
      <c r="B2171" s="105" t="s">
        <v>2527</v>
      </c>
      <c r="C2171" s="106" t="s">
        <v>57</v>
      </c>
      <c r="D2171" s="107">
        <v>9.4499999999999993</v>
      </c>
    </row>
    <row r="2172" spans="1:4" ht="25.5" x14ac:dyDescent="0.25">
      <c r="A2172" s="104">
        <v>95585</v>
      </c>
      <c r="B2172" s="105" t="s">
        <v>2528</v>
      </c>
      <c r="C2172" s="106" t="s">
        <v>57</v>
      </c>
      <c r="D2172" s="107">
        <v>8.83</v>
      </c>
    </row>
    <row r="2173" spans="1:4" ht="25.5" x14ac:dyDescent="0.25">
      <c r="A2173" s="104">
        <v>95586</v>
      </c>
      <c r="B2173" s="105" t="s">
        <v>2529</v>
      </c>
      <c r="C2173" s="106" t="s">
        <v>57</v>
      </c>
      <c r="D2173" s="107">
        <v>7.89</v>
      </c>
    </row>
    <row r="2174" spans="1:4" ht="25.5" x14ac:dyDescent="0.25">
      <c r="A2174" s="104">
        <v>95587</v>
      </c>
      <c r="B2174" s="105" t="s">
        <v>2530</v>
      </c>
      <c r="C2174" s="106" t="s">
        <v>57</v>
      </c>
      <c r="D2174" s="107">
        <v>6.71</v>
      </c>
    </row>
    <row r="2175" spans="1:4" ht="25.5" x14ac:dyDescent="0.25">
      <c r="A2175" s="104">
        <v>95588</v>
      </c>
      <c r="B2175" s="105" t="s">
        <v>2531</v>
      </c>
      <c r="C2175" s="106" t="s">
        <v>57</v>
      </c>
      <c r="D2175" s="107">
        <v>6.34</v>
      </c>
    </row>
    <row r="2176" spans="1:4" ht="25.5" x14ac:dyDescent="0.25">
      <c r="A2176" s="104">
        <v>95589</v>
      </c>
      <c r="B2176" s="105" t="s">
        <v>2532</v>
      </c>
      <c r="C2176" s="106" t="s">
        <v>57</v>
      </c>
      <c r="D2176" s="107">
        <v>7.04</v>
      </c>
    </row>
    <row r="2177" spans="1:4" ht="25.5" x14ac:dyDescent="0.25">
      <c r="A2177" s="104">
        <v>95590</v>
      </c>
      <c r="B2177" s="105" t="s">
        <v>2533</v>
      </c>
      <c r="C2177" s="106" t="s">
        <v>57</v>
      </c>
      <c r="D2177" s="107">
        <v>6.86</v>
      </c>
    </row>
    <row r="2178" spans="1:4" ht="25.5" x14ac:dyDescent="0.25">
      <c r="A2178" s="104">
        <v>95591</v>
      </c>
      <c r="B2178" s="105" t="s">
        <v>11124</v>
      </c>
      <c r="C2178" s="106" t="s">
        <v>57</v>
      </c>
      <c r="D2178" s="107">
        <v>7.3</v>
      </c>
    </row>
    <row r="2179" spans="1:4" ht="25.5" x14ac:dyDescent="0.25">
      <c r="A2179" s="104">
        <v>95592</v>
      </c>
      <c r="B2179" s="105" t="s">
        <v>2534</v>
      </c>
      <c r="C2179" s="106" t="s">
        <v>57</v>
      </c>
      <c r="D2179" s="107">
        <v>13.45</v>
      </c>
    </row>
    <row r="2180" spans="1:4" ht="25.5" x14ac:dyDescent="0.25">
      <c r="A2180" s="104">
        <v>95593</v>
      </c>
      <c r="B2180" s="105" t="s">
        <v>2535</v>
      </c>
      <c r="C2180" s="106" t="s">
        <v>57</v>
      </c>
      <c r="D2180" s="107">
        <v>10.94</v>
      </c>
    </row>
    <row r="2181" spans="1:4" ht="38.25" x14ac:dyDescent="0.25">
      <c r="A2181" s="104">
        <v>95943</v>
      </c>
      <c r="B2181" s="105" t="s">
        <v>683</v>
      </c>
      <c r="C2181" s="106" t="s">
        <v>57</v>
      </c>
      <c r="D2181" s="107">
        <v>14.13</v>
      </c>
    </row>
    <row r="2182" spans="1:4" ht="38.25" x14ac:dyDescent="0.25">
      <c r="A2182" s="104">
        <v>95944</v>
      </c>
      <c r="B2182" s="105" t="s">
        <v>679</v>
      </c>
      <c r="C2182" s="106" t="s">
        <v>57</v>
      </c>
      <c r="D2182" s="107">
        <v>12.8</v>
      </c>
    </row>
    <row r="2183" spans="1:4" ht="38.25" x14ac:dyDescent="0.25">
      <c r="A2183" s="104">
        <v>95945</v>
      </c>
      <c r="B2183" s="105" t="s">
        <v>680</v>
      </c>
      <c r="C2183" s="106" t="s">
        <v>57</v>
      </c>
      <c r="D2183" s="107">
        <v>10.31</v>
      </c>
    </row>
    <row r="2184" spans="1:4" ht="38.25" x14ac:dyDescent="0.25">
      <c r="A2184" s="104">
        <v>95946</v>
      </c>
      <c r="B2184" s="105" t="s">
        <v>681</v>
      </c>
      <c r="C2184" s="106" t="s">
        <v>57</v>
      </c>
      <c r="D2184" s="107">
        <v>8.19</v>
      </c>
    </row>
    <row r="2185" spans="1:4" ht="38.25" x14ac:dyDescent="0.25">
      <c r="A2185" s="104">
        <v>95947</v>
      </c>
      <c r="B2185" s="105" t="s">
        <v>682</v>
      </c>
      <c r="C2185" s="106" t="s">
        <v>57</v>
      </c>
      <c r="D2185" s="107">
        <v>6.28</v>
      </c>
    </row>
    <row r="2186" spans="1:4" ht="38.25" x14ac:dyDescent="0.25">
      <c r="A2186" s="104">
        <v>95948</v>
      </c>
      <c r="B2186" s="105" t="s">
        <v>2536</v>
      </c>
      <c r="C2186" s="106" t="s">
        <v>57</v>
      </c>
      <c r="D2186" s="107">
        <v>5.52</v>
      </c>
    </row>
    <row r="2187" spans="1:4" ht="25.5" x14ac:dyDescent="0.25">
      <c r="A2187" s="104">
        <v>96544</v>
      </c>
      <c r="B2187" s="105" t="s">
        <v>2537</v>
      </c>
      <c r="C2187" s="106" t="s">
        <v>57</v>
      </c>
      <c r="D2187" s="107">
        <v>10.51</v>
      </c>
    </row>
    <row r="2188" spans="1:4" ht="25.5" x14ac:dyDescent="0.25">
      <c r="A2188" s="104">
        <v>96545</v>
      </c>
      <c r="B2188" s="105" t="s">
        <v>2538</v>
      </c>
      <c r="C2188" s="106" t="s">
        <v>57</v>
      </c>
      <c r="D2188" s="107">
        <v>9.5299999999999994</v>
      </c>
    </row>
    <row r="2189" spans="1:4" ht="25.5" x14ac:dyDescent="0.25">
      <c r="A2189" s="104">
        <v>96546</v>
      </c>
      <c r="B2189" s="105" t="s">
        <v>2539</v>
      </c>
      <c r="C2189" s="106" t="s">
        <v>57</v>
      </c>
      <c r="D2189" s="107">
        <v>8.3800000000000008</v>
      </c>
    </row>
    <row r="2190" spans="1:4" ht="25.5" x14ac:dyDescent="0.25">
      <c r="A2190" s="104">
        <v>96547</v>
      </c>
      <c r="B2190" s="105" t="s">
        <v>2540</v>
      </c>
      <c r="C2190" s="106" t="s">
        <v>57</v>
      </c>
      <c r="D2190" s="107">
        <v>7</v>
      </c>
    </row>
    <row r="2191" spans="1:4" ht="25.5" x14ac:dyDescent="0.25">
      <c r="A2191" s="104">
        <v>96548</v>
      </c>
      <c r="B2191" s="105" t="s">
        <v>2541</v>
      </c>
      <c r="C2191" s="106" t="s">
        <v>57</v>
      </c>
      <c r="D2191" s="107">
        <v>6.51</v>
      </c>
    </row>
    <row r="2192" spans="1:4" ht="25.5" x14ac:dyDescent="0.25">
      <c r="A2192" s="104">
        <v>96549</v>
      </c>
      <c r="B2192" s="105" t="s">
        <v>2542</v>
      </c>
      <c r="C2192" s="106" t="s">
        <v>57</v>
      </c>
      <c r="D2192" s="107">
        <v>7.1</v>
      </c>
    </row>
    <row r="2193" spans="1:4" ht="25.5" x14ac:dyDescent="0.25">
      <c r="A2193" s="104">
        <v>96550</v>
      </c>
      <c r="B2193" s="105" t="s">
        <v>2543</v>
      </c>
      <c r="C2193" s="106" t="s">
        <v>57</v>
      </c>
      <c r="D2193" s="107">
        <v>6.84</v>
      </c>
    </row>
    <row r="2194" spans="1:4" ht="25.5" x14ac:dyDescent="0.25">
      <c r="A2194" s="104">
        <v>100066</v>
      </c>
      <c r="B2194" s="105" t="s">
        <v>10516</v>
      </c>
      <c r="C2194" s="106" t="s">
        <v>57</v>
      </c>
      <c r="D2194" s="107">
        <v>7.52</v>
      </c>
    </row>
    <row r="2195" spans="1:4" ht="25.5" x14ac:dyDescent="0.25">
      <c r="A2195" s="104">
        <v>100067</v>
      </c>
      <c r="B2195" s="105" t="s">
        <v>10517</v>
      </c>
      <c r="C2195" s="106" t="s">
        <v>57</v>
      </c>
      <c r="D2195" s="107">
        <v>7.75</v>
      </c>
    </row>
    <row r="2196" spans="1:4" ht="25.5" x14ac:dyDescent="0.25">
      <c r="A2196" s="104">
        <v>100068</v>
      </c>
      <c r="B2196" s="105" t="s">
        <v>10518</v>
      </c>
      <c r="C2196" s="106" t="s">
        <v>57</v>
      </c>
      <c r="D2196" s="107">
        <v>5.9</v>
      </c>
    </row>
    <row r="2197" spans="1:4" x14ac:dyDescent="0.25">
      <c r="A2197" s="104">
        <v>89993</v>
      </c>
      <c r="B2197" s="105" t="s">
        <v>2544</v>
      </c>
      <c r="C2197" s="106" t="s">
        <v>13</v>
      </c>
      <c r="D2197" s="107">
        <v>606.02</v>
      </c>
    </row>
    <row r="2198" spans="1:4" ht="25.5" x14ac:dyDescent="0.25">
      <c r="A2198" s="104">
        <v>89994</v>
      </c>
      <c r="B2198" s="105" t="s">
        <v>2545</v>
      </c>
      <c r="C2198" s="106" t="s">
        <v>13</v>
      </c>
      <c r="D2198" s="107">
        <v>511.96</v>
      </c>
    </row>
    <row r="2199" spans="1:4" ht="25.5" x14ac:dyDescent="0.25">
      <c r="A2199" s="104">
        <v>89995</v>
      </c>
      <c r="B2199" s="105" t="s">
        <v>2546</v>
      </c>
      <c r="C2199" s="106" t="s">
        <v>13</v>
      </c>
      <c r="D2199" s="107">
        <v>581.97</v>
      </c>
    </row>
    <row r="2200" spans="1:4" ht="38.25" x14ac:dyDescent="0.25">
      <c r="A2200" s="104">
        <v>90278</v>
      </c>
      <c r="B2200" s="105" t="s">
        <v>2547</v>
      </c>
      <c r="C2200" s="106" t="s">
        <v>13</v>
      </c>
      <c r="D2200" s="107">
        <v>297.69</v>
      </c>
    </row>
    <row r="2201" spans="1:4" ht="38.25" x14ac:dyDescent="0.25">
      <c r="A2201" s="104">
        <v>90279</v>
      </c>
      <c r="B2201" s="105" t="s">
        <v>2548</v>
      </c>
      <c r="C2201" s="106" t="s">
        <v>13</v>
      </c>
      <c r="D2201" s="107">
        <v>315.76</v>
      </c>
    </row>
    <row r="2202" spans="1:4" ht="38.25" x14ac:dyDescent="0.25">
      <c r="A2202" s="104">
        <v>90280</v>
      </c>
      <c r="B2202" s="105" t="s">
        <v>2549</v>
      </c>
      <c r="C2202" s="106" t="s">
        <v>13</v>
      </c>
      <c r="D2202" s="107">
        <v>349.26</v>
      </c>
    </row>
    <row r="2203" spans="1:4" ht="38.25" x14ac:dyDescent="0.25">
      <c r="A2203" s="104">
        <v>90281</v>
      </c>
      <c r="B2203" s="105" t="s">
        <v>2550</v>
      </c>
      <c r="C2203" s="106" t="s">
        <v>13</v>
      </c>
      <c r="D2203" s="107">
        <v>396.43</v>
      </c>
    </row>
    <row r="2204" spans="1:4" ht="38.25" x14ac:dyDescent="0.25">
      <c r="A2204" s="104">
        <v>90282</v>
      </c>
      <c r="B2204" s="105" t="s">
        <v>354</v>
      </c>
      <c r="C2204" s="106" t="s">
        <v>13</v>
      </c>
      <c r="D2204" s="107">
        <v>301.56</v>
      </c>
    </row>
    <row r="2205" spans="1:4" ht="38.25" x14ac:dyDescent="0.25">
      <c r="A2205" s="104">
        <v>90283</v>
      </c>
      <c r="B2205" s="105" t="s">
        <v>2551</v>
      </c>
      <c r="C2205" s="106" t="s">
        <v>13</v>
      </c>
      <c r="D2205" s="107">
        <v>320.8</v>
      </c>
    </row>
    <row r="2206" spans="1:4" ht="38.25" x14ac:dyDescent="0.25">
      <c r="A2206" s="104">
        <v>90284</v>
      </c>
      <c r="B2206" s="105" t="s">
        <v>2552</v>
      </c>
      <c r="C2206" s="106" t="s">
        <v>13</v>
      </c>
      <c r="D2206" s="107">
        <v>355.13</v>
      </c>
    </row>
    <row r="2207" spans="1:4" ht="38.25" x14ac:dyDescent="0.25">
      <c r="A2207" s="104">
        <v>90285</v>
      </c>
      <c r="B2207" s="105" t="s">
        <v>2553</v>
      </c>
      <c r="C2207" s="106" t="s">
        <v>13</v>
      </c>
      <c r="D2207" s="107">
        <v>404.95</v>
      </c>
    </row>
    <row r="2208" spans="1:4" ht="51" x14ac:dyDescent="0.25">
      <c r="A2208" s="104">
        <v>90853</v>
      </c>
      <c r="B2208" s="105" t="s">
        <v>2554</v>
      </c>
      <c r="C2208" s="106" t="s">
        <v>13</v>
      </c>
      <c r="D2208" s="107">
        <v>507.99</v>
      </c>
    </row>
    <row r="2209" spans="1:4" ht="51" x14ac:dyDescent="0.25">
      <c r="A2209" s="104">
        <v>90854</v>
      </c>
      <c r="B2209" s="105" t="s">
        <v>2555</v>
      </c>
      <c r="C2209" s="106" t="s">
        <v>13</v>
      </c>
      <c r="D2209" s="107">
        <v>492.89</v>
      </c>
    </row>
    <row r="2210" spans="1:4" ht="51" x14ac:dyDescent="0.25">
      <c r="A2210" s="104">
        <v>90855</v>
      </c>
      <c r="B2210" s="105" t="s">
        <v>2556</v>
      </c>
      <c r="C2210" s="106" t="s">
        <v>13</v>
      </c>
      <c r="D2210" s="107">
        <v>535.98</v>
      </c>
    </row>
    <row r="2211" spans="1:4" ht="51" x14ac:dyDescent="0.25">
      <c r="A2211" s="104">
        <v>90856</v>
      </c>
      <c r="B2211" s="105" t="s">
        <v>2557</v>
      </c>
      <c r="C2211" s="106" t="s">
        <v>13</v>
      </c>
      <c r="D2211" s="107">
        <v>511.21</v>
      </c>
    </row>
    <row r="2212" spans="1:4" ht="51" x14ac:dyDescent="0.25">
      <c r="A2212" s="104">
        <v>90857</v>
      </c>
      <c r="B2212" s="105" t="s">
        <v>2558</v>
      </c>
      <c r="C2212" s="106" t="s">
        <v>13</v>
      </c>
      <c r="D2212" s="107">
        <v>495.03</v>
      </c>
    </row>
    <row r="2213" spans="1:4" ht="51" x14ac:dyDescent="0.25">
      <c r="A2213" s="104">
        <v>90858</v>
      </c>
      <c r="B2213" s="105" t="s">
        <v>2559</v>
      </c>
      <c r="C2213" s="106" t="s">
        <v>13</v>
      </c>
      <c r="D2213" s="107">
        <v>550.79999999999995</v>
      </c>
    </row>
    <row r="2214" spans="1:4" ht="51" x14ac:dyDescent="0.25">
      <c r="A2214" s="104">
        <v>90859</v>
      </c>
      <c r="B2214" s="105" t="s">
        <v>2560</v>
      </c>
      <c r="C2214" s="106" t="s">
        <v>13</v>
      </c>
      <c r="D2214" s="107">
        <v>511.7</v>
      </c>
    </row>
    <row r="2215" spans="1:4" ht="51" x14ac:dyDescent="0.25">
      <c r="A2215" s="104">
        <v>90860</v>
      </c>
      <c r="B2215" s="105" t="s">
        <v>2561</v>
      </c>
      <c r="C2215" s="106" t="s">
        <v>13</v>
      </c>
      <c r="D2215" s="107">
        <v>516.17999999999995</v>
      </c>
    </row>
    <row r="2216" spans="1:4" ht="51" x14ac:dyDescent="0.25">
      <c r="A2216" s="104">
        <v>90861</v>
      </c>
      <c r="B2216" s="105" t="s">
        <v>2562</v>
      </c>
      <c r="C2216" s="106" t="s">
        <v>13</v>
      </c>
      <c r="D2216" s="107">
        <v>499.71</v>
      </c>
    </row>
    <row r="2217" spans="1:4" ht="51" x14ac:dyDescent="0.25">
      <c r="A2217" s="104">
        <v>90862</v>
      </c>
      <c r="B2217" s="105" t="s">
        <v>2563</v>
      </c>
      <c r="C2217" s="106" t="s">
        <v>13</v>
      </c>
      <c r="D2217" s="107">
        <v>481.98</v>
      </c>
    </row>
    <row r="2218" spans="1:4" ht="38.25" x14ac:dyDescent="0.25">
      <c r="A2218" s="104">
        <v>92718</v>
      </c>
      <c r="B2218" s="105" t="s">
        <v>2564</v>
      </c>
      <c r="C2218" s="106" t="s">
        <v>13</v>
      </c>
      <c r="D2218" s="107">
        <v>562.35</v>
      </c>
    </row>
    <row r="2219" spans="1:4" ht="38.25" x14ac:dyDescent="0.25">
      <c r="A2219" s="104">
        <v>92719</v>
      </c>
      <c r="B2219" s="105" t="s">
        <v>2565</v>
      </c>
      <c r="C2219" s="106" t="s">
        <v>13</v>
      </c>
      <c r="D2219" s="107">
        <v>443.96</v>
      </c>
    </row>
    <row r="2220" spans="1:4" ht="38.25" x14ac:dyDescent="0.25">
      <c r="A2220" s="104">
        <v>92720</v>
      </c>
      <c r="B2220" s="105" t="s">
        <v>2566</v>
      </c>
      <c r="C2220" s="106" t="s">
        <v>13</v>
      </c>
      <c r="D2220" s="107">
        <v>474.95</v>
      </c>
    </row>
    <row r="2221" spans="1:4" ht="38.25" x14ac:dyDescent="0.25">
      <c r="A2221" s="104">
        <v>92721</v>
      </c>
      <c r="B2221" s="105" t="s">
        <v>2567</v>
      </c>
      <c r="C2221" s="106" t="s">
        <v>13</v>
      </c>
      <c r="D2221" s="107">
        <v>436.73</v>
      </c>
    </row>
    <row r="2222" spans="1:4" ht="38.25" x14ac:dyDescent="0.25">
      <c r="A2222" s="104">
        <v>92722</v>
      </c>
      <c r="B2222" s="105" t="s">
        <v>2568</v>
      </c>
      <c r="C2222" s="106" t="s">
        <v>13</v>
      </c>
      <c r="D2222" s="107">
        <v>471.93</v>
      </c>
    </row>
    <row r="2223" spans="1:4" ht="51" x14ac:dyDescent="0.25">
      <c r="A2223" s="104">
        <v>92723</v>
      </c>
      <c r="B2223" s="105" t="s">
        <v>2569</v>
      </c>
      <c r="C2223" s="106" t="s">
        <v>13</v>
      </c>
      <c r="D2223" s="107">
        <v>461.49</v>
      </c>
    </row>
    <row r="2224" spans="1:4" ht="51" x14ac:dyDescent="0.25">
      <c r="A2224" s="104">
        <v>92724</v>
      </c>
      <c r="B2224" s="105" t="s">
        <v>2570</v>
      </c>
      <c r="C2224" s="106" t="s">
        <v>13</v>
      </c>
      <c r="D2224" s="107">
        <v>458.86</v>
      </c>
    </row>
    <row r="2225" spans="1:4" ht="51" x14ac:dyDescent="0.25">
      <c r="A2225" s="104">
        <v>92725</v>
      </c>
      <c r="B2225" s="105" t="s">
        <v>2571</v>
      </c>
      <c r="C2225" s="106" t="s">
        <v>13</v>
      </c>
      <c r="D2225" s="107">
        <v>457.74</v>
      </c>
    </row>
    <row r="2226" spans="1:4" ht="51" x14ac:dyDescent="0.25">
      <c r="A2226" s="104">
        <v>92726</v>
      </c>
      <c r="B2226" s="105" t="s">
        <v>2572</v>
      </c>
      <c r="C2226" s="106" t="s">
        <v>13</v>
      </c>
      <c r="D2226" s="107">
        <v>455.88</v>
      </c>
    </row>
    <row r="2227" spans="1:4" ht="63.75" x14ac:dyDescent="0.25">
      <c r="A2227" s="104">
        <v>92727</v>
      </c>
      <c r="B2227" s="105" t="s">
        <v>2573</v>
      </c>
      <c r="C2227" s="106" t="s">
        <v>13</v>
      </c>
      <c r="D2227" s="107">
        <v>507.52</v>
      </c>
    </row>
    <row r="2228" spans="1:4" ht="63.75" x14ac:dyDescent="0.25">
      <c r="A2228" s="104">
        <v>92728</v>
      </c>
      <c r="B2228" s="105" t="s">
        <v>2574</v>
      </c>
      <c r="C2228" s="106" t="s">
        <v>13</v>
      </c>
      <c r="D2228" s="107">
        <v>488.61</v>
      </c>
    </row>
    <row r="2229" spans="1:4" ht="63.75" x14ac:dyDescent="0.25">
      <c r="A2229" s="104">
        <v>92729</v>
      </c>
      <c r="B2229" s="105" t="s">
        <v>2575</v>
      </c>
      <c r="C2229" s="106" t="s">
        <v>13</v>
      </c>
      <c r="D2229" s="107">
        <v>480.61</v>
      </c>
    </row>
    <row r="2230" spans="1:4" ht="63.75" x14ac:dyDescent="0.25">
      <c r="A2230" s="104">
        <v>92730</v>
      </c>
      <c r="B2230" s="105" t="s">
        <v>2576</v>
      </c>
      <c r="C2230" s="106" t="s">
        <v>13</v>
      </c>
      <c r="D2230" s="107">
        <v>467.27</v>
      </c>
    </row>
    <row r="2231" spans="1:4" ht="63.75" x14ac:dyDescent="0.25">
      <c r="A2231" s="104">
        <v>92731</v>
      </c>
      <c r="B2231" s="105" t="s">
        <v>2577</v>
      </c>
      <c r="C2231" s="106" t="s">
        <v>13</v>
      </c>
      <c r="D2231" s="107">
        <v>482.78</v>
      </c>
    </row>
    <row r="2232" spans="1:4" ht="63.75" x14ac:dyDescent="0.25">
      <c r="A2232" s="104">
        <v>92732</v>
      </c>
      <c r="B2232" s="105" t="s">
        <v>2578</v>
      </c>
      <c r="C2232" s="106" t="s">
        <v>13</v>
      </c>
      <c r="D2232" s="107">
        <v>469.8</v>
      </c>
    </row>
    <row r="2233" spans="1:4" ht="63.75" x14ac:dyDescent="0.25">
      <c r="A2233" s="104">
        <v>92733</v>
      </c>
      <c r="B2233" s="105" t="s">
        <v>2579</v>
      </c>
      <c r="C2233" s="106" t="s">
        <v>13</v>
      </c>
      <c r="D2233" s="107">
        <v>464.28</v>
      </c>
    </row>
    <row r="2234" spans="1:4" ht="63.75" x14ac:dyDescent="0.25">
      <c r="A2234" s="104">
        <v>92734</v>
      </c>
      <c r="B2234" s="105" t="s">
        <v>2580</v>
      </c>
      <c r="C2234" s="106" t="s">
        <v>13</v>
      </c>
      <c r="D2234" s="107">
        <v>455.15</v>
      </c>
    </row>
    <row r="2235" spans="1:4" ht="63.75" x14ac:dyDescent="0.25">
      <c r="A2235" s="104">
        <v>92735</v>
      </c>
      <c r="B2235" s="105" t="s">
        <v>2581</v>
      </c>
      <c r="C2235" s="106" t="s">
        <v>13</v>
      </c>
      <c r="D2235" s="107">
        <v>460.07</v>
      </c>
    </row>
    <row r="2236" spans="1:4" ht="63.75" x14ac:dyDescent="0.25">
      <c r="A2236" s="104">
        <v>92736</v>
      </c>
      <c r="B2236" s="105" t="s">
        <v>2582</v>
      </c>
      <c r="C2236" s="106" t="s">
        <v>13</v>
      </c>
      <c r="D2236" s="107">
        <v>450.24</v>
      </c>
    </row>
    <row r="2237" spans="1:4" ht="63.75" x14ac:dyDescent="0.25">
      <c r="A2237" s="104">
        <v>92739</v>
      </c>
      <c r="B2237" s="105" t="s">
        <v>2583</v>
      </c>
      <c r="C2237" s="106" t="s">
        <v>13</v>
      </c>
      <c r="D2237" s="107">
        <v>435.99</v>
      </c>
    </row>
    <row r="2238" spans="1:4" ht="63.75" x14ac:dyDescent="0.25">
      <c r="A2238" s="104">
        <v>92740</v>
      </c>
      <c r="B2238" s="105" t="s">
        <v>2584</v>
      </c>
      <c r="C2238" s="106" t="s">
        <v>13</v>
      </c>
      <c r="D2238" s="107">
        <v>431.12</v>
      </c>
    </row>
    <row r="2239" spans="1:4" ht="51" x14ac:dyDescent="0.25">
      <c r="A2239" s="104">
        <v>92741</v>
      </c>
      <c r="B2239" s="105" t="s">
        <v>2585</v>
      </c>
      <c r="C2239" s="106" t="s">
        <v>13</v>
      </c>
      <c r="D2239" s="107">
        <v>610.95000000000005</v>
      </c>
    </row>
    <row r="2240" spans="1:4" ht="51" x14ac:dyDescent="0.25">
      <c r="A2240" s="104">
        <v>92742</v>
      </c>
      <c r="B2240" s="105" t="s">
        <v>2586</v>
      </c>
      <c r="C2240" s="106" t="s">
        <v>13</v>
      </c>
      <c r="D2240" s="107">
        <v>799.9</v>
      </c>
    </row>
    <row r="2241" spans="1:4" ht="25.5" x14ac:dyDescent="0.25">
      <c r="A2241" s="104">
        <v>92873</v>
      </c>
      <c r="B2241" s="105" t="s">
        <v>512</v>
      </c>
      <c r="C2241" s="106" t="s">
        <v>13</v>
      </c>
      <c r="D2241" s="107">
        <v>146.37</v>
      </c>
    </row>
    <row r="2242" spans="1:4" ht="25.5" x14ac:dyDescent="0.25">
      <c r="A2242" s="104">
        <v>92874</v>
      </c>
      <c r="B2242" s="105" t="s">
        <v>2587</v>
      </c>
      <c r="C2242" s="106" t="s">
        <v>13</v>
      </c>
      <c r="D2242" s="107">
        <v>24.3</v>
      </c>
    </row>
    <row r="2243" spans="1:4" ht="38.25" x14ac:dyDescent="0.25">
      <c r="A2243" s="104">
        <v>94962</v>
      </c>
      <c r="B2243" s="105" t="s">
        <v>2588</v>
      </c>
      <c r="C2243" s="106" t="s">
        <v>13</v>
      </c>
      <c r="D2243" s="107">
        <v>255.78</v>
      </c>
    </row>
    <row r="2244" spans="1:4" ht="25.5" x14ac:dyDescent="0.25">
      <c r="A2244" s="104">
        <v>94963</v>
      </c>
      <c r="B2244" s="105" t="s">
        <v>2589</v>
      </c>
      <c r="C2244" s="106" t="s">
        <v>13</v>
      </c>
      <c r="D2244" s="107">
        <v>284.12</v>
      </c>
    </row>
    <row r="2245" spans="1:4" ht="25.5" x14ac:dyDescent="0.25">
      <c r="A2245" s="104">
        <v>94964</v>
      </c>
      <c r="B2245" s="105" t="s">
        <v>2590</v>
      </c>
      <c r="C2245" s="106" t="s">
        <v>13</v>
      </c>
      <c r="D2245" s="107">
        <v>310.81</v>
      </c>
    </row>
    <row r="2246" spans="1:4" ht="25.5" x14ac:dyDescent="0.25">
      <c r="A2246" s="104">
        <v>94965</v>
      </c>
      <c r="B2246" s="105" t="s">
        <v>2591</v>
      </c>
      <c r="C2246" s="106" t="s">
        <v>13</v>
      </c>
      <c r="D2246" s="107">
        <v>323.58999999999997</v>
      </c>
    </row>
    <row r="2247" spans="1:4" ht="25.5" x14ac:dyDescent="0.25">
      <c r="A2247" s="104">
        <v>94966</v>
      </c>
      <c r="B2247" s="105" t="s">
        <v>2592</v>
      </c>
      <c r="C2247" s="106" t="s">
        <v>13</v>
      </c>
      <c r="D2247" s="107">
        <v>334.92</v>
      </c>
    </row>
    <row r="2248" spans="1:4" ht="25.5" x14ac:dyDescent="0.25">
      <c r="A2248" s="104">
        <v>94967</v>
      </c>
      <c r="B2248" s="105" t="s">
        <v>2593</v>
      </c>
      <c r="C2248" s="106" t="s">
        <v>13</v>
      </c>
      <c r="D2248" s="107">
        <v>381.84</v>
      </c>
    </row>
    <row r="2249" spans="1:4" ht="38.25" x14ac:dyDescent="0.25">
      <c r="A2249" s="104">
        <v>94968</v>
      </c>
      <c r="B2249" s="105" t="s">
        <v>2594</v>
      </c>
      <c r="C2249" s="106" t="s">
        <v>13</v>
      </c>
      <c r="D2249" s="107">
        <v>254.04</v>
      </c>
    </row>
    <row r="2250" spans="1:4" ht="25.5" x14ac:dyDescent="0.25">
      <c r="A2250" s="104">
        <v>94969</v>
      </c>
      <c r="B2250" s="105" t="s">
        <v>2595</v>
      </c>
      <c r="C2250" s="106" t="s">
        <v>13</v>
      </c>
      <c r="D2250" s="107">
        <v>280.2</v>
      </c>
    </row>
    <row r="2251" spans="1:4" ht="25.5" x14ac:dyDescent="0.25">
      <c r="A2251" s="104">
        <v>94970</v>
      </c>
      <c r="B2251" s="105" t="s">
        <v>2596</v>
      </c>
      <c r="C2251" s="106" t="s">
        <v>13</v>
      </c>
      <c r="D2251" s="107">
        <v>303.10000000000002</v>
      </c>
    </row>
    <row r="2252" spans="1:4" ht="25.5" x14ac:dyDescent="0.25">
      <c r="A2252" s="104">
        <v>94971</v>
      </c>
      <c r="B2252" s="105" t="s">
        <v>2597</v>
      </c>
      <c r="C2252" s="106" t="s">
        <v>13</v>
      </c>
      <c r="D2252" s="107">
        <v>319.76</v>
      </c>
    </row>
    <row r="2253" spans="1:4" ht="25.5" x14ac:dyDescent="0.25">
      <c r="A2253" s="104">
        <v>94972</v>
      </c>
      <c r="B2253" s="105" t="s">
        <v>2598</v>
      </c>
      <c r="C2253" s="106" t="s">
        <v>13</v>
      </c>
      <c r="D2253" s="107">
        <v>330.91</v>
      </c>
    </row>
    <row r="2254" spans="1:4" ht="25.5" x14ac:dyDescent="0.25">
      <c r="A2254" s="104">
        <v>94973</v>
      </c>
      <c r="B2254" s="105" t="s">
        <v>2599</v>
      </c>
      <c r="C2254" s="106" t="s">
        <v>13</v>
      </c>
      <c r="D2254" s="107">
        <v>376.91</v>
      </c>
    </row>
    <row r="2255" spans="1:4" ht="25.5" x14ac:dyDescent="0.25">
      <c r="A2255" s="104">
        <v>94974</v>
      </c>
      <c r="B2255" s="105" t="s">
        <v>2600</v>
      </c>
      <c r="C2255" s="106" t="s">
        <v>13</v>
      </c>
      <c r="D2255" s="107">
        <v>351.82</v>
      </c>
    </row>
    <row r="2256" spans="1:4" ht="25.5" x14ac:dyDescent="0.25">
      <c r="A2256" s="104">
        <v>94975</v>
      </c>
      <c r="B2256" s="105" t="s">
        <v>2601</v>
      </c>
      <c r="C2256" s="106" t="s">
        <v>13</v>
      </c>
      <c r="D2256" s="107">
        <v>378.3</v>
      </c>
    </row>
    <row r="2257" spans="1:4" ht="38.25" x14ac:dyDescent="0.25">
      <c r="A2257" s="104">
        <v>96555</v>
      </c>
      <c r="B2257" s="105" t="s">
        <v>2602</v>
      </c>
      <c r="C2257" s="106" t="s">
        <v>13</v>
      </c>
      <c r="D2257" s="107">
        <v>458.9</v>
      </c>
    </row>
    <row r="2258" spans="1:4" ht="25.5" x14ac:dyDescent="0.25">
      <c r="A2258" s="106">
        <v>96556</v>
      </c>
      <c r="B2258" s="105" t="s">
        <v>2603</v>
      </c>
      <c r="C2258" s="106" t="s">
        <v>13</v>
      </c>
      <c r="D2258" s="107">
        <v>516.11</v>
      </c>
    </row>
    <row r="2259" spans="1:4" ht="38.25" x14ac:dyDescent="0.25">
      <c r="A2259" s="104">
        <v>96557</v>
      </c>
      <c r="B2259" s="105" t="s">
        <v>2604</v>
      </c>
      <c r="C2259" s="106" t="s">
        <v>13</v>
      </c>
      <c r="D2259" s="107">
        <v>498.72</v>
      </c>
    </row>
    <row r="2260" spans="1:4" ht="25.5" x14ac:dyDescent="0.25">
      <c r="A2260" s="104">
        <v>96558</v>
      </c>
      <c r="B2260" s="105" t="s">
        <v>2605</v>
      </c>
      <c r="C2260" s="106" t="s">
        <v>13</v>
      </c>
      <c r="D2260" s="107">
        <v>503.92</v>
      </c>
    </row>
    <row r="2261" spans="1:4" ht="51" x14ac:dyDescent="0.25">
      <c r="A2261" s="104">
        <v>99235</v>
      </c>
      <c r="B2261" s="105" t="s">
        <v>2606</v>
      </c>
      <c r="C2261" s="106" t="s">
        <v>13</v>
      </c>
      <c r="D2261" s="107">
        <v>487.23</v>
      </c>
    </row>
    <row r="2262" spans="1:4" ht="51" x14ac:dyDescent="0.25">
      <c r="A2262" s="104">
        <v>99431</v>
      </c>
      <c r="B2262" s="105" t="s">
        <v>2607</v>
      </c>
      <c r="C2262" s="106" t="s">
        <v>13</v>
      </c>
      <c r="D2262" s="107">
        <v>505.89</v>
      </c>
    </row>
    <row r="2263" spans="1:4" ht="51" x14ac:dyDescent="0.25">
      <c r="A2263" s="104">
        <v>99432</v>
      </c>
      <c r="B2263" s="105" t="s">
        <v>2608</v>
      </c>
      <c r="C2263" s="106" t="s">
        <v>13</v>
      </c>
      <c r="D2263" s="107">
        <v>481.34</v>
      </c>
    </row>
    <row r="2264" spans="1:4" ht="51" x14ac:dyDescent="0.25">
      <c r="A2264" s="104">
        <v>99433</v>
      </c>
      <c r="B2264" s="105" t="s">
        <v>2609</v>
      </c>
      <c r="C2264" s="106" t="s">
        <v>13</v>
      </c>
      <c r="D2264" s="107">
        <v>533.79999999999995</v>
      </c>
    </row>
    <row r="2265" spans="1:4" ht="51" x14ac:dyDescent="0.25">
      <c r="A2265" s="104">
        <v>99434</v>
      </c>
      <c r="B2265" s="105" t="s">
        <v>2610</v>
      </c>
      <c r="C2265" s="106" t="s">
        <v>13</v>
      </c>
      <c r="D2265" s="107">
        <v>509.11</v>
      </c>
    </row>
    <row r="2266" spans="1:4" ht="51" x14ac:dyDescent="0.25">
      <c r="A2266" s="104">
        <v>99435</v>
      </c>
      <c r="B2266" s="105" t="s">
        <v>2611</v>
      </c>
      <c r="C2266" s="106" t="s">
        <v>13</v>
      </c>
      <c r="D2266" s="107">
        <v>492.99</v>
      </c>
    </row>
    <row r="2267" spans="1:4" ht="51" x14ac:dyDescent="0.25">
      <c r="A2267" s="104">
        <v>99436</v>
      </c>
      <c r="B2267" s="105" t="s">
        <v>2612</v>
      </c>
      <c r="C2267" s="106" t="s">
        <v>13</v>
      </c>
      <c r="D2267" s="107">
        <v>548.62</v>
      </c>
    </row>
    <row r="2268" spans="1:4" ht="51" x14ac:dyDescent="0.25">
      <c r="A2268" s="104">
        <v>99437</v>
      </c>
      <c r="B2268" s="105" t="s">
        <v>2613</v>
      </c>
      <c r="C2268" s="106" t="s">
        <v>13</v>
      </c>
      <c r="D2268" s="107">
        <v>517.24</v>
      </c>
    </row>
    <row r="2269" spans="1:4" ht="51" x14ac:dyDescent="0.25">
      <c r="A2269" s="104">
        <v>99438</v>
      </c>
      <c r="B2269" s="105" t="s">
        <v>2614</v>
      </c>
      <c r="C2269" s="106" t="s">
        <v>13</v>
      </c>
      <c r="D2269" s="107">
        <v>521.72</v>
      </c>
    </row>
    <row r="2270" spans="1:4" ht="51" x14ac:dyDescent="0.25">
      <c r="A2270" s="104">
        <v>99439</v>
      </c>
      <c r="B2270" s="105" t="s">
        <v>2615</v>
      </c>
      <c r="C2270" s="106" t="s">
        <v>13</v>
      </c>
      <c r="D2270" s="107">
        <v>497.65</v>
      </c>
    </row>
    <row r="2271" spans="1:4" ht="38.25" x14ac:dyDescent="0.25">
      <c r="A2271" s="104" t="s">
        <v>2616</v>
      </c>
      <c r="B2271" s="105" t="s">
        <v>2617</v>
      </c>
      <c r="C2271" s="106" t="s">
        <v>8</v>
      </c>
      <c r="D2271" s="107">
        <v>78.39</v>
      </c>
    </row>
    <row r="2272" spans="1:4" ht="38.25" x14ac:dyDescent="0.25">
      <c r="A2272" s="104" t="s">
        <v>2618</v>
      </c>
      <c r="B2272" s="105" t="s">
        <v>2619</v>
      </c>
      <c r="C2272" s="106" t="s">
        <v>8</v>
      </c>
      <c r="D2272" s="107">
        <v>86.48</v>
      </c>
    </row>
    <row r="2273" spans="1:4" ht="38.25" x14ac:dyDescent="0.25">
      <c r="A2273" s="104" t="s">
        <v>2620</v>
      </c>
      <c r="B2273" s="105" t="s">
        <v>2621</v>
      </c>
      <c r="C2273" s="106" t="s">
        <v>8</v>
      </c>
      <c r="D2273" s="107">
        <v>103.6</v>
      </c>
    </row>
    <row r="2274" spans="1:4" ht="38.25" x14ac:dyDescent="0.25">
      <c r="A2274" s="104" t="s">
        <v>2622</v>
      </c>
      <c r="B2274" s="105" t="s">
        <v>2623</v>
      </c>
      <c r="C2274" s="106" t="s">
        <v>8</v>
      </c>
      <c r="D2274" s="107">
        <v>119.43</v>
      </c>
    </row>
    <row r="2275" spans="1:4" ht="38.25" x14ac:dyDescent="0.25">
      <c r="A2275" s="104" t="s">
        <v>2624</v>
      </c>
      <c r="B2275" s="105" t="s">
        <v>2625</v>
      </c>
      <c r="C2275" s="106" t="s">
        <v>8</v>
      </c>
      <c r="D2275" s="107">
        <v>69.89</v>
      </c>
    </row>
    <row r="2276" spans="1:4" ht="38.25" x14ac:dyDescent="0.25">
      <c r="A2276" s="104" t="s">
        <v>2626</v>
      </c>
      <c r="B2276" s="105" t="s">
        <v>2627</v>
      </c>
      <c r="C2276" s="106" t="s">
        <v>8</v>
      </c>
      <c r="D2276" s="107">
        <v>76.62</v>
      </c>
    </row>
    <row r="2277" spans="1:4" ht="38.25" x14ac:dyDescent="0.25">
      <c r="A2277" s="104">
        <v>101165</v>
      </c>
      <c r="B2277" s="105" t="s">
        <v>11125</v>
      </c>
      <c r="C2277" s="106" t="s">
        <v>13</v>
      </c>
      <c r="D2277" s="107">
        <v>628.15</v>
      </c>
    </row>
    <row r="2278" spans="1:4" ht="38.25" x14ac:dyDescent="0.25">
      <c r="A2278" s="104">
        <v>101166</v>
      </c>
      <c r="B2278" s="105" t="s">
        <v>11126</v>
      </c>
      <c r="C2278" s="106" t="s">
        <v>13</v>
      </c>
      <c r="D2278" s="107">
        <v>449.44</v>
      </c>
    </row>
    <row r="2279" spans="1:4" ht="25.5" x14ac:dyDescent="0.25">
      <c r="A2279" s="104">
        <v>98576</v>
      </c>
      <c r="B2279" s="105" t="s">
        <v>2628</v>
      </c>
      <c r="C2279" s="106" t="s">
        <v>16</v>
      </c>
      <c r="D2279" s="107">
        <v>15.7</v>
      </c>
    </row>
    <row r="2280" spans="1:4" ht="25.5" x14ac:dyDescent="0.25">
      <c r="A2280" s="104">
        <v>93182</v>
      </c>
      <c r="B2280" s="105" t="s">
        <v>2629</v>
      </c>
      <c r="C2280" s="106" t="s">
        <v>16</v>
      </c>
      <c r="D2280" s="107">
        <v>21.82</v>
      </c>
    </row>
    <row r="2281" spans="1:4" ht="25.5" x14ac:dyDescent="0.25">
      <c r="A2281" s="104">
        <v>93183</v>
      </c>
      <c r="B2281" s="105" t="s">
        <v>2630</v>
      </c>
      <c r="C2281" s="106" t="s">
        <v>16</v>
      </c>
      <c r="D2281" s="107">
        <v>27.56</v>
      </c>
    </row>
    <row r="2282" spans="1:4" ht="25.5" x14ac:dyDescent="0.25">
      <c r="A2282" s="104">
        <v>93184</v>
      </c>
      <c r="B2282" s="105" t="s">
        <v>2631</v>
      </c>
      <c r="C2282" s="106" t="s">
        <v>16</v>
      </c>
      <c r="D2282" s="107">
        <v>16.57</v>
      </c>
    </row>
    <row r="2283" spans="1:4" ht="25.5" x14ac:dyDescent="0.25">
      <c r="A2283" s="104">
        <v>93185</v>
      </c>
      <c r="B2283" s="105" t="s">
        <v>2632</v>
      </c>
      <c r="C2283" s="106" t="s">
        <v>16</v>
      </c>
      <c r="D2283" s="107">
        <v>27.12</v>
      </c>
    </row>
    <row r="2284" spans="1:4" ht="25.5" x14ac:dyDescent="0.25">
      <c r="A2284" s="104">
        <v>93186</v>
      </c>
      <c r="B2284" s="105" t="s">
        <v>196</v>
      </c>
      <c r="C2284" s="106" t="s">
        <v>16</v>
      </c>
      <c r="D2284" s="107">
        <v>38.81</v>
      </c>
    </row>
    <row r="2285" spans="1:4" ht="25.5" x14ac:dyDescent="0.25">
      <c r="A2285" s="104">
        <v>93187</v>
      </c>
      <c r="B2285" s="105" t="s">
        <v>198</v>
      </c>
      <c r="C2285" s="106" t="s">
        <v>16</v>
      </c>
      <c r="D2285" s="107">
        <v>43.97</v>
      </c>
    </row>
    <row r="2286" spans="1:4" ht="25.5" x14ac:dyDescent="0.25">
      <c r="A2286" s="104">
        <v>93188</v>
      </c>
      <c r="B2286" s="105" t="s">
        <v>199</v>
      </c>
      <c r="C2286" s="106" t="s">
        <v>16</v>
      </c>
      <c r="D2286" s="107">
        <v>38.33</v>
      </c>
    </row>
    <row r="2287" spans="1:4" ht="25.5" x14ac:dyDescent="0.25">
      <c r="A2287" s="104">
        <v>93189</v>
      </c>
      <c r="B2287" s="105" t="s">
        <v>200</v>
      </c>
      <c r="C2287" s="106" t="s">
        <v>16</v>
      </c>
      <c r="D2287" s="107">
        <v>44.61</v>
      </c>
    </row>
    <row r="2288" spans="1:4" ht="25.5" x14ac:dyDescent="0.25">
      <c r="A2288" s="104">
        <v>93190</v>
      </c>
      <c r="B2288" s="105" t="s">
        <v>2633</v>
      </c>
      <c r="C2288" s="106" t="s">
        <v>16</v>
      </c>
      <c r="D2288" s="107">
        <v>29.71</v>
      </c>
    </row>
    <row r="2289" spans="1:4" ht="25.5" x14ac:dyDescent="0.25">
      <c r="A2289" s="104">
        <v>93191</v>
      </c>
      <c r="B2289" s="105" t="s">
        <v>2634</v>
      </c>
      <c r="C2289" s="106" t="s">
        <v>16</v>
      </c>
      <c r="D2289" s="107">
        <v>30.52</v>
      </c>
    </row>
    <row r="2290" spans="1:4" ht="25.5" x14ac:dyDescent="0.25">
      <c r="A2290" s="104">
        <v>93192</v>
      </c>
      <c r="B2290" s="105" t="s">
        <v>2635</v>
      </c>
      <c r="C2290" s="106" t="s">
        <v>16</v>
      </c>
      <c r="D2290" s="107">
        <v>33.58</v>
      </c>
    </row>
    <row r="2291" spans="1:4" ht="25.5" x14ac:dyDescent="0.25">
      <c r="A2291" s="104">
        <v>93193</v>
      </c>
      <c r="B2291" s="105" t="s">
        <v>2636</v>
      </c>
      <c r="C2291" s="106" t="s">
        <v>16</v>
      </c>
      <c r="D2291" s="107">
        <v>31.19</v>
      </c>
    </row>
    <row r="2292" spans="1:4" ht="25.5" x14ac:dyDescent="0.25">
      <c r="A2292" s="104">
        <v>93194</v>
      </c>
      <c r="B2292" s="105" t="s">
        <v>2637</v>
      </c>
      <c r="C2292" s="106" t="s">
        <v>16</v>
      </c>
      <c r="D2292" s="107">
        <v>21.51</v>
      </c>
    </row>
    <row r="2293" spans="1:4" ht="25.5" x14ac:dyDescent="0.25">
      <c r="A2293" s="104">
        <v>93195</v>
      </c>
      <c r="B2293" s="105" t="s">
        <v>2638</v>
      </c>
      <c r="C2293" s="106" t="s">
        <v>16</v>
      </c>
      <c r="D2293" s="107">
        <v>25.45</v>
      </c>
    </row>
    <row r="2294" spans="1:4" ht="25.5" x14ac:dyDescent="0.25">
      <c r="A2294" s="104">
        <v>93196</v>
      </c>
      <c r="B2294" s="105" t="s">
        <v>197</v>
      </c>
      <c r="C2294" s="106" t="s">
        <v>16</v>
      </c>
      <c r="D2294" s="107">
        <v>36.85</v>
      </c>
    </row>
    <row r="2295" spans="1:4" ht="25.5" x14ac:dyDescent="0.25">
      <c r="A2295" s="104">
        <v>93197</v>
      </c>
      <c r="B2295" s="105" t="s">
        <v>352</v>
      </c>
      <c r="C2295" s="106" t="s">
        <v>16</v>
      </c>
      <c r="D2295" s="107">
        <v>40.85</v>
      </c>
    </row>
    <row r="2296" spans="1:4" ht="25.5" x14ac:dyDescent="0.25">
      <c r="A2296" s="104">
        <v>93198</v>
      </c>
      <c r="B2296" s="105" t="s">
        <v>2639</v>
      </c>
      <c r="C2296" s="106" t="s">
        <v>16</v>
      </c>
      <c r="D2296" s="107">
        <v>26.7</v>
      </c>
    </row>
    <row r="2297" spans="1:4" ht="38.25" x14ac:dyDescent="0.25">
      <c r="A2297" s="104">
        <v>93199</v>
      </c>
      <c r="B2297" s="105" t="s">
        <v>2640</v>
      </c>
      <c r="C2297" s="106" t="s">
        <v>16</v>
      </c>
      <c r="D2297" s="107">
        <v>26.31</v>
      </c>
    </row>
    <row r="2298" spans="1:4" ht="25.5" x14ac:dyDescent="0.25">
      <c r="A2298" s="104">
        <v>93200</v>
      </c>
      <c r="B2298" s="105" t="s">
        <v>201</v>
      </c>
      <c r="C2298" s="106" t="s">
        <v>16</v>
      </c>
      <c r="D2298" s="107">
        <v>2.02</v>
      </c>
    </row>
    <row r="2299" spans="1:4" ht="25.5" x14ac:dyDescent="0.25">
      <c r="A2299" s="104">
        <v>93201</v>
      </c>
      <c r="B2299" s="105" t="s">
        <v>2641</v>
      </c>
      <c r="C2299" s="106" t="s">
        <v>16</v>
      </c>
      <c r="D2299" s="107">
        <v>4.2300000000000004</v>
      </c>
    </row>
    <row r="2300" spans="1:4" ht="25.5" x14ac:dyDescent="0.25">
      <c r="A2300" s="104">
        <v>93202</v>
      </c>
      <c r="B2300" s="105" t="s">
        <v>2642</v>
      </c>
      <c r="C2300" s="106" t="s">
        <v>16</v>
      </c>
      <c r="D2300" s="107">
        <v>16.75</v>
      </c>
    </row>
    <row r="2301" spans="1:4" ht="25.5" x14ac:dyDescent="0.25">
      <c r="A2301" s="104">
        <v>93203</v>
      </c>
      <c r="B2301" s="105" t="s">
        <v>2643</v>
      </c>
      <c r="C2301" s="106" t="s">
        <v>16</v>
      </c>
      <c r="D2301" s="107">
        <v>13.68</v>
      </c>
    </row>
    <row r="2302" spans="1:4" ht="25.5" x14ac:dyDescent="0.25">
      <c r="A2302" s="104">
        <v>93204</v>
      </c>
      <c r="B2302" s="105" t="s">
        <v>2644</v>
      </c>
      <c r="C2302" s="106" t="s">
        <v>16</v>
      </c>
      <c r="D2302" s="107">
        <v>29.86</v>
      </c>
    </row>
    <row r="2303" spans="1:4" ht="25.5" x14ac:dyDescent="0.25">
      <c r="A2303" s="104">
        <v>93205</v>
      </c>
      <c r="B2303" s="105" t="s">
        <v>2645</v>
      </c>
      <c r="C2303" s="106" t="s">
        <v>16</v>
      </c>
      <c r="D2303" s="107">
        <v>25.29</v>
      </c>
    </row>
    <row r="2304" spans="1:4" x14ac:dyDescent="0.25">
      <c r="A2304" s="104">
        <v>85233</v>
      </c>
      <c r="B2304" s="105" t="s">
        <v>2646</v>
      </c>
      <c r="C2304" s="106" t="s">
        <v>13</v>
      </c>
      <c r="D2304" s="107">
        <v>2207.13</v>
      </c>
    </row>
    <row r="2305" spans="1:4" ht="38.25" x14ac:dyDescent="0.25">
      <c r="A2305" s="104">
        <v>95952</v>
      </c>
      <c r="B2305" s="105" t="s">
        <v>2647</v>
      </c>
      <c r="C2305" s="106" t="s">
        <v>13</v>
      </c>
      <c r="D2305" s="107">
        <v>1496.24</v>
      </c>
    </row>
    <row r="2306" spans="1:4" ht="38.25" x14ac:dyDescent="0.25">
      <c r="A2306" s="104">
        <v>95953</v>
      </c>
      <c r="B2306" s="105" t="s">
        <v>2648</v>
      </c>
      <c r="C2306" s="106" t="s">
        <v>13</v>
      </c>
      <c r="D2306" s="107">
        <v>2397.54</v>
      </c>
    </row>
    <row r="2307" spans="1:4" ht="51" x14ac:dyDescent="0.25">
      <c r="A2307" s="104">
        <v>95954</v>
      </c>
      <c r="B2307" s="105" t="s">
        <v>2649</v>
      </c>
      <c r="C2307" s="106" t="s">
        <v>13</v>
      </c>
      <c r="D2307" s="107">
        <v>1702.29</v>
      </c>
    </row>
    <row r="2308" spans="1:4" ht="38.25" x14ac:dyDescent="0.25">
      <c r="A2308" s="104">
        <v>95955</v>
      </c>
      <c r="B2308" s="105" t="s">
        <v>2650</v>
      </c>
      <c r="C2308" s="106" t="s">
        <v>13</v>
      </c>
      <c r="D2308" s="107">
        <v>2093.33</v>
      </c>
    </row>
    <row r="2309" spans="1:4" ht="38.25" x14ac:dyDescent="0.25">
      <c r="A2309" s="104">
        <v>95956</v>
      </c>
      <c r="B2309" s="105" t="s">
        <v>2651</v>
      </c>
      <c r="C2309" s="106" t="s">
        <v>13</v>
      </c>
      <c r="D2309" s="107">
        <v>1634.34</v>
      </c>
    </row>
    <row r="2310" spans="1:4" ht="38.25" x14ac:dyDescent="0.25">
      <c r="A2310" s="104">
        <v>95957</v>
      </c>
      <c r="B2310" s="105" t="s">
        <v>2652</v>
      </c>
      <c r="C2310" s="106" t="s">
        <v>13</v>
      </c>
      <c r="D2310" s="107">
        <v>2092.98</v>
      </c>
    </row>
    <row r="2311" spans="1:4" ht="25.5" x14ac:dyDescent="0.25">
      <c r="A2311" s="104">
        <v>95969</v>
      </c>
      <c r="B2311" s="105" t="s">
        <v>2653</v>
      </c>
      <c r="C2311" s="106" t="s">
        <v>13</v>
      </c>
      <c r="D2311" s="107">
        <v>2064.4899999999998</v>
      </c>
    </row>
    <row r="2312" spans="1:4" ht="25.5" x14ac:dyDescent="0.25">
      <c r="A2312" s="104">
        <v>97733</v>
      </c>
      <c r="B2312" s="105" t="s">
        <v>2654</v>
      </c>
      <c r="C2312" s="106" t="s">
        <v>13</v>
      </c>
      <c r="D2312" s="107">
        <v>2240.15</v>
      </c>
    </row>
    <row r="2313" spans="1:4" ht="25.5" x14ac:dyDescent="0.25">
      <c r="A2313" s="104">
        <v>97734</v>
      </c>
      <c r="B2313" s="105" t="s">
        <v>2655</v>
      </c>
      <c r="C2313" s="106" t="s">
        <v>13</v>
      </c>
      <c r="D2313" s="107">
        <v>1952.71</v>
      </c>
    </row>
    <row r="2314" spans="1:4" ht="25.5" x14ac:dyDescent="0.25">
      <c r="A2314" s="104">
        <v>97735</v>
      </c>
      <c r="B2314" s="105" t="s">
        <v>2656</v>
      </c>
      <c r="C2314" s="106" t="s">
        <v>13</v>
      </c>
      <c r="D2314" s="107">
        <v>1617.38</v>
      </c>
    </row>
    <row r="2315" spans="1:4" ht="25.5" x14ac:dyDescent="0.25">
      <c r="A2315" s="104">
        <v>97736</v>
      </c>
      <c r="B2315" s="105" t="s">
        <v>2657</v>
      </c>
      <c r="C2315" s="106" t="s">
        <v>13</v>
      </c>
      <c r="D2315" s="107">
        <v>1008.79</v>
      </c>
    </row>
    <row r="2316" spans="1:4" ht="25.5" x14ac:dyDescent="0.25">
      <c r="A2316" s="104">
        <v>97737</v>
      </c>
      <c r="B2316" s="105" t="s">
        <v>2658</v>
      </c>
      <c r="C2316" s="106" t="s">
        <v>13</v>
      </c>
      <c r="D2316" s="107">
        <v>2215.88</v>
      </c>
    </row>
    <row r="2317" spans="1:4" ht="38.25" x14ac:dyDescent="0.25">
      <c r="A2317" s="104">
        <v>97738</v>
      </c>
      <c r="B2317" s="105" t="s">
        <v>2659</v>
      </c>
      <c r="C2317" s="106" t="s">
        <v>13</v>
      </c>
      <c r="D2317" s="107">
        <v>3047.55</v>
      </c>
    </row>
    <row r="2318" spans="1:4" ht="25.5" x14ac:dyDescent="0.25">
      <c r="A2318" s="104">
        <v>97739</v>
      </c>
      <c r="B2318" s="105" t="s">
        <v>2660</v>
      </c>
      <c r="C2318" s="106" t="s">
        <v>13</v>
      </c>
      <c r="D2318" s="107">
        <v>1856.74</v>
      </c>
    </row>
    <row r="2319" spans="1:4" ht="25.5" x14ac:dyDescent="0.25">
      <c r="A2319" s="104">
        <v>97740</v>
      </c>
      <c r="B2319" s="105" t="s">
        <v>2661</v>
      </c>
      <c r="C2319" s="106" t="s">
        <v>13</v>
      </c>
      <c r="D2319" s="107">
        <v>1342.23</v>
      </c>
    </row>
    <row r="2320" spans="1:4" ht="25.5" x14ac:dyDescent="0.25">
      <c r="A2320" s="104">
        <v>98615</v>
      </c>
      <c r="B2320" s="105" t="s">
        <v>2662</v>
      </c>
      <c r="C2320" s="106" t="s">
        <v>8</v>
      </c>
      <c r="D2320" s="107">
        <v>93.89</v>
      </c>
    </row>
    <row r="2321" spans="1:4" ht="38.25" x14ac:dyDescent="0.25">
      <c r="A2321" s="104">
        <v>98616</v>
      </c>
      <c r="B2321" s="105" t="s">
        <v>2663</v>
      </c>
      <c r="C2321" s="106" t="s">
        <v>8</v>
      </c>
      <c r="D2321" s="107">
        <v>77.040000000000006</v>
      </c>
    </row>
    <row r="2322" spans="1:4" ht="25.5" x14ac:dyDescent="0.25">
      <c r="A2322" s="104">
        <v>98617</v>
      </c>
      <c r="B2322" s="105" t="s">
        <v>2664</v>
      </c>
      <c r="C2322" s="106" t="s">
        <v>8</v>
      </c>
      <c r="D2322" s="107">
        <v>72.3</v>
      </c>
    </row>
    <row r="2323" spans="1:4" ht="25.5" x14ac:dyDescent="0.25">
      <c r="A2323" s="104">
        <v>98618</v>
      </c>
      <c r="B2323" s="105" t="s">
        <v>2665</v>
      </c>
      <c r="C2323" s="106" t="s">
        <v>8</v>
      </c>
      <c r="D2323" s="107">
        <v>98.68</v>
      </c>
    </row>
    <row r="2324" spans="1:4" ht="38.25" x14ac:dyDescent="0.25">
      <c r="A2324" s="104">
        <v>98619</v>
      </c>
      <c r="B2324" s="105" t="s">
        <v>2666</v>
      </c>
      <c r="C2324" s="106" t="s">
        <v>8</v>
      </c>
      <c r="D2324" s="107">
        <v>91.48</v>
      </c>
    </row>
    <row r="2325" spans="1:4" ht="25.5" x14ac:dyDescent="0.25">
      <c r="A2325" s="104">
        <v>98620</v>
      </c>
      <c r="B2325" s="105" t="s">
        <v>2667</v>
      </c>
      <c r="C2325" s="106" t="s">
        <v>8</v>
      </c>
      <c r="D2325" s="107">
        <v>87.85</v>
      </c>
    </row>
    <row r="2326" spans="1:4" ht="25.5" x14ac:dyDescent="0.25">
      <c r="A2326" s="104">
        <v>98621</v>
      </c>
      <c r="B2326" s="105" t="s">
        <v>2668</v>
      </c>
      <c r="C2326" s="106" t="s">
        <v>8</v>
      </c>
      <c r="D2326" s="107">
        <v>114.01</v>
      </c>
    </row>
    <row r="2327" spans="1:4" ht="38.25" x14ac:dyDescent="0.25">
      <c r="A2327" s="104">
        <v>98622</v>
      </c>
      <c r="B2327" s="105" t="s">
        <v>2669</v>
      </c>
      <c r="C2327" s="106" t="s">
        <v>8</v>
      </c>
      <c r="D2327" s="107">
        <v>108.21</v>
      </c>
    </row>
    <row r="2328" spans="1:4" ht="25.5" x14ac:dyDescent="0.25">
      <c r="A2328" s="104">
        <v>98623</v>
      </c>
      <c r="B2328" s="105" t="s">
        <v>2670</v>
      </c>
      <c r="C2328" s="106" t="s">
        <v>8</v>
      </c>
      <c r="D2328" s="107">
        <v>105.24</v>
      </c>
    </row>
    <row r="2329" spans="1:4" ht="25.5" x14ac:dyDescent="0.25">
      <c r="A2329" s="104">
        <v>98624</v>
      </c>
      <c r="B2329" s="105" t="s">
        <v>2671</v>
      </c>
      <c r="C2329" s="106" t="s">
        <v>8</v>
      </c>
      <c r="D2329" s="107">
        <v>130.32</v>
      </c>
    </row>
    <row r="2330" spans="1:4" ht="38.25" x14ac:dyDescent="0.25">
      <c r="A2330" s="104">
        <v>98625</v>
      </c>
      <c r="B2330" s="105" t="s">
        <v>2672</v>
      </c>
      <c r="C2330" s="106" t="s">
        <v>8</v>
      </c>
      <c r="D2330" s="107">
        <v>125.38</v>
      </c>
    </row>
    <row r="2331" spans="1:4" ht="25.5" x14ac:dyDescent="0.25">
      <c r="A2331" s="104">
        <v>98626</v>
      </c>
      <c r="B2331" s="105" t="s">
        <v>2673</v>
      </c>
      <c r="C2331" s="106" t="s">
        <v>8</v>
      </c>
      <c r="D2331" s="107">
        <v>122.84</v>
      </c>
    </row>
    <row r="2332" spans="1:4" ht="25.5" x14ac:dyDescent="0.25">
      <c r="A2332" s="104">
        <v>98655</v>
      </c>
      <c r="B2332" s="105" t="s">
        <v>2674</v>
      </c>
      <c r="C2332" s="106" t="s">
        <v>16</v>
      </c>
      <c r="D2332" s="107">
        <v>403.82</v>
      </c>
    </row>
    <row r="2333" spans="1:4" ht="25.5" x14ac:dyDescent="0.25">
      <c r="A2333" s="106">
        <v>98656</v>
      </c>
      <c r="B2333" s="105" t="s">
        <v>2675</v>
      </c>
      <c r="C2333" s="106" t="s">
        <v>16</v>
      </c>
      <c r="D2333" s="107">
        <v>409.44</v>
      </c>
    </row>
    <row r="2334" spans="1:4" ht="25.5" x14ac:dyDescent="0.25">
      <c r="A2334" s="106">
        <v>98657</v>
      </c>
      <c r="B2334" s="105" t="s">
        <v>2676</v>
      </c>
      <c r="C2334" s="106" t="s">
        <v>16</v>
      </c>
      <c r="D2334" s="107">
        <v>415.05</v>
      </c>
    </row>
    <row r="2335" spans="1:4" ht="25.5" x14ac:dyDescent="0.25">
      <c r="A2335" s="106">
        <v>98658</v>
      </c>
      <c r="B2335" s="105" t="s">
        <v>2677</v>
      </c>
      <c r="C2335" s="106" t="s">
        <v>16</v>
      </c>
      <c r="D2335" s="107">
        <v>420.67</v>
      </c>
    </row>
    <row r="2336" spans="1:4" ht="25.5" x14ac:dyDescent="0.25">
      <c r="A2336" s="106">
        <v>98659</v>
      </c>
      <c r="B2336" s="105" t="s">
        <v>2678</v>
      </c>
      <c r="C2336" s="106" t="s">
        <v>16</v>
      </c>
      <c r="D2336" s="107">
        <v>431.9</v>
      </c>
    </row>
    <row r="2337" spans="1:4" ht="25.5" x14ac:dyDescent="0.25">
      <c r="A2337" s="106">
        <v>98746</v>
      </c>
      <c r="B2337" s="105" t="s">
        <v>2679</v>
      </c>
      <c r="C2337" s="106" t="s">
        <v>16</v>
      </c>
      <c r="D2337" s="107">
        <v>36.19</v>
      </c>
    </row>
    <row r="2338" spans="1:4" ht="25.5" x14ac:dyDescent="0.25">
      <c r="A2338" s="106">
        <v>98749</v>
      </c>
      <c r="B2338" s="105" t="s">
        <v>2680</v>
      </c>
      <c r="C2338" s="106" t="s">
        <v>16</v>
      </c>
      <c r="D2338" s="107">
        <v>41.42</v>
      </c>
    </row>
    <row r="2339" spans="1:4" ht="25.5" x14ac:dyDescent="0.25">
      <c r="A2339" s="106">
        <v>98750</v>
      </c>
      <c r="B2339" s="105" t="s">
        <v>2681</v>
      </c>
      <c r="C2339" s="106" t="s">
        <v>16</v>
      </c>
      <c r="D2339" s="107">
        <v>47.58</v>
      </c>
    </row>
    <row r="2340" spans="1:4" ht="25.5" x14ac:dyDescent="0.25">
      <c r="A2340" s="106">
        <v>98751</v>
      </c>
      <c r="B2340" s="105" t="s">
        <v>2682</v>
      </c>
      <c r="C2340" s="106" t="s">
        <v>16</v>
      </c>
      <c r="D2340" s="107">
        <v>63.57</v>
      </c>
    </row>
    <row r="2341" spans="1:4" ht="25.5" x14ac:dyDescent="0.25">
      <c r="A2341" s="106">
        <v>98752</v>
      </c>
      <c r="B2341" s="105" t="s">
        <v>2683</v>
      </c>
      <c r="C2341" s="106" t="s">
        <v>16</v>
      </c>
      <c r="D2341" s="107">
        <v>82.56</v>
      </c>
    </row>
    <row r="2342" spans="1:4" ht="25.5" x14ac:dyDescent="0.25">
      <c r="A2342" s="104">
        <v>98753</v>
      </c>
      <c r="B2342" s="105" t="s">
        <v>2684</v>
      </c>
      <c r="C2342" s="106" t="s">
        <v>16</v>
      </c>
      <c r="D2342" s="107">
        <v>105.97</v>
      </c>
    </row>
    <row r="2343" spans="1:4" ht="51" x14ac:dyDescent="0.25">
      <c r="A2343" s="104">
        <v>100763</v>
      </c>
      <c r="B2343" s="105" t="s">
        <v>11127</v>
      </c>
      <c r="C2343" s="106" t="s">
        <v>57</v>
      </c>
      <c r="D2343" s="107">
        <v>9.3800000000000008</v>
      </c>
    </row>
    <row r="2344" spans="1:4" ht="51" x14ac:dyDescent="0.25">
      <c r="A2344" s="104">
        <v>100764</v>
      </c>
      <c r="B2344" s="105" t="s">
        <v>11128</v>
      </c>
      <c r="C2344" s="106" t="s">
        <v>57</v>
      </c>
      <c r="D2344" s="107">
        <v>9.32</v>
      </c>
    </row>
    <row r="2345" spans="1:4" ht="51" x14ac:dyDescent="0.25">
      <c r="A2345" s="106">
        <v>100765</v>
      </c>
      <c r="B2345" s="105" t="s">
        <v>11129</v>
      </c>
      <c r="C2345" s="106" t="s">
        <v>57</v>
      </c>
      <c r="D2345" s="107">
        <v>8.59</v>
      </c>
    </row>
    <row r="2346" spans="1:4" ht="51" x14ac:dyDescent="0.25">
      <c r="A2346" s="104">
        <v>100766</v>
      </c>
      <c r="B2346" s="105" t="s">
        <v>11130</v>
      </c>
      <c r="C2346" s="106" t="s">
        <v>57</v>
      </c>
      <c r="D2346" s="107">
        <v>8.7899999999999991</v>
      </c>
    </row>
    <row r="2347" spans="1:4" ht="51" x14ac:dyDescent="0.25">
      <c r="A2347" s="104">
        <v>100767</v>
      </c>
      <c r="B2347" s="105" t="s">
        <v>11131</v>
      </c>
      <c r="C2347" s="106" t="s">
        <v>57</v>
      </c>
      <c r="D2347" s="107">
        <v>9.07</v>
      </c>
    </row>
    <row r="2348" spans="1:4" ht="51" x14ac:dyDescent="0.25">
      <c r="A2348" s="104">
        <v>100768</v>
      </c>
      <c r="B2348" s="105" t="s">
        <v>11132</v>
      </c>
      <c r="C2348" s="106" t="s">
        <v>57</v>
      </c>
      <c r="D2348" s="107">
        <v>11.77</v>
      </c>
    </row>
    <row r="2349" spans="1:4" ht="51" x14ac:dyDescent="0.25">
      <c r="A2349" s="104">
        <v>100769</v>
      </c>
      <c r="B2349" s="105" t="s">
        <v>11133</v>
      </c>
      <c r="C2349" s="106" t="s">
        <v>57</v>
      </c>
      <c r="D2349" s="107">
        <v>14.07</v>
      </c>
    </row>
    <row r="2350" spans="1:4" ht="51" x14ac:dyDescent="0.25">
      <c r="A2350" s="104">
        <v>100770</v>
      </c>
      <c r="B2350" s="105" t="s">
        <v>11134</v>
      </c>
      <c r="C2350" s="106" t="s">
        <v>57</v>
      </c>
      <c r="D2350" s="107">
        <v>13.76</v>
      </c>
    </row>
    <row r="2351" spans="1:4" ht="51" x14ac:dyDescent="0.25">
      <c r="A2351" s="104">
        <v>100771</v>
      </c>
      <c r="B2351" s="105" t="s">
        <v>11135</v>
      </c>
      <c r="C2351" s="106" t="s">
        <v>57</v>
      </c>
      <c r="D2351" s="107">
        <v>15.64</v>
      </c>
    </row>
    <row r="2352" spans="1:4" ht="51" x14ac:dyDescent="0.25">
      <c r="A2352" s="104">
        <v>100772</v>
      </c>
      <c r="B2352" s="105" t="s">
        <v>11136</v>
      </c>
      <c r="C2352" s="106" t="s">
        <v>57</v>
      </c>
      <c r="D2352" s="107">
        <v>9.2100000000000009</v>
      </c>
    </row>
    <row r="2353" spans="1:4" ht="51" x14ac:dyDescent="0.25">
      <c r="A2353" s="104">
        <v>100773</v>
      </c>
      <c r="B2353" s="105" t="s">
        <v>11137</v>
      </c>
      <c r="C2353" s="106" t="s">
        <v>57</v>
      </c>
      <c r="D2353" s="107">
        <v>12.57</v>
      </c>
    </row>
    <row r="2354" spans="1:4" ht="51" x14ac:dyDescent="0.25">
      <c r="A2354" s="104">
        <v>100774</v>
      </c>
      <c r="B2354" s="105" t="s">
        <v>11138</v>
      </c>
      <c r="C2354" s="106" t="s">
        <v>57</v>
      </c>
      <c r="D2354" s="107">
        <v>6.68</v>
      </c>
    </row>
    <row r="2355" spans="1:4" ht="51" x14ac:dyDescent="0.25">
      <c r="A2355" s="104">
        <v>100775</v>
      </c>
      <c r="B2355" s="105" t="s">
        <v>11139</v>
      </c>
      <c r="C2355" s="106" t="s">
        <v>57</v>
      </c>
      <c r="D2355" s="107">
        <v>8.0299999999999994</v>
      </c>
    </row>
    <row r="2356" spans="1:4" ht="51" x14ac:dyDescent="0.25">
      <c r="A2356" s="104">
        <v>100776</v>
      </c>
      <c r="B2356" s="105" t="s">
        <v>11140</v>
      </c>
      <c r="C2356" s="106" t="s">
        <v>57</v>
      </c>
      <c r="D2356" s="107">
        <v>12.63</v>
      </c>
    </row>
    <row r="2357" spans="1:4" ht="51" x14ac:dyDescent="0.25">
      <c r="A2357" s="104">
        <v>100777</v>
      </c>
      <c r="B2357" s="105" t="s">
        <v>11141</v>
      </c>
      <c r="C2357" s="106" t="s">
        <v>57</v>
      </c>
      <c r="D2357" s="107">
        <v>8.73</v>
      </c>
    </row>
    <row r="2358" spans="1:4" ht="51" x14ac:dyDescent="0.25">
      <c r="A2358" s="104">
        <v>100778</v>
      </c>
      <c r="B2358" s="105" t="s">
        <v>11142</v>
      </c>
      <c r="C2358" s="106" t="s">
        <v>57</v>
      </c>
      <c r="D2358" s="107">
        <v>5.53</v>
      </c>
    </row>
    <row r="2359" spans="1:4" ht="25.5" x14ac:dyDescent="0.25">
      <c r="A2359" s="104">
        <v>98560</v>
      </c>
      <c r="B2359" s="105" t="s">
        <v>2685</v>
      </c>
      <c r="C2359" s="106" t="s">
        <v>8</v>
      </c>
      <c r="D2359" s="107">
        <v>32.04</v>
      </c>
    </row>
    <row r="2360" spans="1:4" ht="25.5" x14ac:dyDescent="0.25">
      <c r="A2360" s="104">
        <v>98561</v>
      </c>
      <c r="B2360" s="105" t="s">
        <v>2686</v>
      </c>
      <c r="C2360" s="106" t="s">
        <v>8</v>
      </c>
      <c r="D2360" s="107">
        <v>28.55</v>
      </c>
    </row>
    <row r="2361" spans="1:4" ht="38.25" x14ac:dyDescent="0.25">
      <c r="A2361" s="104">
        <v>98562</v>
      </c>
      <c r="B2361" s="105" t="s">
        <v>2687</v>
      </c>
      <c r="C2361" s="106" t="s">
        <v>8</v>
      </c>
      <c r="D2361" s="107">
        <v>28.38</v>
      </c>
    </row>
    <row r="2362" spans="1:4" ht="25.5" x14ac:dyDescent="0.25">
      <c r="A2362" s="104">
        <v>98555</v>
      </c>
      <c r="B2362" s="105" t="s">
        <v>2688</v>
      </c>
      <c r="C2362" s="106" t="s">
        <v>8</v>
      </c>
      <c r="D2362" s="107">
        <v>19.09</v>
      </c>
    </row>
    <row r="2363" spans="1:4" ht="38.25" x14ac:dyDescent="0.25">
      <c r="A2363" s="104">
        <v>98556</v>
      </c>
      <c r="B2363" s="105" t="s">
        <v>2689</v>
      </c>
      <c r="C2363" s="106" t="s">
        <v>8</v>
      </c>
      <c r="D2363" s="107">
        <v>35.65</v>
      </c>
    </row>
    <row r="2364" spans="1:4" ht="38.25" x14ac:dyDescent="0.25">
      <c r="A2364" s="104">
        <v>98558</v>
      </c>
      <c r="B2364" s="105" t="s">
        <v>2690</v>
      </c>
      <c r="C2364" s="106" t="s">
        <v>801</v>
      </c>
      <c r="D2364" s="107">
        <v>5.46</v>
      </c>
    </row>
    <row r="2365" spans="1:4" x14ac:dyDescent="0.25">
      <c r="A2365" s="104">
        <v>98559</v>
      </c>
      <c r="B2365" s="105" t="s">
        <v>2691</v>
      </c>
      <c r="C2365" s="106" t="s">
        <v>16</v>
      </c>
      <c r="D2365" s="107">
        <v>3.22</v>
      </c>
    </row>
    <row r="2366" spans="1:4" ht="38.25" x14ac:dyDescent="0.25">
      <c r="A2366" s="104">
        <v>98546</v>
      </c>
      <c r="B2366" s="105" t="s">
        <v>2692</v>
      </c>
      <c r="C2366" s="106" t="s">
        <v>8</v>
      </c>
      <c r="D2366" s="107">
        <v>74.349999999999994</v>
      </c>
    </row>
    <row r="2367" spans="1:4" ht="38.25" x14ac:dyDescent="0.25">
      <c r="A2367" s="104">
        <v>98547</v>
      </c>
      <c r="B2367" s="105" t="s">
        <v>2693</v>
      </c>
      <c r="C2367" s="106" t="s">
        <v>8</v>
      </c>
      <c r="D2367" s="107">
        <v>137.09</v>
      </c>
    </row>
    <row r="2368" spans="1:4" ht="25.5" x14ac:dyDescent="0.25">
      <c r="A2368" s="104">
        <v>98553</v>
      </c>
      <c r="B2368" s="105" t="s">
        <v>11143</v>
      </c>
      <c r="C2368" s="106" t="s">
        <v>8</v>
      </c>
      <c r="D2368" s="107">
        <v>94.29</v>
      </c>
    </row>
    <row r="2369" spans="1:4" ht="25.5" x14ac:dyDescent="0.25">
      <c r="A2369" s="104">
        <v>98554</v>
      </c>
      <c r="B2369" s="105" t="s">
        <v>11144</v>
      </c>
      <c r="C2369" s="106" t="s">
        <v>8</v>
      </c>
      <c r="D2369" s="107">
        <v>32.17</v>
      </c>
    </row>
    <row r="2370" spans="1:4" ht="25.5" x14ac:dyDescent="0.25">
      <c r="A2370" s="104">
        <v>98557</v>
      </c>
      <c r="B2370" s="105" t="s">
        <v>2694</v>
      </c>
      <c r="C2370" s="106" t="s">
        <v>8</v>
      </c>
      <c r="D2370" s="107">
        <v>23.61</v>
      </c>
    </row>
    <row r="2371" spans="1:4" ht="25.5" x14ac:dyDescent="0.25">
      <c r="A2371" s="104">
        <v>98563</v>
      </c>
      <c r="B2371" s="105" t="s">
        <v>2695</v>
      </c>
      <c r="C2371" s="106" t="s">
        <v>8</v>
      </c>
      <c r="D2371" s="107">
        <v>23.19</v>
      </c>
    </row>
    <row r="2372" spans="1:4" ht="25.5" x14ac:dyDescent="0.25">
      <c r="A2372" s="104">
        <v>98564</v>
      </c>
      <c r="B2372" s="105" t="s">
        <v>2696</v>
      </c>
      <c r="C2372" s="106" t="s">
        <v>8</v>
      </c>
      <c r="D2372" s="107">
        <v>32.67</v>
      </c>
    </row>
    <row r="2373" spans="1:4" ht="25.5" x14ac:dyDescent="0.25">
      <c r="A2373" s="106">
        <v>98565</v>
      </c>
      <c r="B2373" s="105" t="s">
        <v>2697</v>
      </c>
      <c r="C2373" s="106" t="s">
        <v>8</v>
      </c>
      <c r="D2373" s="107">
        <v>33.35</v>
      </c>
    </row>
    <row r="2374" spans="1:4" ht="25.5" x14ac:dyDescent="0.25">
      <c r="A2374" s="104">
        <v>98566</v>
      </c>
      <c r="B2374" s="105" t="s">
        <v>2698</v>
      </c>
      <c r="C2374" s="106" t="s">
        <v>8</v>
      </c>
      <c r="D2374" s="107">
        <v>42.82</v>
      </c>
    </row>
    <row r="2375" spans="1:4" ht="25.5" x14ac:dyDescent="0.25">
      <c r="A2375" s="104">
        <v>98567</v>
      </c>
      <c r="B2375" s="105" t="s">
        <v>2699</v>
      </c>
      <c r="C2375" s="106" t="s">
        <v>8</v>
      </c>
      <c r="D2375" s="107">
        <v>43.01</v>
      </c>
    </row>
    <row r="2376" spans="1:4" ht="25.5" x14ac:dyDescent="0.25">
      <c r="A2376" s="104">
        <v>98568</v>
      </c>
      <c r="B2376" s="105" t="s">
        <v>2700</v>
      </c>
      <c r="C2376" s="106" t="s">
        <v>8</v>
      </c>
      <c r="D2376" s="107">
        <v>52.48</v>
      </c>
    </row>
    <row r="2377" spans="1:4" ht="25.5" x14ac:dyDescent="0.25">
      <c r="A2377" s="104">
        <v>98569</v>
      </c>
      <c r="B2377" s="105" t="s">
        <v>2701</v>
      </c>
      <c r="C2377" s="106" t="s">
        <v>8</v>
      </c>
      <c r="D2377" s="107">
        <v>53.17</v>
      </c>
    </row>
    <row r="2378" spans="1:4" ht="25.5" x14ac:dyDescent="0.25">
      <c r="A2378" s="104">
        <v>98570</v>
      </c>
      <c r="B2378" s="105" t="s">
        <v>2702</v>
      </c>
      <c r="C2378" s="106" t="s">
        <v>8</v>
      </c>
      <c r="D2378" s="109">
        <v>62.66</v>
      </c>
    </row>
    <row r="2379" spans="1:4" ht="25.5" x14ac:dyDescent="0.25">
      <c r="A2379" s="104">
        <v>98571</v>
      </c>
      <c r="B2379" s="105" t="s">
        <v>2703</v>
      </c>
      <c r="C2379" s="106" t="s">
        <v>8</v>
      </c>
      <c r="D2379" s="109">
        <v>30.13</v>
      </c>
    </row>
    <row r="2380" spans="1:4" ht="25.5" x14ac:dyDescent="0.25">
      <c r="A2380" s="104">
        <v>98572</v>
      </c>
      <c r="B2380" s="105" t="s">
        <v>2704</v>
      </c>
      <c r="C2380" s="106" t="s">
        <v>8</v>
      </c>
      <c r="D2380" s="109">
        <v>37.119999999999997</v>
      </c>
    </row>
    <row r="2381" spans="1:4" ht="25.5" x14ac:dyDescent="0.25">
      <c r="A2381" s="104">
        <v>98573</v>
      </c>
      <c r="B2381" s="105" t="s">
        <v>2705</v>
      </c>
      <c r="C2381" s="106" t="s">
        <v>8</v>
      </c>
      <c r="D2381" s="109">
        <v>46.33</v>
      </c>
    </row>
    <row r="2382" spans="1:4" ht="38.25" x14ac:dyDescent="0.25">
      <c r="A2382" s="104">
        <v>91831</v>
      </c>
      <c r="B2382" s="105" t="s">
        <v>2706</v>
      </c>
      <c r="C2382" s="106" t="s">
        <v>16</v>
      </c>
      <c r="D2382" s="109">
        <v>5.43</v>
      </c>
    </row>
    <row r="2383" spans="1:4" ht="38.25" x14ac:dyDescent="0.25">
      <c r="A2383" s="104">
        <v>91833</v>
      </c>
      <c r="B2383" s="105" t="s">
        <v>2707</v>
      </c>
      <c r="C2383" s="106" t="s">
        <v>16</v>
      </c>
      <c r="D2383" s="109">
        <v>5.73</v>
      </c>
    </row>
    <row r="2384" spans="1:4" ht="38.25" x14ac:dyDescent="0.25">
      <c r="A2384" s="104">
        <v>91834</v>
      </c>
      <c r="B2384" s="105" t="s">
        <v>2708</v>
      </c>
      <c r="C2384" s="106" t="s">
        <v>16</v>
      </c>
      <c r="D2384" s="109">
        <v>6.03</v>
      </c>
    </row>
    <row r="2385" spans="1:4" ht="38.25" x14ac:dyDescent="0.25">
      <c r="A2385" s="104">
        <v>91835</v>
      </c>
      <c r="B2385" s="105" t="s">
        <v>2709</v>
      </c>
      <c r="C2385" s="106" t="s">
        <v>16</v>
      </c>
      <c r="D2385" s="109">
        <v>6.84</v>
      </c>
    </row>
    <row r="2386" spans="1:4" ht="38.25" x14ac:dyDescent="0.25">
      <c r="A2386" s="104">
        <v>91836</v>
      </c>
      <c r="B2386" s="105" t="s">
        <v>2710</v>
      </c>
      <c r="C2386" s="106" t="s">
        <v>16</v>
      </c>
      <c r="D2386" s="109">
        <v>7.79</v>
      </c>
    </row>
    <row r="2387" spans="1:4" ht="38.25" x14ac:dyDescent="0.25">
      <c r="A2387" s="104">
        <v>91837</v>
      </c>
      <c r="B2387" s="105" t="s">
        <v>2711</v>
      </c>
      <c r="C2387" s="106" t="s">
        <v>16</v>
      </c>
      <c r="D2387" s="109">
        <v>9.68</v>
      </c>
    </row>
    <row r="2388" spans="1:4" ht="38.25" x14ac:dyDescent="0.25">
      <c r="A2388" s="104">
        <v>91839</v>
      </c>
      <c r="B2388" s="105" t="s">
        <v>2712</v>
      </c>
      <c r="C2388" s="106" t="s">
        <v>16</v>
      </c>
      <c r="D2388" s="109">
        <v>7.43</v>
      </c>
    </row>
    <row r="2389" spans="1:4" ht="38.25" x14ac:dyDescent="0.25">
      <c r="A2389" s="104">
        <v>91840</v>
      </c>
      <c r="B2389" s="105" t="s">
        <v>2713</v>
      </c>
      <c r="C2389" s="106" t="s">
        <v>16</v>
      </c>
      <c r="D2389" s="109">
        <v>9.36</v>
      </c>
    </row>
    <row r="2390" spans="1:4" ht="38.25" x14ac:dyDescent="0.25">
      <c r="A2390" s="104">
        <v>91841</v>
      </c>
      <c r="B2390" s="105" t="s">
        <v>2714</v>
      </c>
      <c r="C2390" s="106" t="s">
        <v>16</v>
      </c>
      <c r="D2390" s="109">
        <v>8.83</v>
      </c>
    </row>
    <row r="2391" spans="1:4" ht="38.25" x14ac:dyDescent="0.25">
      <c r="A2391" s="104">
        <v>91842</v>
      </c>
      <c r="B2391" s="105" t="s">
        <v>2715</v>
      </c>
      <c r="C2391" s="106" t="s">
        <v>16</v>
      </c>
      <c r="D2391" s="109">
        <v>3.8</v>
      </c>
    </row>
    <row r="2392" spans="1:4" ht="38.25" x14ac:dyDescent="0.25">
      <c r="A2392" s="104">
        <v>91843</v>
      </c>
      <c r="B2392" s="105" t="s">
        <v>2716</v>
      </c>
      <c r="C2392" s="106" t="s">
        <v>16</v>
      </c>
      <c r="D2392" s="109">
        <v>4.0999999999999996</v>
      </c>
    </row>
    <row r="2393" spans="1:4" ht="38.25" x14ac:dyDescent="0.25">
      <c r="A2393" s="104">
        <v>91844</v>
      </c>
      <c r="B2393" s="105" t="s">
        <v>346</v>
      </c>
      <c r="C2393" s="106" t="s">
        <v>16</v>
      </c>
      <c r="D2393" s="109">
        <v>4.3899999999999997</v>
      </c>
    </row>
    <row r="2394" spans="1:4" ht="38.25" x14ac:dyDescent="0.25">
      <c r="A2394" s="104">
        <v>91845</v>
      </c>
      <c r="B2394" s="105" t="s">
        <v>2717</v>
      </c>
      <c r="C2394" s="106" t="s">
        <v>16</v>
      </c>
      <c r="D2394" s="107">
        <v>5.2</v>
      </c>
    </row>
    <row r="2395" spans="1:4" ht="38.25" x14ac:dyDescent="0.25">
      <c r="A2395" s="104">
        <v>91846</v>
      </c>
      <c r="B2395" s="105" t="s">
        <v>347</v>
      </c>
      <c r="C2395" s="106" t="s">
        <v>16</v>
      </c>
      <c r="D2395" s="107">
        <v>6.16</v>
      </c>
    </row>
    <row r="2396" spans="1:4" ht="38.25" x14ac:dyDescent="0.25">
      <c r="A2396" s="104">
        <v>91847</v>
      </c>
      <c r="B2396" s="105" t="s">
        <v>2718</v>
      </c>
      <c r="C2396" s="106" t="s">
        <v>16</v>
      </c>
      <c r="D2396" s="107">
        <v>8.0500000000000007</v>
      </c>
    </row>
    <row r="2397" spans="1:4" ht="38.25" x14ac:dyDescent="0.25">
      <c r="A2397" s="104">
        <v>91849</v>
      </c>
      <c r="B2397" s="105" t="s">
        <v>2719</v>
      </c>
      <c r="C2397" s="106" t="s">
        <v>16</v>
      </c>
      <c r="D2397" s="107">
        <v>5.8</v>
      </c>
    </row>
    <row r="2398" spans="1:4" ht="38.25" x14ac:dyDescent="0.25">
      <c r="A2398" s="104">
        <v>91850</v>
      </c>
      <c r="B2398" s="105" t="s">
        <v>2720</v>
      </c>
      <c r="C2398" s="106" t="s">
        <v>16</v>
      </c>
      <c r="D2398" s="107">
        <v>7.77</v>
      </c>
    </row>
    <row r="2399" spans="1:4" ht="38.25" x14ac:dyDescent="0.25">
      <c r="A2399" s="104">
        <v>91851</v>
      </c>
      <c r="B2399" s="105" t="s">
        <v>2721</v>
      </c>
      <c r="C2399" s="106" t="s">
        <v>16</v>
      </c>
      <c r="D2399" s="107">
        <v>7.24</v>
      </c>
    </row>
    <row r="2400" spans="1:4" ht="38.25" x14ac:dyDescent="0.25">
      <c r="A2400" s="104">
        <v>91852</v>
      </c>
      <c r="B2400" s="105" t="s">
        <v>2722</v>
      </c>
      <c r="C2400" s="106" t="s">
        <v>16</v>
      </c>
      <c r="D2400" s="107">
        <v>5.53</v>
      </c>
    </row>
    <row r="2401" spans="1:4" ht="38.25" x14ac:dyDescent="0.25">
      <c r="A2401" s="104">
        <v>91853</v>
      </c>
      <c r="B2401" s="105" t="s">
        <v>2723</v>
      </c>
      <c r="C2401" s="106" t="s">
        <v>16</v>
      </c>
      <c r="D2401" s="107">
        <v>5.81</v>
      </c>
    </row>
    <row r="2402" spans="1:4" ht="38.25" x14ac:dyDescent="0.25">
      <c r="A2402" s="104">
        <v>91854</v>
      </c>
      <c r="B2402" s="105" t="s">
        <v>331</v>
      </c>
      <c r="C2402" s="106" t="s">
        <v>16</v>
      </c>
      <c r="D2402" s="107">
        <v>6.12</v>
      </c>
    </row>
    <row r="2403" spans="1:4" ht="38.25" x14ac:dyDescent="0.25">
      <c r="A2403" s="104">
        <v>91855</v>
      </c>
      <c r="B2403" s="105" t="s">
        <v>2724</v>
      </c>
      <c r="C2403" s="106" t="s">
        <v>16</v>
      </c>
      <c r="D2403" s="107">
        <v>6.87</v>
      </c>
    </row>
    <row r="2404" spans="1:4" ht="38.25" x14ac:dyDescent="0.25">
      <c r="A2404" s="104">
        <v>91856</v>
      </c>
      <c r="B2404" s="105" t="s">
        <v>2725</v>
      </c>
      <c r="C2404" s="106" t="s">
        <v>16</v>
      </c>
      <c r="D2404" s="107">
        <v>7.81</v>
      </c>
    </row>
    <row r="2405" spans="1:4" ht="38.25" x14ac:dyDescent="0.25">
      <c r="A2405" s="104">
        <v>91857</v>
      </c>
      <c r="B2405" s="105" t="s">
        <v>2726</v>
      </c>
      <c r="C2405" s="106" t="s">
        <v>16</v>
      </c>
      <c r="D2405" s="107">
        <v>9.56</v>
      </c>
    </row>
    <row r="2406" spans="1:4" ht="38.25" x14ac:dyDescent="0.25">
      <c r="A2406" s="104">
        <v>91859</v>
      </c>
      <c r="B2406" s="105" t="s">
        <v>2727</v>
      </c>
      <c r="C2406" s="106" t="s">
        <v>16</v>
      </c>
      <c r="D2406" s="107">
        <v>7.48</v>
      </c>
    </row>
    <row r="2407" spans="1:4" ht="38.25" x14ac:dyDescent="0.25">
      <c r="A2407" s="104">
        <v>91860</v>
      </c>
      <c r="B2407" s="105" t="s">
        <v>2728</v>
      </c>
      <c r="C2407" s="106" t="s">
        <v>16</v>
      </c>
      <c r="D2407" s="107">
        <v>9.35</v>
      </c>
    </row>
    <row r="2408" spans="1:4" ht="38.25" x14ac:dyDescent="0.25">
      <c r="A2408" s="104">
        <v>91861</v>
      </c>
      <c r="B2408" s="105" t="s">
        <v>2729</v>
      </c>
      <c r="C2408" s="106" t="s">
        <v>16</v>
      </c>
      <c r="D2408" s="107">
        <v>8.86</v>
      </c>
    </row>
    <row r="2409" spans="1:4" ht="38.25" x14ac:dyDescent="0.25">
      <c r="A2409" s="104">
        <v>91862</v>
      </c>
      <c r="B2409" s="105" t="s">
        <v>2730</v>
      </c>
      <c r="C2409" s="106" t="s">
        <v>16</v>
      </c>
      <c r="D2409" s="107">
        <v>6.51</v>
      </c>
    </row>
    <row r="2410" spans="1:4" ht="38.25" x14ac:dyDescent="0.25">
      <c r="A2410" s="104">
        <v>91863</v>
      </c>
      <c r="B2410" s="105" t="s">
        <v>2731</v>
      </c>
      <c r="C2410" s="106" t="s">
        <v>16</v>
      </c>
      <c r="D2410" s="107">
        <v>7.59</v>
      </c>
    </row>
    <row r="2411" spans="1:4" ht="38.25" x14ac:dyDescent="0.25">
      <c r="A2411" s="104">
        <v>91864</v>
      </c>
      <c r="B2411" s="105" t="s">
        <v>2732</v>
      </c>
      <c r="C2411" s="106" t="s">
        <v>16</v>
      </c>
      <c r="D2411" s="107">
        <v>9.91</v>
      </c>
    </row>
    <row r="2412" spans="1:4" ht="38.25" x14ac:dyDescent="0.25">
      <c r="A2412" s="104">
        <v>91865</v>
      </c>
      <c r="B2412" s="105" t="s">
        <v>2733</v>
      </c>
      <c r="C2412" s="106" t="s">
        <v>16</v>
      </c>
      <c r="D2412" s="107">
        <v>12.25</v>
      </c>
    </row>
    <row r="2413" spans="1:4" ht="38.25" x14ac:dyDescent="0.25">
      <c r="A2413" s="104">
        <v>91866</v>
      </c>
      <c r="B2413" s="105" t="s">
        <v>2734</v>
      </c>
      <c r="C2413" s="106" t="s">
        <v>16</v>
      </c>
      <c r="D2413" s="107">
        <v>4.97</v>
      </c>
    </row>
    <row r="2414" spans="1:4" ht="38.25" x14ac:dyDescent="0.25">
      <c r="A2414" s="104">
        <v>91867</v>
      </c>
      <c r="B2414" s="105" t="s">
        <v>2735</v>
      </c>
      <c r="C2414" s="106" t="s">
        <v>16</v>
      </c>
      <c r="D2414" s="107">
        <v>6.06</v>
      </c>
    </row>
    <row r="2415" spans="1:4" ht="38.25" x14ac:dyDescent="0.25">
      <c r="A2415" s="104">
        <v>91868</v>
      </c>
      <c r="B2415" s="105" t="s">
        <v>2736</v>
      </c>
      <c r="C2415" s="106" t="s">
        <v>16</v>
      </c>
      <c r="D2415" s="107">
        <v>8.3800000000000008</v>
      </c>
    </row>
    <row r="2416" spans="1:4" ht="38.25" x14ac:dyDescent="0.25">
      <c r="A2416" s="104">
        <v>91869</v>
      </c>
      <c r="B2416" s="105" t="s">
        <v>2737</v>
      </c>
      <c r="C2416" s="106" t="s">
        <v>16</v>
      </c>
      <c r="D2416" s="107">
        <v>10.72</v>
      </c>
    </row>
    <row r="2417" spans="1:4" ht="38.25" x14ac:dyDescent="0.25">
      <c r="A2417" s="104">
        <v>91870</v>
      </c>
      <c r="B2417" s="105" t="s">
        <v>2738</v>
      </c>
      <c r="C2417" s="106" t="s">
        <v>16</v>
      </c>
      <c r="D2417" s="107">
        <v>7.14</v>
      </c>
    </row>
    <row r="2418" spans="1:4" ht="38.25" x14ac:dyDescent="0.25">
      <c r="A2418" s="104">
        <v>91871</v>
      </c>
      <c r="B2418" s="105" t="s">
        <v>220</v>
      </c>
      <c r="C2418" s="106" t="s">
        <v>16</v>
      </c>
      <c r="D2418" s="107">
        <v>8.26</v>
      </c>
    </row>
    <row r="2419" spans="1:4" ht="38.25" x14ac:dyDescent="0.25">
      <c r="A2419" s="104">
        <v>91872</v>
      </c>
      <c r="B2419" s="105" t="s">
        <v>221</v>
      </c>
      <c r="C2419" s="106" t="s">
        <v>16</v>
      </c>
      <c r="D2419" s="107">
        <v>10.59</v>
      </c>
    </row>
    <row r="2420" spans="1:4" ht="38.25" x14ac:dyDescent="0.25">
      <c r="A2420" s="104">
        <v>91873</v>
      </c>
      <c r="B2420" s="105" t="s">
        <v>2739</v>
      </c>
      <c r="C2420" s="106" t="s">
        <v>16</v>
      </c>
      <c r="D2420" s="107">
        <v>12.88</v>
      </c>
    </row>
    <row r="2421" spans="1:4" ht="25.5" x14ac:dyDescent="0.25">
      <c r="A2421" s="104">
        <v>93008</v>
      </c>
      <c r="B2421" s="105" t="s">
        <v>2740</v>
      </c>
      <c r="C2421" s="106" t="s">
        <v>16</v>
      </c>
      <c r="D2421" s="107">
        <v>10.38</v>
      </c>
    </row>
    <row r="2422" spans="1:4" ht="25.5" x14ac:dyDescent="0.25">
      <c r="A2422" s="104">
        <v>93009</v>
      </c>
      <c r="B2422" s="105" t="s">
        <v>2741</v>
      </c>
      <c r="C2422" s="106" t="s">
        <v>16</v>
      </c>
      <c r="D2422" s="107">
        <v>15.21</v>
      </c>
    </row>
    <row r="2423" spans="1:4" ht="25.5" x14ac:dyDescent="0.25">
      <c r="A2423" s="104">
        <v>93010</v>
      </c>
      <c r="B2423" s="105" t="s">
        <v>2742</v>
      </c>
      <c r="C2423" s="106" t="s">
        <v>16</v>
      </c>
      <c r="D2423" s="107">
        <v>21.07</v>
      </c>
    </row>
    <row r="2424" spans="1:4" ht="25.5" x14ac:dyDescent="0.25">
      <c r="A2424" s="104">
        <v>93011</v>
      </c>
      <c r="B2424" s="105" t="s">
        <v>2743</v>
      </c>
      <c r="C2424" s="106" t="s">
        <v>16</v>
      </c>
      <c r="D2424" s="107">
        <v>25.72</v>
      </c>
    </row>
    <row r="2425" spans="1:4" ht="25.5" x14ac:dyDescent="0.25">
      <c r="A2425" s="104">
        <v>93012</v>
      </c>
      <c r="B2425" s="105" t="s">
        <v>2744</v>
      </c>
      <c r="C2425" s="106" t="s">
        <v>16</v>
      </c>
      <c r="D2425" s="107">
        <v>38.68</v>
      </c>
    </row>
    <row r="2426" spans="1:4" ht="25.5" x14ac:dyDescent="0.25">
      <c r="A2426" s="106">
        <v>95726</v>
      </c>
      <c r="B2426" s="105" t="s">
        <v>2745</v>
      </c>
      <c r="C2426" s="106" t="s">
        <v>16</v>
      </c>
      <c r="D2426" s="107">
        <v>4.5199999999999996</v>
      </c>
    </row>
    <row r="2427" spans="1:4" ht="25.5" x14ac:dyDescent="0.25">
      <c r="A2427" s="104">
        <v>95727</v>
      </c>
      <c r="B2427" s="105" t="s">
        <v>2746</v>
      </c>
      <c r="C2427" s="106" t="s">
        <v>16</v>
      </c>
      <c r="D2427" s="107">
        <v>5.1100000000000003</v>
      </c>
    </row>
    <row r="2428" spans="1:4" ht="25.5" x14ac:dyDescent="0.25">
      <c r="A2428" s="104">
        <v>95728</v>
      </c>
      <c r="B2428" s="105" t="s">
        <v>2747</v>
      </c>
      <c r="C2428" s="106" t="s">
        <v>16</v>
      </c>
      <c r="D2428" s="107">
        <v>6.38</v>
      </c>
    </row>
    <row r="2429" spans="1:4" ht="38.25" x14ac:dyDescent="0.25">
      <c r="A2429" s="106">
        <v>95729</v>
      </c>
      <c r="B2429" s="105" t="s">
        <v>2748</v>
      </c>
      <c r="C2429" s="106" t="s">
        <v>16</v>
      </c>
      <c r="D2429" s="107">
        <v>5.92</v>
      </c>
    </row>
    <row r="2430" spans="1:4" ht="38.25" x14ac:dyDescent="0.25">
      <c r="A2430" s="106">
        <v>95730</v>
      </c>
      <c r="B2430" s="105" t="s">
        <v>2749</v>
      </c>
      <c r="C2430" s="106" t="s">
        <v>16</v>
      </c>
      <c r="D2430" s="107">
        <v>6.52</v>
      </c>
    </row>
    <row r="2431" spans="1:4" ht="38.25" x14ac:dyDescent="0.25">
      <c r="A2431" s="106">
        <v>95731</v>
      </c>
      <c r="B2431" s="105" t="s">
        <v>2750</v>
      </c>
      <c r="C2431" s="106" t="s">
        <v>16</v>
      </c>
      <c r="D2431" s="107">
        <v>7.78</v>
      </c>
    </row>
    <row r="2432" spans="1:4" ht="25.5" x14ac:dyDescent="0.25">
      <c r="A2432" s="104">
        <v>95732</v>
      </c>
      <c r="B2432" s="105" t="s">
        <v>2751</v>
      </c>
      <c r="C2432" s="106" t="s">
        <v>801</v>
      </c>
      <c r="D2432" s="107">
        <v>3.28</v>
      </c>
    </row>
    <row r="2433" spans="1:4" ht="38.25" x14ac:dyDescent="0.25">
      <c r="A2433" s="106">
        <v>95745</v>
      </c>
      <c r="B2433" s="105" t="s">
        <v>2752</v>
      </c>
      <c r="C2433" s="106" t="s">
        <v>16</v>
      </c>
      <c r="D2433" s="107">
        <v>16.32</v>
      </c>
    </row>
    <row r="2434" spans="1:4" ht="38.25" x14ac:dyDescent="0.25">
      <c r="A2434" s="106">
        <v>95746</v>
      </c>
      <c r="B2434" s="105" t="s">
        <v>228</v>
      </c>
      <c r="C2434" s="106" t="s">
        <v>16</v>
      </c>
      <c r="D2434" s="107">
        <v>20.28</v>
      </c>
    </row>
    <row r="2435" spans="1:4" ht="38.25" x14ac:dyDescent="0.25">
      <c r="A2435" s="104">
        <v>95747</v>
      </c>
      <c r="B2435" s="105" t="s">
        <v>2753</v>
      </c>
      <c r="C2435" s="106" t="s">
        <v>16</v>
      </c>
      <c r="D2435" s="107">
        <v>33.86</v>
      </c>
    </row>
    <row r="2436" spans="1:4" ht="38.25" x14ac:dyDescent="0.25">
      <c r="A2436" s="106">
        <v>95748</v>
      </c>
      <c r="B2436" s="105" t="s">
        <v>2754</v>
      </c>
      <c r="C2436" s="106" t="s">
        <v>16</v>
      </c>
      <c r="D2436" s="107">
        <v>36.409999999999997</v>
      </c>
    </row>
    <row r="2437" spans="1:4" ht="38.25" x14ac:dyDescent="0.25">
      <c r="A2437" s="106">
        <v>95749</v>
      </c>
      <c r="B2437" s="105" t="s">
        <v>386</v>
      </c>
      <c r="C2437" s="106" t="s">
        <v>16</v>
      </c>
      <c r="D2437" s="107">
        <v>20.85</v>
      </c>
    </row>
    <row r="2438" spans="1:4" ht="38.25" x14ac:dyDescent="0.25">
      <c r="A2438" s="104">
        <v>95750</v>
      </c>
      <c r="B2438" s="105" t="s">
        <v>330</v>
      </c>
      <c r="C2438" s="106" t="s">
        <v>16</v>
      </c>
      <c r="D2438" s="107">
        <v>24.71</v>
      </c>
    </row>
    <row r="2439" spans="1:4" ht="38.25" x14ac:dyDescent="0.25">
      <c r="A2439" s="104">
        <v>95751</v>
      </c>
      <c r="B2439" s="105" t="s">
        <v>2755</v>
      </c>
      <c r="C2439" s="106" t="s">
        <v>16</v>
      </c>
      <c r="D2439" s="107">
        <v>38.14</v>
      </c>
    </row>
    <row r="2440" spans="1:4" ht="38.25" x14ac:dyDescent="0.25">
      <c r="A2440" s="104">
        <v>95752</v>
      </c>
      <c r="B2440" s="105" t="s">
        <v>2756</v>
      </c>
      <c r="C2440" s="106" t="s">
        <v>16</v>
      </c>
      <c r="D2440" s="107">
        <v>40.549999999999997</v>
      </c>
    </row>
    <row r="2441" spans="1:4" ht="25.5" x14ac:dyDescent="0.25">
      <c r="A2441" s="104">
        <v>97667</v>
      </c>
      <c r="B2441" s="105" t="s">
        <v>2757</v>
      </c>
      <c r="C2441" s="106" t="s">
        <v>16</v>
      </c>
      <c r="D2441" s="107">
        <v>6</v>
      </c>
    </row>
    <row r="2442" spans="1:4" ht="25.5" x14ac:dyDescent="0.25">
      <c r="A2442" s="104">
        <v>97668</v>
      </c>
      <c r="B2442" s="105" t="s">
        <v>2758</v>
      </c>
      <c r="C2442" s="106" t="s">
        <v>16</v>
      </c>
      <c r="D2442" s="107">
        <v>9.15</v>
      </c>
    </row>
    <row r="2443" spans="1:4" ht="25.5" x14ac:dyDescent="0.25">
      <c r="A2443" s="104">
        <v>97669</v>
      </c>
      <c r="B2443" s="105" t="s">
        <v>2759</v>
      </c>
      <c r="C2443" s="106" t="s">
        <v>16</v>
      </c>
      <c r="D2443" s="107">
        <v>14.43</v>
      </c>
    </row>
    <row r="2444" spans="1:4" ht="25.5" x14ac:dyDescent="0.25">
      <c r="A2444" s="104">
        <v>97670</v>
      </c>
      <c r="B2444" s="105" t="s">
        <v>2760</v>
      </c>
      <c r="C2444" s="106" t="s">
        <v>16</v>
      </c>
      <c r="D2444" s="107">
        <v>18.690000000000001</v>
      </c>
    </row>
    <row r="2445" spans="1:4" ht="38.25" x14ac:dyDescent="0.25">
      <c r="A2445" s="104">
        <v>91874</v>
      </c>
      <c r="B2445" s="105" t="s">
        <v>2761</v>
      </c>
      <c r="C2445" s="106" t="s">
        <v>801</v>
      </c>
      <c r="D2445" s="107">
        <v>3.26</v>
      </c>
    </row>
    <row r="2446" spans="1:4" ht="38.25" x14ac:dyDescent="0.25">
      <c r="A2446" s="104">
        <v>91875</v>
      </c>
      <c r="B2446" s="105" t="s">
        <v>2762</v>
      </c>
      <c r="C2446" s="106" t="s">
        <v>801</v>
      </c>
      <c r="D2446" s="107">
        <v>4.32</v>
      </c>
    </row>
    <row r="2447" spans="1:4" ht="38.25" x14ac:dyDescent="0.25">
      <c r="A2447" s="104">
        <v>91876</v>
      </c>
      <c r="B2447" s="105" t="s">
        <v>2763</v>
      </c>
      <c r="C2447" s="106" t="s">
        <v>801</v>
      </c>
      <c r="D2447" s="107">
        <v>5.7</v>
      </c>
    </row>
    <row r="2448" spans="1:4" ht="38.25" x14ac:dyDescent="0.25">
      <c r="A2448" s="104">
        <v>91877</v>
      </c>
      <c r="B2448" s="105" t="s">
        <v>2764</v>
      </c>
      <c r="C2448" s="106" t="s">
        <v>801</v>
      </c>
      <c r="D2448" s="107">
        <v>7.55</v>
      </c>
    </row>
    <row r="2449" spans="1:4" ht="38.25" x14ac:dyDescent="0.25">
      <c r="A2449" s="106">
        <v>91878</v>
      </c>
      <c r="B2449" s="105" t="s">
        <v>2765</v>
      </c>
      <c r="C2449" s="106" t="s">
        <v>801</v>
      </c>
      <c r="D2449" s="107">
        <v>4.21</v>
      </c>
    </row>
    <row r="2450" spans="1:4" ht="38.25" x14ac:dyDescent="0.25">
      <c r="A2450" s="106">
        <v>91879</v>
      </c>
      <c r="B2450" s="105" t="s">
        <v>2766</v>
      </c>
      <c r="C2450" s="106" t="s">
        <v>801</v>
      </c>
      <c r="D2450" s="107">
        <v>5.24</v>
      </c>
    </row>
    <row r="2451" spans="1:4" ht="38.25" x14ac:dyDescent="0.25">
      <c r="A2451" s="104">
        <v>91880</v>
      </c>
      <c r="B2451" s="105" t="s">
        <v>2767</v>
      </c>
      <c r="C2451" s="106" t="s">
        <v>801</v>
      </c>
      <c r="D2451" s="107">
        <v>6.64</v>
      </c>
    </row>
    <row r="2452" spans="1:4" ht="38.25" x14ac:dyDescent="0.25">
      <c r="A2452" s="104">
        <v>91881</v>
      </c>
      <c r="B2452" s="105" t="s">
        <v>2768</v>
      </c>
      <c r="C2452" s="106" t="s">
        <v>801</v>
      </c>
      <c r="D2452" s="107">
        <v>8.49</v>
      </c>
    </row>
    <row r="2453" spans="1:4" ht="38.25" x14ac:dyDescent="0.25">
      <c r="A2453" s="104">
        <v>91882</v>
      </c>
      <c r="B2453" s="105" t="s">
        <v>2769</v>
      </c>
      <c r="C2453" s="106" t="s">
        <v>801</v>
      </c>
      <c r="D2453" s="107">
        <v>5.22</v>
      </c>
    </row>
    <row r="2454" spans="1:4" ht="38.25" x14ac:dyDescent="0.25">
      <c r="A2454" s="104">
        <v>91884</v>
      </c>
      <c r="B2454" s="105" t="s">
        <v>222</v>
      </c>
      <c r="C2454" s="106" t="s">
        <v>801</v>
      </c>
      <c r="D2454" s="107">
        <v>6.02</v>
      </c>
    </row>
    <row r="2455" spans="1:4" ht="38.25" x14ac:dyDescent="0.25">
      <c r="A2455" s="104">
        <v>91885</v>
      </c>
      <c r="B2455" s="105" t="s">
        <v>223</v>
      </c>
      <c r="C2455" s="106" t="s">
        <v>801</v>
      </c>
      <c r="D2455" s="107">
        <v>7.1</v>
      </c>
    </row>
    <row r="2456" spans="1:4" ht="38.25" x14ac:dyDescent="0.25">
      <c r="A2456" s="104">
        <v>91886</v>
      </c>
      <c r="B2456" s="105" t="s">
        <v>2770</v>
      </c>
      <c r="C2456" s="106" t="s">
        <v>801</v>
      </c>
      <c r="D2456" s="107">
        <v>8.6</v>
      </c>
    </row>
    <row r="2457" spans="1:4" ht="38.25" x14ac:dyDescent="0.25">
      <c r="A2457" s="104">
        <v>91887</v>
      </c>
      <c r="B2457" s="105" t="s">
        <v>2771</v>
      </c>
      <c r="C2457" s="106" t="s">
        <v>801</v>
      </c>
      <c r="D2457" s="107">
        <v>5.97</v>
      </c>
    </row>
    <row r="2458" spans="1:4" ht="38.25" x14ac:dyDescent="0.25">
      <c r="A2458" s="104">
        <v>91889</v>
      </c>
      <c r="B2458" s="105" t="s">
        <v>2772</v>
      </c>
      <c r="C2458" s="106" t="s">
        <v>801</v>
      </c>
      <c r="D2458" s="107">
        <v>5.76</v>
      </c>
    </row>
    <row r="2459" spans="1:4" ht="38.25" x14ac:dyDescent="0.25">
      <c r="A2459" s="104">
        <v>91890</v>
      </c>
      <c r="B2459" s="105" t="s">
        <v>2773</v>
      </c>
      <c r="C2459" s="106" t="s">
        <v>801</v>
      </c>
      <c r="D2459" s="107">
        <v>7.14</v>
      </c>
    </row>
    <row r="2460" spans="1:4" ht="38.25" x14ac:dyDescent="0.25">
      <c r="A2460" s="104">
        <v>91892</v>
      </c>
      <c r="B2460" s="105" t="s">
        <v>2774</v>
      </c>
      <c r="C2460" s="106" t="s">
        <v>801</v>
      </c>
      <c r="D2460" s="107">
        <v>8.51</v>
      </c>
    </row>
    <row r="2461" spans="1:4" ht="38.25" x14ac:dyDescent="0.25">
      <c r="A2461" s="104">
        <v>91893</v>
      </c>
      <c r="B2461" s="105" t="s">
        <v>2775</v>
      </c>
      <c r="C2461" s="106" t="s">
        <v>801</v>
      </c>
      <c r="D2461" s="107">
        <v>9.73</v>
      </c>
    </row>
    <row r="2462" spans="1:4" ht="38.25" x14ac:dyDescent="0.25">
      <c r="A2462" s="104">
        <v>91895</v>
      </c>
      <c r="B2462" s="105" t="s">
        <v>2776</v>
      </c>
      <c r="C2462" s="106" t="s">
        <v>801</v>
      </c>
      <c r="D2462" s="107">
        <v>11.12</v>
      </c>
    </row>
    <row r="2463" spans="1:4" ht="38.25" x14ac:dyDescent="0.25">
      <c r="A2463" s="104">
        <v>91896</v>
      </c>
      <c r="B2463" s="105" t="s">
        <v>2777</v>
      </c>
      <c r="C2463" s="106" t="s">
        <v>801</v>
      </c>
      <c r="D2463" s="107">
        <v>11.9</v>
      </c>
    </row>
    <row r="2464" spans="1:4" ht="38.25" x14ac:dyDescent="0.25">
      <c r="A2464" s="104">
        <v>91898</v>
      </c>
      <c r="B2464" s="105" t="s">
        <v>2778</v>
      </c>
      <c r="C2464" s="106" t="s">
        <v>801</v>
      </c>
      <c r="D2464" s="107">
        <v>13.39</v>
      </c>
    </row>
    <row r="2465" spans="1:4" ht="38.25" x14ac:dyDescent="0.25">
      <c r="A2465" s="104">
        <v>91899</v>
      </c>
      <c r="B2465" s="105" t="s">
        <v>2779</v>
      </c>
      <c r="C2465" s="106" t="s">
        <v>801</v>
      </c>
      <c r="D2465" s="107">
        <v>7.34</v>
      </c>
    </row>
    <row r="2466" spans="1:4" ht="38.25" x14ac:dyDescent="0.25">
      <c r="A2466" s="104">
        <v>91901</v>
      </c>
      <c r="B2466" s="105" t="s">
        <v>2780</v>
      </c>
      <c r="C2466" s="106" t="s">
        <v>801</v>
      </c>
      <c r="D2466" s="107">
        <v>7.13</v>
      </c>
    </row>
    <row r="2467" spans="1:4" ht="38.25" x14ac:dyDescent="0.25">
      <c r="A2467" s="104">
        <v>91902</v>
      </c>
      <c r="B2467" s="105" t="s">
        <v>2781</v>
      </c>
      <c r="C2467" s="106" t="s">
        <v>801</v>
      </c>
      <c r="D2467" s="107">
        <v>8.51</v>
      </c>
    </row>
    <row r="2468" spans="1:4" ht="38.25" x14ac:dyDescent="0.25">
      <c r="A2468" s="104">
        <v>91904</v>
      </c>
      <c r="B2468" s="105" t="s">
        <v>2782</v>
      </c>
      <c r="C2468" s="106" t="s">
        <v>801</v>
      </c>
      <c r="D2468" s="107">
        <v>9.8800000000000008</v>
      </c>
    </row>
    <row r="2469" spans="1:4" ht="38.25" x14ac:dyDescent="0.25">
      <c r="A2469" s="104">
        <v>91905</v>
      </c>
      <c r="B2469" s="105" t="s">
        <v>2783</v>
      </c>
      <c r="C2469" s="106" t="s">
        <v>801</v>
      </c>
      <c r="D2469" s="107">
        <v>11.1</v>
      </c>
    </row>
    <row r="2470" spans="1:4" ht="38.25" x14ac:dyDescent="0.25">
      <c r="A2470" s="104">
        <v>91907</v>
      </c>
      <c r="B2470" s="105" t="s">
        <v>2784</v>
      </c>
      <c r="C2470" s="106" t="s">
        <v>801</v>
      </c>
      <c r="D2470" s="107">
        <v>12.49</v>
      </c>
    </row>
    <row r="2471" spans="1:4" ht="38.25" x14ac:dyDescent="0.25">
      <c r="A2471" s="104">
        <v>91908</v>
      </c>
      <c r="B2471" s="105" t="s">
        <v>2785</v>
      </c>
      <c r="C2471" s="106" t="s">
        <v>801</v>
      </c>
      <c r="D2471" s="107">
        <v>13.3</v>
      </c>
    </row>
    <row r="2472" spans="1:4" ht="38.25" x14ac:dyDescent="0.25">
      <c r="A2472" s="104">
        <v>91910</v>
      </c>
      <c r="B2472" s="105" t="s">
        <v>2786</v>
      </c>
      <c r="C2472" s="106" t="s">
        <v>801</v>
      </c>
      <c r="D2472" s="107">
        <v>14.79</v>
      </c>
    </row>
    <row r="2473" spans="1:4" ht="38.25" x14ac:dyDescent="0.25">
      <c r="A2473" s="104">
        <v>91911</v>
      </c>
      <c r="B2473" s="105" t="s">
        <v>2787</v>
      </c>
      <c r="C2473" s="106" t="s">
        <v>801</v>
      </c>
      <c r="D2473" s="107">
        <v>8.92</v>
      </c>
    </row>
    <row r="2474" spans="1:4" ht="38.25" x14ac:dyDescent="0.25">
      <c r="A2474" s="104">
        <v>91913</v>
      </c>
      <c r="B2474" s="105" t="s">
        <v>2788</v>
      </c>
      <c r="C2474" s="106" t="s">
        <v>801</v>
      </c>
      <c r="D2474" s="107">
        <v>8.7100000000000009</v>
      </c>
    </row>
    <row r="2475" spans="1:4" ht="38.25" x14ac:dyDescent="0.25">
      <c r="A2475" s="104">
        <v>91914</v>
      </c>
      <c r="B2475" s="105" t="s">
        <v>224</v>
      </c>
      <c r="C2475" s="106" t="s">
        <v>801</v>
      </c>
      <c r="D2475" s="107">
        <v>9.7200000000000006</v>
      </c>
    </row>
    <row r="2476" spans="1:4" ht="38.25" x14ac:dyDescent="0.25">
      <c r="A2476" s="104">
        <v>91916</v>
      </c>
      <c r="B2476" s="105" t="s">
        <v>2789</v>
      </c>
      <c r="C2476" s="106" t="s">
        <v>801</v>
      </c>
      <c r="D2476" s="107">
        <v>11.09</v>
      </c>
    </row>
    <row r="2477" spans="1:4" ht="38.25" x14ac:dyDescent="0.25">
      <c r="A2477" s="104">
        <v>91917</v>
      </c>
      <c r="B2477" s="105" t="s">
        <v>2790</v>
      </c>
      <c r="C2477" s="106" t="s">
        <v>801</v>
      </c>
      <c r="D2477" s="107">
        <v>11.82</v>
      </c>
    </row>
    <row r="2478" spans="1:4" ht="38.25" x14ac:dyDescent="0.25">
      <c r="A2478" s="104">
        <v>91919</v>
      </c>
      <c r="B2478" s="105" t="s">
        <v>2791</v>
      </c>
      <c r="C2478" s="106" t="s">
        <v>801</v>
      </c>
      <c r="D2478" s="107">
        <v>13.21</v>
      </c>
    </row>
    <row r="2479" spans="1:4" ht="38.25" x14ac:dyDescent="0.25">
      <c r="A2479" s="104">
        <v>91920</v>
      </c>
      <c r="B2479" s="105" t="s">
        <v>2792</v>
      </c>
      <c r="C2479" s="106" t="s">
        <v>801</v>
      </c>
      <c r="D2479" s="107">
        <v>13.47</v>
      </c>
    </row>
    <row r="2480" spans="1:4" ht="38.25" x14ac:dyDescent="0.25">
      <c r="A2480" s="104">
        <v>91922</v>
      </c>
      <c r="B2480" s="105" t="s">
        <v>2793</v>
      </c>
      <c r="C2480" s="106" t="s">
        <v>801</v>
      </c>
      <c r="D2480" s="107">
        <v>14.96</v>
      </c>
    </row>
    <row r="2481" spans="1:4" ht="25.5" x14ac:dyDescent="0.25">
      <c r="A2481" s="104">
        <v>93013</v>
      </c>
      <c r="B2481" s="105" t="s">
        <v>2794</v>
      </c>
      <c r="C2481" s="106" t="s">
        <v>801</v>
      </c>
      <c r="D2481" s="107">
        <v>9.7799999999999994</v>
      </c>
    </row>
    <row r="2482" spans="1:4" ht="25.5" x14ac:dyDescent="0.25">
      <c r="A2482" s="104">
        <v>93014</v>
      </c>
      <c r="B2482" s="105" t="s">
        <v>2795</v>
      </c>
      <c r="C2482" s="106" t="s">
        <v>801</v>
      </c>
      <c r="D2482" s="107">
        <v>12.01</v>
      </c>
    </row>
    <row r="2483" spans="1:4" ht="25.5" x14ac:dyDescent="0.25">
      <c r="A2483" s="104">
        <v>93015</v>
      </c>
      <c r="B2483" s="105" t="s">
        <v>2796</v>
      </c>
      <c r="C2483" s="106" t="s">
        <v>801</v>
      </c>
      <c r="D2483" s="107">
        <v>18.03</v>
      </c>
    </row>
    <row r="2484" spans="1:4" ht="25.5" x14ac:dyDescent="0.25">
      <c r="A2484" s="104">
        <v>93016</v>
      </c>
      <c r="B2484" s="105" t="s">
        <v>2797</v>
      </c>
      <c r="C2484" s="106" t="s">
        <v>801</v>
      </c>
      <c r="D2484" s="107">
        <v>21.87</v>
      </c>
    </row>
    <row r="2485" spans="1:4" ht="25.5" x14ac:dyDescent="0.25">
      <c r="A2485" s="104">
        <v>93017</v>
      </c>
      <c r="B2485" s="105" t="s">
        <v>2798</v>
      </c>
      <c r="C2485" s="106" t="s">
        <v>801</v>
      </c>
      <c r="D2485" s="107">
        <v>32.71</v>
      </c>
    </row>
    <row r="2486" spans="1:4" ht="25.5" x14ac:dyDescent="0.25">
      <c r="A2486" s="104">
        <v>93018</v>
      </c>
      <c r="B2486" s="105" t="s">
        <v>2799</v>
      </c>
      <c r="C2486" s="106" t="s">
        <v>801</v>
      </c>
      <c r="D2486" s="107">
        <v>14.94</v>
      </c>
    </row>
    <row r="2487" spans="1:4" ht="25.5" x14ac:dyDescent="0.25">
      <c r="A2487" s="104">
        <v>93020</v>
      </c>
      <c r="B2487" s="105" t="s">
        <v>2800</v>
      </c>
      <c r="C2487" s="106" t="s">
        <v>801</v>
      </c>
      <c r="D2487" s="107">
        <v>19.09</v>
      </c>
    </row>
    <row r="2488" spans="1:4" ht="25.5" x14ac:dyDescent="0.25">
      <c r="A2488" s="104">
        <v>93022</v>
      </c>
      <c r="B2488" s="105" t="s">
        <v>2801</v>
      </c>
      <c r="C2488" s="106" t="s">
        <v>801</v>
      </c>
      <c r="D2488" s="107">
        <v>31.56</v>
      </c>
    </row>
    <row r="2489" spans="1:4" ht="25.5" x14ac:dyDescent="0.25">
      <c r="A2489" s="104">
        <v>93024</v>
      </c>
      <c r="B2489" s="105" t="s">
        <v>2802</v>
      </c>
      <c r="C2489" s="106" t="s">
        <v>801</v>
      </c>
      <c r="D2489" s="107">
        <v>33.22</v>
      </c>
    </row>
    <row r="2490" spans="1:4" ht="25.5" x14ac:dyDescent="0.25">
      <c r="A2490" s="104">
        <v>93026</v>
      </c>
      <c r="B2490" s="105" t="s">
        <v>2803</v>
      </c>
      <c r="C2490" s="106" t="s">
        <v>801</v>
      </c>
      <c r="D2490" s="107">
        <v>53.95</v>
      </c>
    </row>
    <row r="2491" spans="1:4" ht="25.5" x14ac:dyDescent="0.25">
      <c r="A2491" s="104">
        <v>95733</v>
      </c>
      <c r="B2491" s="105" t="s">
        <v>2804</v>
      </c>
      <c r="C2491" s="106" t="s">
        <v>801</v>
      </c>
      <c r="D2491" s="107">
        <v>4.26</v>
      </c>
    </row>
    <row r="2492" spans="1:4" ht="25.5" x14ac:dyDescent="0.25">
      <c r="A2492" s="104">
        <v>95734</v>
      </c>
      <c r="B2492" s="105" t="s">
        <v>2805</v>
      </c>
      <c r="C2492" s="106" t="s">
        <v>801</v>
      </c>
      <c r="D2492" s="107">
        <v>5.67</v>
      </c>
    </row>
    <row r="2493" spans="1:4" ht="38.25" x14ac:dyDescent="0.25">
      <c r="A2493" s="104">
        <v>95735</v>
      </c>
      <c r="B2493" s="105" t="s">
        <v>2806</v>
      </c>
      <c r="C2493" s="106" t="s">
        <v>801</v>
      </c>
      <c r="D2493" s="107">
        <v>4.7300000000000004</v>
      </c>
    </row>
    <row r="2494" spans="1:4" ht="38.25" x14ac:dyDescent="0.25">
      <c r="A2494" s="104">
        <v>95736</v>
      </c>
      <c r="B2494" s="105" t="s">
        <v>2807</v>
      </c>
      <c r="C2494" s="106" t="s">
        <v>801</v>
      </c>
      <c r="D2494" s="107">
        <v>5.54</v>
      </c>
    </row>
    <row r="2495" spans="1:4" ht="38.25" x14ac:dyDescent="0.25">
      <c r="A2495" s="106">
        <v>95738</v>
      </c>
      <c r="B2495" s="105" t="s">
        <v>2808</v>
      </c>
      <c r="C2495" s="106" t="s">
        <v>801</v>
      </c>
      <c r="D2495" s="107">
        <v>6.71</v>
      </c>
    </row>
    <row r="2496" spans="1:4" ht="38.25" x14ac:dyDescent="0.25">
      <c r="A2496" s="106">
        <v>95753</v>
      </c>
      <c r="B2496" s="105" t="s">
        <v>2809</v>
      </c>
      <c r="C2496" s="106" t="s">
        <v>801</v>
      </c>
      <c r="D2496" s="107">
        <v>5.15</v>
      </c>
    </row>
    <row r="2497" spans="1:4" ht="38.25" x14ac:dyDescent="0.25">
      <c r="A2497" s="106">
        <v>95754</v>
      </c>
      <c r="B2497" s="105" t="s">
        <v>229</v>
      </c>
      <c r="C2497" s="106" t="s">
        <v>801</v>
      </c>
      <c r="D2497" s="107">
        <v>6.4</v>
      </c>
    </row>
    <row r="2498" spans="1:4" ht="38.25" x14ac:dyDescent="0.25">
      <c r="A2498" s="106">
        <v>95755</v>
      </c>
      <c r="B2498" s="105" t="s">
        <v>2810</v>
      </c>
      <c r="C2498" s="106" t="s">
        <v>801</v>
      </c>
      <c r="D2498" s="107">
        <v>9.2899999999999991</v>
      </c>
    </row>
    <row r="2499" spans="1:4" ht="38.25" x14ac:dyDescent="0.25">
      <c r="A2499" s="104">
        <v>95756</v>
      </c>
      <c r="B2499" s="105" t="s">
        <v>2811</v>
      </c>
      <c r="C2499" s="106" t="s">
        <v>801</v>
      </c>
      <c r="D2499" s="107">
        <v>12.41</v>
      </c>
    </row>
    <row r="2500" spans="1:4" ht="38.25" x14ac:dyDescent="0.25">
      <c r="A2500" s="104">
        <v>95757</v>
      </c>
      <c r="B2500" s="105" t="s">
        <v>2812</v>
      </c>
      <c r="C2500" s="106" t="s">
        <v>801</v>
      </c>
      <c r="D2500" s="107">
        <v>7.66</v>
      </c>
    </row>
    <row r="2501" spans="1:4" ht="38.25" x14ac:dyDescent="0.25">
      <c r="A2501" s="104">
        <v>95758</v>
      </c>
      <c r="B2501" s="105" t="s">
        <v>394</v>
      </c>
      <c r="C2501" s="106" t="s">
        <v>801</v>
      </c>
      <c r="D2501" s="107">
        <v>8.6199999999999992</v>
      </c>
    </row>
    <row r="2502" spans="1:4" ht="38.25" x14ac:dyDescent="0.25">
      <c r="A2502" s="104">
        <v>95759</v>
      </c>
      <c r="B2502" s="105" t="s">
        <v>2813</v>
      </c>
      <c r="C2502" s="106" t="s">
        <v>801</v>
      </c>
      <c r="D2502" s="107">
        <v>11.09</v>
      </c>
    </row>
    <row r="2503" spans="1:4" ht="38.25" x14ac:dyDescent="0.25">
      <c r="A2503" s="104">
        <v>95760</v>
      </c>
      <c r="B2503" s="105" t="s">
        <v>2814</v>
      </c>
      <c r="C2503" s="106" t="s">
        <v>801</v>
      </c>
      <c r="D2503" s="107">
        <v>13.74</v>
      </c>
    </row>
    <row r="2504" spans="1:4" ht="38.25" x14ac:dyDescent="0.25">
      <c r="A2504" s="104">
        <v>97559</v>
      </c>
      <c r="B2504" s="105" t="s">
        <v>2815</v>
      </c>
      <c r="C2504" s="106" t="s">
        <v>801</v>
      </c>
      <c r="D2504" s="107">
        <v>6.99</v>
      </c>
    </row>
    <row r="2505" spans="1:4" ht="38.25" x14ac:dyDescent="0.25">
      <c r="A2505" s="104">
        <v>97562</v>
      </c>
      <c r="B2505" s="105" t="s">
        <v>2816</v>
      </c>
      <c r="C2505" s="106" t="s">
        <v>801</v>
      </c>
      <c r="D2505" s="107">
        <v>8.36</v>
      </c>
    </row>
    <row r="2506" spans="1:4" ht="38.25" x14ac:dyDescent="0.25">
      <c r="A2506" s="104">
        <v>97564</v>
      </c>
      <c r="B2506" s="105" t="s">
        <v>2817</v>
      </c>
      <c r="C2506" s="106" t="s">
        <v>801</v>
      </c>
      <c r="D2506" s="107">
        <v>9.57</v>
      </c>
    </row>
    <row r="2507" spans="1:4" ht="38.25" x14ac:dyDescent="0.25">
      <c r="A2507" s="104">
        <v>91924</v>
      </c>
      <c r="B2507" s="105" t="s">
        <v>2818</v>
      </c>
      <c r="C2507" s="106" t="s">
        <v>16</v>
      </c>
      <c r="D2507" s="107">
        <v>1.86</v>
      </c>
    </row>
    <row r="2508" spans="1:4" ht="38.25" x14ac:dyDescent="0.25">
      <c r="A2508" s="104">
        <v>91925</v>
      </c>
      <c r="B2508" s="105" t="s">
        <v>2819</v>
      </c>
      <c r="C2508" s="106" t="s">
        <v>16</v>
      </c>
      <c r="D2508" s="107">
        <v>2.61</v>
      </c>
    </row>
    <row r="2509" spans="1:4" ht="38.25" x14ac:dyDescent="0.25">
      <c r="A2509" s="104">
        <v>91926</v>
      </c>
      <c r="B2509" s="105" t="s">
        <v>225</v>
      </c>
      <c r="C2509" s="106" t="s">
        <v>16</v>
      </c>
      <c r="D2509" s="107">
        <v>2.68</v>
      </c>
    </row>
    <row r="2510" spans="1:4" ht="38.25" x14ac:dyDescent="0.25">
      <c r="A2510" s="104">
        <v>91927</v>
      </c>
      <c r="B2510" s="105" t="s">
        <v>2820</v>
      </c>
      <c r="C2510" s="106" t="s">
        <v>16</v>
      </c>
      <c r="D2510" s="107">
        <v>3.51</v>
      </c>
    </row>
    <row r="2511" spans="1:4" ht="38.25" x14ac:dyDescent="0.25">
      <c r="A2511" s="104">
        <v>91928</v>
      </c>
      <c r="B2511" s="105" t="s">
        <v>226</v>
      </c>
      <c r="C2511" s="106" t="s">
        <v>16</v>
      </c>
      <c r="D2511" s="107">
        <v>4.3499999999999996</v>
      </c>
    </row>
    <row r="2512" spans="1:4" ht="38.25" x14ac:dyDescent="0.25">
      <c r="A2512" s="104">
        <v>91929</v>
      </c>
      <c r="B2512" s="105" t="s">
        <v>2821</v>
      </c>
      <c r="C2512" s="106" t="s">
        <v>16</v>
      </c>
      <c r="D2512" s="107">
        <v>4.92</v>
      </c>
    </row>
    <row r="2513" spans="1:4" ht="38.25" x14ac:dyDescent="0.25">
      <c r="A2513" s="104">
        <v>91930</v>
      </c>
      <c r="B2513" s="105" t="s">
        <v>227</v>
      </c>
      <c r="C2513" s="106" t="s">
        <v>16</v>
      </c>
      <c r="D2513" s="107">
        <v>5.94</v>
      </c>
    </row>
    <row r="2514" spans="1:4" ht="38.25" x14ac:dyDescent="0.25">
      <c r="A2514" s="104">
        <v>91931</v>
      </c>
      <c r="B2514" s="105" t="s">
        <v>2822</v>
      </c>
      <c r="C2514" s="106" t="s">
        <v>16</v>
      </c>
      <c r="D2514" s="107">
        <v>6.63</v>
      </c>
    </row>
    <row r="2515" spans="1:4" ht="38.25" x14ac:dyDescent="0.25">
      <c r="A2515" s="104">
        <v>91932</v>
      </c>
      <c r="B2515" s="105" t="s">
        <v>2823</v>
      </c>
      <c r="C2515" s="106" t="s">
        <v>16</v>
      </c>
      <c r="D2515" s="107">
        <v>9.76</v>
      </c>
    </row>
    <row r="2516" spans="1:4" ht="38.25" x14ac:dyDescent="0.25">
      <c r="A2516" s="104">
        <v>91933</v>
      </c>
      <c r="B2516" s="105" t="s">
        <v>232</v>
      </c>
      <c r="C2516" s="106" t="s">
        <v>16</v>
      </c>
      <c r="D2516" s="107">
        <v>10.41</v>
      </c>
    </row>
    <row r="2517" spans="1:4" ht="38.25" x14ac:dyDescent="0.25">
      <c r="A2517" s="104">
        <v>91934</v>
      </c>
      <c r="B2517" s="105" t="s">
        <v>2824</v>
      </c>
      <c r="C2517" s="106" t="s">
        <v>16</v>
      </c>
      <c r="D2517" s="107">
        <v>14.91</v>
      </c>
    </row>
    <row r="2518" spans="1:4" ht="38.25" x14ac:dyDescent="0.25">
      <c r="A2518" s="104">
        <v>91935</v>
      </c>
      <c r="B2518" s="105" t="s">
        <v>233</v>
      </c>
      <c r="C2518" s="106" t="s">
        <v>16</v>
      </c>
      <c r="D2518" s="107">
        <v>15.87</v>
      </c>
    </row>
    <row r="2519" spans="1:4" ht="25.5" x14ac:dyDescent="0.25">
      <c r="A2519" s="104">
        <v>92979</v>
      </c>
      <c r="B2519" s="105" t="s">
        <v>2825</v>
      </c>
      <c r="C2519" s="106" t="s">
        <v>16</v>
      </c>
      <c r="D2519" s="107">
        <v>6.54</v>
      </c>
    </row>
    <row r="2520" spans="1:4" ht="25.5" x14ac:dyDescent="0.25">
      <c r="A2520" s="104">
        <v>92980</v>
      </c>
      <c r="B2520" s="105" t="s">
        <v>2826</v>
      </c>
      <c r="C2520" s="106" t="s">
        <v>16</v>
      </c>
      <c r="D2520" s="107">
        <v>7.1</v>
      </c>
    </row>
    <row r="2521" spans="1:4" ht="25.5" x14ac:dyDescent="0.25">
      <c r="A2521" s="104">
        <v>92981</v>
      </c>
      <c r="B2521" s="105" t="s">
        <v>2827</v>
      </c>
      <c r="C2521" s="106" t="s">
        <v>16</v>
      </c>
      <c r="D2521" s="107">
        <v>10.050000000000001</v>
      </c>
    </row>
    <row r="2522" spans="1:4" ht="25.5" x14ac:dyDescent="0.25">
      <c r="A2522" s="104">
        <v>92982</v>
      </c>
      <c r="B2522" s="105" t="s">
        <v>2828</v>
      </c>
      <c r="C2522" s="106" t="s">
        <v>16</v>
      </c>
      <c r="D2522" s="107">
        <v>10.87</v>
      </c>
    </row>
    <row r="2523" spans="1:4" ht="25.5" x14ac:dyDescent="0.25">
      <c r="A2523" s="104">
        <v>92983</v>
      </c>
      <c r="B2523" s="105" t="s">
        <v>2829</v>
      </c>
      <c r="C2523" s="106" t="s">
        <v>16</v>
      </c>
      <c r="D2523" s="107">
        <v>17.34</v>
      </c>
    </row>
    <row r="2524" spans="1:4" ht="25.5" x14ac:dyDescent="0.25">
      <c r="A2524" s="104">
        <v>92984</v>
      </c>
      <c r="B2524" s="105" t="s">
        <v>231</v>
      </c>
      <c r="C2524" s="106" t="s">
        <v>16</v>
      </c>
      <c r="D2524" s="107">
        <v>17.8</v>
      </c>
    </row>
    <row r="2525" spans="1:4" ht="25.5" x14ac:dyDescent="0.25">
      <c r="A2525" s="104">
        <v>92985</v>
      </c>
      <c r="B2525" s="105" t="s">
        <v>2830</v>
      </c>
      <c r="C2525" s="106" t="s">
        <v>16</v>
      </c>
      <c r="D2525" s="107">
        <v>23.35</v>
      </c>
    </row>
    <row r="2526" spans="1:4" ht="25.5" x14ac:dyDescent="0.25">
      <c r="A2526" s="104">
        <v>92986</v>
      </c>
      <c r="B2526" s="105" t="s">
        <v>2831</v>
      </c>
      <c r="C2526" s="106" t="s">
        <v>16</v>
      </c>
      <c r="D2526" s="107">
        <v>24.03</v>
      </c>
    </row>
    <row r="2527" spans="1:4" ht="25.5" x14ac:dyDescent="0.25">
      <c r="A2527" s="104">
        <v>92987</v>
      </c>
      <c r="B2527" s="105" t="s">
        <v>2832</v>
      </c>
      <c r="C2527" s="106" t="s">
        <v>16</v>
      </c>
      <c r="D2527" s="107">
        <v>33.61</v>
      </c>
    </row>
    <row r="2528" spans="1:4" ht="25.5" x14ac:dyDescent="0.25">
      <c r="A2528" s="104">
        <v>92988</v>
      </c>
      <c r="B2528" s="105" t="s">
        <v>2833</v>
      </c>
      <c r="C2528" s="106" t="s">
        <v>16</v>
      </c>
      <c r="D2528" s="107">
        <v>33.69</v>
      </c>
    </row>
    <row r="2529" spans="1:4" ht="25.5" x14ac:dyDescent="0.25">
      <c r="A2529" s="104">
        <v>92989</v>
      </c>
      <c r="B2529" s="105" t="s">
        <v>2834</v>
      </c>
      <c r="C2529" s="106" t="s">
        <v>16</v>
      </c>
      <c r="D2529" s="107">
        <v>46.69</v>
      </c>
    </row>
    <row r="2530" spans="1:4" ht="25.5" x14ac:dyDescent="0.25">
      <c r="A2530" s="104">
        <v>92990</v>
      </c>
      <c r="B2530" s="105" t="s">
        <v>2835</v>
      </c>
      <c r="C2530" s="106" t="s">
        <v>16</v>
      </c>
      <c r="D2530" s="107">
        <v>46.16</v>
      </c>
    </row>
    <row r="2531" spans="1:4" ht="25.5" x14ac:dyDescent="0.25">
      <c r="A2531" s="104">
        <v>92991</v>
      </c>
      <c r="B2531" s="105" t="s">
        <v>2836</v>
      </c>
      <c r="C2531" s="106" t="s">
        <v>16</v>
      </c>
      <c r="D2531" s="107">
        <v>60.9</v>
      </c>
    </row>
    <row r="2532" spans="1:4" ht="25.5" x14ac:dyDescent="0.25">
      <c r="A2532" s="104">
        <v>92992</v>
      </c>
      <c r="B2532" s="105" t="s">
        <v>2837</v>
      </c>
      <c r="C2532" s="106" t="s">
        <v>16</v>
      </c>
      <c r="D2532" s="107">
        <v>60.94</v>
      </c>
    </row>
    <row r="2533" spans="1:4" ht="25.5" x14ac:dyDescent="0.25">
      <c r="A2533" s="104">
        <v>92993</v>
      </c>
      <c r="B2533" s="105" t="s">
        <v>2838</v>
      </c>
      <c r="C2533" s="106" t="s">
        <v>16</v>
      </c>
      <c r="D2533" s="107">
        <v>78.08</v>
      </c>
    </row>
    <row r="2534" spans="1:4" ht="25.5" x14ac:dyDescent="0.25">
      <c r="A2534" s="104">
        <v>92994</v>
      </c>
      <c r="B2534" s="105" t="s">
        <v>2839</v>
      </c>
      <c r="C2534" s="106" t="s">
        <v>16</v>
      </c>
      <c r="D2534" s="107">
        <v>78.849999999999994</v>
      </c>
    </row>
    <row r="2535" spans="1:4" ht="25.5" x14ac:dyDescent="0.25">
      <c r="A2535" s="104">
        <v>92995</v>
      </c>
      <c r="B2535" s="105" t="s">
        <v>2840</v>
      </c>
      <c r="C2535" s="106" t="s">
        <v>16</v>
      </c>
      <c r="D2535" s="107">
        <v>97.12</v>
      </c>
    </row>
    <row r="2536" spans="1:4" ht="25.5" x14ac:dyDescent="0.25">
      <c r="A2536" s="104">
        <v>92996</v>
      </c>
      <c r="B2536" s="105" t="s">
        <v>2841</v>
      </c>
      <c r="C2536" s="106" t="s">
        <v>16</v>
      </c>
      <c r="D2536" s="107">
        <v>97.4</v>
      </c>
    </row>
    <row r="2537" spans="1:4" ht="25.5" x14ac:dyDescent="0.25">
      <c r="A2537" s="104">
        <v>92997</v>
      </c>
      <c r="B2537" s="105" t="s">
        <v>2842</v>
      </c>
      <c r="C2537" s="106" t="s">
        <v>16</v>
      </c>
      <c r="D2537" s="107">
        <v>118</v>
      </c>
    </row>
    <row r="2538" spans="1:4" ht="25.5" x14ac:dyDescent="0.25">
      <c r="A2538" s="104">
        <v>92998</v>
      </c>
      <c r="B2538" s="105" t="s">
        <v>2843</v>
      </c>
      <c r="C2538" s="106" t="s">
        <v>16</v>
      </c>
      <c r="D2538" s="107">
        <v>119.13</v>
      </c>
    </row>
    <row r="2539" spans="1:4" ht="25.5" x14ac:dyDescent="0.25">
      <c r="A2539" s="104">
        <v>92999</v>
      </c>
      <c r="B2539" s="105" t="s">
        <v>2844</v>
      </c>
      <c r="C2539" s="106" t="s">
        <v>16</v>
      </c>
      <c r="D2539" s="107">
        <v>155.38999999999999</v>
      </c>
    </row>
    <row r="2540" spans="1:4" ht="25.5" x14ac:dyDescent="0.25">
      <c r="A2540" s="104">
        <v>93000</v>
      </c>
      <c r="B2540" s="105" t="s">
        <v>2845</v>
      </c>
      <c r="C2540" s="106" t="s">
        <v>16</v>
      </c>
      <c r="D2540" s="107">
        <v>156.35</v>
      </c>
    </row>
    <row r="2541" spans="1:4" ht="25.5" x14ac:dyDescent="0.25">
      <c r="A2541" s="104">
        <v>93001</v>
      </c>
      <c r="B2541" s="105" t="s">
        <v>2846</v>
      </c>
      <c r="C2541" s="106" t="s">
        <v>16</v>
      </c>
      <c r="D2541" s="107">
        <v>189.79</v>
      </c>
    </row>
    <row r="2542" spans="1:4" ht="25.5" x14ac:dyDescent="0.25">
      <c r="A2542" s="104">
        <v>93002</v>
      </c>
      <c r="B2542" s="105" t="s">
        <v>2847</v>
      </c>
      <c r="C2542" s="106" t="s">
        <v>16</v>
      </c>
      <c r="D2542" s="107">
        <v>195.07</v>
      </c>
    </row>
    <row r="2543" spans="1:4" x14ac:dyDescent="0.25">
      <c r="A2543" s="104">
        <v>83446</v>
      </c>
      <c r="B2543" s="105" t="s">
        <v>219</v>
      </c>
      <c r="C2543" s="106" t="s">
        <v>801</v>
      </c>
      <c r="D2543" s="107">
        <v>147.16999999999999</v>
      </c>
    </row>
    <row r="2544" spans="1:4" ht="25.5" x14ac:dyDescent="0.25">
      <c r="A2544" s="104">
        <v>91936</v>
      </c>
      <c r="B2544" s="105" t="s">
        <v>2848</v>
      </c>
      <c r="C2544" s="106" t="s">
        <v>801</v>
      </c>
      <c r="D2544" s="107">
        <v>8.93</v>
      </c>
    </row>
    <row r="2545" spans="1:4" ht="25.5" x14ac:dyDescent="0.25">
      <c r="A2545" s="104">
        <v>91937</v>
      </c>
      <c r="B2545" s="105" t="s">
        <v>2849</v>
      </c>
      <c r="C2545" s="106" t="s">
        <v>801</v>
      </c>
      <c r="D2545" s="107">
        <v>7.61</v>
      </c>
    </row>
    <row r="2546" spans="1:4" ht="25.5" x14ac:dyDescent="0.25">
      <c r="A2546" s="104">
        <v>91939</v>
      </c>
      <c r="B2546" s="105" t="s">
        <v>340</v>
      </c>
      <c r="C2546" s="106" t="s">
        <v>801</v>
      </c>
      <c r="D2546" s="107">
        <v>18.989999999999998</v>
      </c>
    </row>
    <row r="2547" spans="1:4" ht="25.5" x14ac:dyDescent="0.25">
      <c r="A2547" s="104">
        <v>91940</v>
      </c>
      <c r="B2547" s="105" t="s">
        <v>384</v>
      </c>
      <c r="C2547" s="106" t="s">
        <v>801</v>
      </c>
      <c r="D2547" s="107">
        <v>10.09</v>
      </c>
    </row>
    <row r="2548" spans="1:4" ht="25.5" x14ac:dyDescent="0.25">
      <c r="A2548" s="104">
        <v>91941</v>
      </c>
      <c r="B2548" s="105" t="s">
        <v>385</v>
      </c>
      <c r="C2548" s="106" t="s">
        <v>801</v>
      </c>
      <c r="D2548" s="107">
        <v>6.76</v>
      </c>
    </row>
    <row r="2549" spans="1:4" ht="25.5" x14ac:dyDescent="0.25">
      <c r="A2549" s="104">
        <v>91942</v>
      </c>
      <c r="B2549" s="105" t="s">
        <v>2850</v>
      </c>
      <c r="C2549" s="106" t="s">
        <v>801</v>
      </c>
      <c r="D2549" s="107">
        <v>23.28</v>
      </c>
    </row>
    <row r="2550" spans="1:4" ht="25.5" x14ac:dyDescent="0.25">
      <c r="A2550" s="104">
        <v>91943</v>
      </c>
      <c r="B2550" s="105" t="s">
        <v>2851</v>
      </c>
      <c r="C2550" s="106" t="s">
        <v>801</v>
      </c>
      <c r="D2550" s="107">
        <v>13.04</v>
      </c>
    </row>
    <row r="2551" spans="1:4" ht="25.5" x14ac:dyDescent="0.25">
      <c r="A2551" s="104">
        <v>91944</v>
      </c>
      <c r="B2551" s="105" t="s">
        <v>2852</v>
      </c>
      <c r="C2551" s="106" t="s">
        <v>801</v>
      </c>
      <c r="D2551" s="107">
        <v>9.2100000000000009</v>
      </c>
    </row>
    <row r="2552" spans="1:4" ht="25.5" x14ac:dyDescent="0.25">
      <c r="A2552" s="104">
        <v>92865</v>
      </c>
      <c r="B2552" s="105" t="s">
        <v>2853</v>
      </c>
      <c r="C2552" s="106" t="s">
        <v>801</v>
      </c>
      <c r="D2552" s="107">
        <v>7.34</v>
      </c>
    </row>
    <row r="2553" spans="1:4" ht="25.5" x14ac:dyDescent="0.25">
      <c r="A2553" s="104">
        <v>92866</v>
      </c>
      <c r="B2553" s="105" t="s">
        <v>2854</v>
      </c>
      <c r="C2553" s="106" t="s">
        <v>801</v>
      </c>
      <c r="D2553" s="107">
        <v>5.88</v>
      </c>
    </row>
    <row r="2554" spans="1:4" ht="25.5" x14ac:dyDescent="0.25">
      <c r="A2554" s="104">
        <v>92867</v>
      </c>
      <c r="B2554" s="105" t="s">
        <v>2855</v>
      </c>
      <c r="C2554" s="106" t="s">
        <v>801</v>
      </c>
      <c r="D2554" s="107">
        <v>18.61</v>
      </c>
    </row>
    <row r="2555" spans="1:4" ht="25.5" x14ac:dyDescent="0.25">
      <c r="A2555" s="104">
        <v>92868</v>
      </c>
      <c r="B2555" s="105" t="s">
        <v>2856</v>
      </c>
      <c r="C2555" s="106" t="s">
        <v>801</v>
      </c>
      <c r="D2555" s="107">
        <v>9.7100000000000009</v>
      </c>
    </row>
    <row r="2556" spans="1:4" ht="25.5" x14ac:dyDescent="0.25">
      <c r="A2556" s="104">
        <v>92869</v>
      </c>
      <c r="B2556" s="105" t="s">
        <v>2857</v>
      </c>
      <c r="C2556" s="106" t="s">
        <v>801</v>
      </c>
      <c r="D2556" s="107">
        <v>6.38</v>
      </c>
    </row>
    <row r="2557" spans="1:4" ht="25.5" x14ac:dyDescent="0.25">
      <c r="A2557" s="104">
        <v>92870</v>
      </c>
      <c r="B2557" s="105" t="s">
        <v>2858</v>
      </c>
      <c r="C2557" s="106" t="s">
        <v>801</v>
      </c>
      <c r="D2557" s="107">
        <v>22.68</v>
      </c>
    </row>
    <row r="2558" spans="1:4" ht="25.5" x14ac:dyDescent="0.25">
      <c r="A2558" s="104">
        <v>92871</v>
      </c>
      <c r="B2558" s="105" t="s">
        <v>2859</v>
      </c>
      <c r="C2558" s="106" t="s">
        <v>801</v>
      </c>
      <c r="D2558" s="107">
        <v>12.44</v>
      </c>
    </row>
    <row r="2559" spans="1:4" ht="25.5" x14ac:dyDescent="0.25">
      <c r="A2559" s="104">
        <v>92872</v>
      </c>
      <c r="B2559" s="105" t="s">
        <v>2860</v>
      </c>
      <c r="C2559" s="106" t="s">
        <v>801</v>
      </c>
      <c r="D2559" s="107">
        <v>8.61</v>
      </c>
    </row>
    <row r="2560" spans="1:4" ht="38.25" x14ac:dyDescent="0.25">
      <c r="A2560" s="104">
        <v>95777</v>
      </c>
      <c r="B2560" s="105" t="s">
        <v>2861</v>
      </c>
      <c r="C2560" s="106" t="s">
        <v>801</v>
      </c>
      <c r="D2560" s="107">
        <v>19.38</v>
      </c>
    </row>
    <row r="2561" spans="1:4" ht="38.25" x14ac:dyDescent="0.25">
      <c r="A2561" s="104">
        <v>95778</v>
      </c>
      <c r="B2561" s="105" t="s">
        <v>391</v>
      </c>
      <c r="C2561" s="106" t="s">
        <v>801</v>
      </c>
      <c r="D2561" s="107">
        <v>19.850000000000001</v>
      </c>
    </row>
    <row r="2562" spans="1:4" ht="38.25" x14ac:dyDescent="0.25">
      <c r="A2562" s="104">
        <v>95779</v>
      </c>
      <c r="B2562" s="105" t="s">
        <v>390</v>
      </c>
      <c r="C2562" s="106" t="s">
        <v>801</v>
      </c>
      <c r="D2562" s="107">
        <v>18.260000000000002</v>
      </c>
    </row>
    <row r="2563" spans="1:4" ht="38.25" x14ac:dyDescent="0.25">
      <c r="A2563" s="104">
        <v>95780</v>
      </c>
      <c r="B2563" s="105" t="s">
        <v>2862</v>
      </c>
      <c r="C2563" s="106" t="s">
        <v>801</v>
      </c>
      <c r="D2563" s="107">
        <v>22.02</v>
      </c>
    </row>
    <row r="2564" spans="1:4" ht="38.25" x14ac:dyDescent="0.25">
      <c r="A2564" s="104">
        <v>95781</v>
      </c>
      <c r="B2564" s="105" t="s">
        <v>339</v>
      </c>
      <c r="C2564" s="106" t="s">
        <v>801</v>
      </c>
      <c r="D2564" s="107">
        <v>22.38</v>
      </c>
    </row>
    <row r="2565" spans="1:4" ht="38.25" x14ac:dyDescent="0.25">
      <c r="A2565" s="104">
        <v>95782</v>
      </c>
      <c r="B2565" s="105" t="s">
        <v>2863</v>
      </c>
      <c r="C2565" s="106" t="s">
        <v>801</v>
      </c>
      <c r="D2565" s="107">
        <v>23.3</v>
      </c>
    </row>
    <row r="2566" spans="1:4" ht="38.25" x14ac:dyDescent="0.25">
      <c r="A2566" s="104">
        <v>95785</v>
      </c>
      <c r="B2566" s="105" t="s">
        <v>2864</v>
      </c>
      <c r="C2566" s="106" t="s">
        <v>801</v>
      </c>
      <c r="D2566" s="107">
        <v>26.49</v>
      </c>
    </row>
    <row r="2567" spans="1:4" ht="38.25" x14ac:dyDescent="0.25">
      <c r="A2567" s="104">
        <v>95787</v>
      </c>
      <c r="B2567" s="105" t="s">
        <v>2865</v>
      </c>
      <c r="C2567" s="106" t="s">
        <v>801</v>
      </c>
      <c r="D2567" s="107">
        <v>19.579999999999998</v>
      </c>
    </row>
    <row r="2568" spans="1:4" ht="38.25" x14ac:dyDescent="0.25">
      <c r="A2568" s="104">
        <v>95789</v>
      </c>
      <c r="B2568" s="105" t="s">
        <v>2866</v>
      </c>
      <c r="C2568" s="106" t="s">
        <v>801</v>
      </c>
      <c r="D2568" s="107">
        <v>24.26</v>
      </c>
    </row>
    <row r="2569" spans="1:4" ht="38.25" x14ac:dyDescent="0.25">
      <c r="A2569" s="104">
        <v>95791</v>
      </c>
      <c r="B2569" s="105" t="s">
        <v>2867</v>
      </c>
      <c r="C2569" s="106" t="s">
        <v>801</v>
      </c>
      <c r="D2569" s="107">
        <v>31.24</v>
      </c>
    </row>
    <row r="2570" spans="1:4" ht="38.25" x14ac:dyDescent="0.25">
      <c r="A2570" s="104">
        <v>95795</v>
      </c>
      <c r="B2570" s="105" t="s">
        <v>392</v>
      </c>
      <c r="C2570" s="106" t="s">
        <v>801</v>
      </c>
      <c r="D2570" s="107">
        <v>22.6</v>
      </c>
    </row>
    <row r="2571" spans="1:4" ht="38.25" x14ac:dyDescent="0.25">
      <c r="A2571" s="104">
        <v>95796</v>
      </c>
      <c r="B2571" s="105" t="s">
        <v>332</v>
      </c>
      <c r="C2571" s="106" t="s">
        <v>801</v>
      </c>
      <c r="D2571" s="107">
        <v>28.54</v>
      </c>
    </row>
    <row r="2572" spans="1:4" ht="38.25" x14ac:dyDescent="0.25">
      <c r="A2572" s="104">
        <v>95797</v>
      </c>
      <c r="B2572" s="105" t="s">
        <v>2868</v>
      </c>
      <c r="C2572" s="106" t="s">
        <v>801</v>
      </c>
      <c r="D2572" s="107">
        <v>36.28</v>
      </c>
    </row>
    <row r="2573" spans="1:4" ht="38.25" x14ac:dyDescent="0.25">
      <c r="A2573" s="104">
        <v>95801</v>
      </c>
      <c r="B2573" s="105" t="s">
        <v>2869</v>
      </c>
      <c r="C2573" s="106" t="s">
        <v>801</v>
      </c>
      <c r="D2573" s="107">
        <v>27.13</v>
      </c>
    </row>
    <row r="2574" spans="1:4" ht="38.25" x14ac:dyDescent="0.25">
      <c r="A2574" s="104">
        <v>95802</v>
      </c>
      <c r="B2574" s="105" t="s">
        <v>2870</v>
      </c>
      <c r="C2574" s="106" t="s">
        <v>801</v>
      </c>
      <c r="D2574" s="107">
        <v>30.29</v>
      </c>
    </row>
    <row r="2575" spans="1:4" ht="38.25" x14ac:dyDescent="0.25">
      <c r="A2575" s="104">
        <v>95803</v>
      </c>
      <c r="B2575" s="105" t="s">
        <v>2871</v>
      </c>
      <c r="C2575" s="106" t="s">
        <v>801</v>
      </c>
      <c r="D2575" s="107">
        <v>40.159999999999997</v>
      </c>
    </row>
    <row r="2576" spans="1:4" ht="38.25" x14ac:dyDescent="0.25">
      <c r="A2576" s="104">
        <v>95804</v>
      </c>
      <c r="B2576" s="105" t="s">
        <v>2872</v>
      </c>
      <c r="C2576" s="106" t="s">
        <v>801</v>
      </c>
      <c r="D2576" s="107">
        <v>16.510000000000002</v>
      </c>
    </row>
    <row r="2577" spans="1:4" ht="38.25" x14ac:dyDescent="0.25">
      <c r="A2577" s="104">
        <v>95805</v>
      </c>
      <c r="B2577" s="105" t="s">
        <v>2873</v>
      </c>
      <c r="C2577" s="106" t="s">
        <v>801</v>
      </c>
      <c r="D2577" s="107">
        <v>16.649999999999999</v>
      </c>
    </row>
    <row r="2578" spans="1:4" ht="25.5" x14ac:dyDescent="0.25">
      <c r="A2578" s="104">
        <v>95806</v>
      </c>
      <c r="B2578" s="105" t="s">
        <v>2874</v>
      </c>
      <c r="C2578" s="106" t="s">
        <v>801</v>
      </c>
      <c r="D2578" s="107">
        <v>17.2</v>
      </c>
    </row>
    <row r="2579" spans="1:4" ht="38.25" x14ac:dyDescent="0.25">
      <c r="A2579" s="104">
        <v>95807</v>
      </c>
      <c r="B2579" s="105" t="s">
        <v>2875</v>
      </c>
      <c r="C2579" s="106" t="s">
        <v>801</v>
      </c>
      <c r="D2579" s="107">
        <v>18.98</v>
      </c>
    </row>
    <row r="2580" spans="1:4" ht="38.25" x14ac:dyDescent="0.25">
      <c r="A2580" s="104">
        <v>95808</v>
      </c>
      <c r="B2580" s="105" t="s">
        <v>2876</v>
      </c>
      <c r="C2580" s="106" t="s">
        <v>801</v>
      </c>
      <c r="D2580" s="107">
        <v>19.440000000000001</v>
      </c>
    </row>
    <row r="2581" spans="1:4" ht="25.5" x14ac:dyDescent="0.25">
      <c r="A2581" s="104">
        <v>95809</v>
      </c>
      <c r="B2581" s="105" t="s">
        <v>2877</v>
      </c>
      <c r="C2581" s="106" t="s">
        <v>801</v>
      </c>
      <c r="D2581" s="107">
        <v>21.35</v>
      </c>
    </row>
    <row r="2582" spans="1:4" ht="38.25" x14ac:dyDescent="0.25">
      <c r="A2582" s="104">
        <v>95810</v>
      </c>
      <c r="B2582" s="105" t="s">
        <v>2878</v>
      </c>
      <c r="C2582" s="106" t="s">
        <v>801</v>
      </c>
      <c r="D2582" s="107">
        <v>10.3</v>
      </c>
    </row>
    <row r="2583" spans="1:4" ht="38.25" x14ac:dyDescent="0.25">
      <c r="A2583" s="104">
        <v>95811</v>
      </c>
      <c r="B2583" s="105" t="s">
        <v>2879</v>
      </c>
      <c r="C2583" s="106" t="s">
        <v>801</v>
      </c>
      <c r="D2583" s="107">
        <v>10.75</v>
      </c>
    </row>
    <row r="2584" spans="1:4" ht="25.5" x14ac:dyDescent="0.25">
      <c r="A2584" s="104">
        <v>95812</v>
      </c>
      <c r="B2584" s="105" t="s">
        <v>2880</v>
      </c>
      <c r="C2584" s="106" t="s">
        <v>801</v>
      </c>
      <c r="D2584" s="107">
        <v>12.65</v>
      </c>
    </row>
    <row r="2585" spans="1:4" ht="38.25" x14ac:dyDescent="0.25">
      <c r="A2585" s="104">
        <v>95813</v>
      </c>
      <c r="B2585" s="105" t="s">
        <v>2881</v>
      </c>
      <c r="C2585" s="106" t="s">
        <v>801</v>
      </c>
      <c r="D2585" s="107">
        <v>12.41</v>
      </c>
    </row>
    <row r="2586" spans="1:4" ht="38.25" x14ac:dyDescent="0.25">
      <c r="A2586" s="104">
        <v>95814</v>
      </c>
      <c r="B2586" s="105" t="s">
        <v>393</v>
      </c>
      <c r="C2586" s="106" t="s">
        <v>801</v>
      </c>
      <c r="D2586" s="107">
        <v>13.1</v>
      </c>
    </row>
    <row r="2587" spans="1:4" ht="25.5" x14ac:dyDescent="0.25">
      <c r="A2587" s="104">
        <v>95815</v>
      </c>
      <c r="B2587" s="105" t="s">
        <v>2882</v>
      </c>
      <c r="C2587" s="106" t="s">
        <v>801</v>
      </c>
      <c r="D2587" s="107">
        <v>16.77</v>
      </c>
    </row>
    <row r="2588" spans="1:4" ht="38.25" x14ac:dyDescent="0.25">
      <c r="A2588" s="104">
        <v>95816</v>
      </c>
      <c r="B2588" s="105" t="s">
        <v>2883</v>
      </c>
      <c r="C2588" s="106" t="s">
        <v>801</v>
      </c>
      <c r="D2588" s="107">
        <v>23.38</v>
      </c>
    </row>
    <row r="2589" spans="1:4" ht="38.25" x14ac:dyDescent="0.25">
      <c r="A2589" s="104">
        <v>95817</v>
      </c>
      <c r="B2589" s="105" t="s">
        <v>2884</v>
      </c>
      <c r="C2589" s="106" t="s">
        <v>801</v>
      </c>
      <c r="D2589" s="107">
        <v>23.99</v>
      </c>
    </row>
    <row r="2590" spans="1:4" ht="25.5" x14ac:dyDescent="0.25">
      <c r="A2590" s="104">
        <v>95818</v>
      </c>
      <c r="B2590" s="105" t="s">
        <v>2885</v>
      </c>
      <c r="C2590" s="106" t="s">
        <v>801</v>
      </c>
      <c r="D2590" s="107">
        <v>28.93</v>
      </c>
    </row>
    <row r="2591" spans="1:4" ht="38.25" x14ac:dyDescent="0.25">
      <c r="A2591" s="104">
        <v>97886</v>
      </c>
      <c r="B2591" s="105" t="s">
        <v>2886</v>
      </c>
      <c r="C2591" s="106" t="s">
        <v>801</v>
      </c>
      <c r="D2591" s="107">
        <v>119.1</v>
      </c>
    </row>
    <row r="2592" spans="1:4" ht="38.25" x14ac:dyDescent="0.25">
      <c r="A2592" s="104">
        <v>97887</v>
      </c>
      <c r="B2592" s="105" t="s">
        <v>2887</v>
      </c>
      <c r="C2592" s="106" t="s">
        <v>801</v>
      </c>
      <c r="D2592" s="107">
        <v>187.92</v>
      </c>
    </row>
    <row r="2593" spans="1:4" ht="38.25" x14ac:dyDescent="0.25">
      <c r="A2593" s="104">
        <v>97888</v>
      </c>
      <c r="B2593" s="105" t="s">
        <v>2888</v>
      </c>
      <c r="C2593" s="106" t="s">
        <v>801</v>
      </c>
      <c r="D2593" s="107">
        <v>362.31</v>
      </c>
    </row>
    <row r="2594" spans="1:4" ht="38.25" x14ac:dyDescent="0.25">
      <c r="A2594" s="104">
        <v>97889</v>
      </c>
      <c r="B2594" s="105" t="s">
        <v>2889</v>
      </c>
      <c r="C2594" s="106" t="s">
        <v>801</v>
      </c>
      <c r="D2594" s="107">
        <v>485.82</v>
      </c>
    </row>
    <row r="2595" spans="1:4" ht="38.25" x14ac:dyDescent="0.25">
      <c r="A2595" s="104">
        <v>97890</v>
      </c>
      <c r="B2595" s="105" t="s">
        <v>2890</v>
      </c>
      <c r="C2595" s="106" t="s">
        <v>801</v>
      </c>
      <c r="D2595" s="107">
        <v>559.47</v>
      </c>
    </row>
    <row r="2596" spans="1:4" ht="38.25" x14ac:dyDescent="0.25">
      <c r="A2596" s="104">
        <v>97891</v>
      </c>
      <c r="B2596" s="105" t="s">
        <v>2891</v>
      </c>
      <c r="C2596" s="106" t="s">
        <v>801</v>
      </c>
      <c r="D2596" s="107">
        <v>143.44</v>
      </c>
    </row>
    <row r="2597" spans="1:4" ht="38.25" x14ac:dyDescent="0.25">
      <c r="A2597" s="104">
        <v>97892</v>
      </c>
      <c r="B2597" s="105" t="s">
        <v>2892</v>
      </c>
      <c r="C2597" s="106" t="s">
        <v>801</v>
      </c>
      <c r="D2597" s="107">
        <v>268.27</v>
      </c>
    </row>
    <row r="2598" spans="1:4" ht="38.25" x14ac:dyDescent="0.25">
      <c r="A2598" s="104">
        <v>97893</v>
      </c>
      <c r="B2598" s="105" t="s">
        <v>2893</v>
      </c>
      <c r="C2598" s="106" t="s">
        <v>801</v>
      </c>
      <c r="D2598" s="107">
        <v>365.89</v>
      </c>
    </row>
    <row r="2599" spans="1:4" ht="38.25" x14ac:dyDescent="0.25">
      <c r="A2599" s="104">
        <v>97894</v>
      </c>
      <c r="B2599" s="105" t="s">
        <v>2894</v>
      </c>
      <c r="C2599" s="106" t="s">
        <v>801</v>
      </c>
      <c r="D2599" s="107">
        <v>414.13</v>
      </c>
    </row>
    <row r="2600" spans="1:4" ht="25.5" x14ac:dyDescent="0.25">
      <c r="A2600" s="104">
        <v>68066</v>
      </c>
      <c r="B2600" s="105" t="s">
        <v>2895</v>
      </c>
      <c r="C2600" s="106" t="s">
        <v>801</v>
      </c>
      <c r="D2600" s="107">
        <v>104.85</v>
      </c>
    </row>
    <row r="2601" spans="1:4" ht="25.5" x14ac:dyDescent="0.25">
      <c r="A2601" s="104">
        <v>72319</v>
      </c>
      <c r="B2601" s="105" t="s">
        <v>2896</v>
      </c>
      <c r="C2601" s="106" t="s">
        <v>801</v>
      </c>
      <c r="D2601" s="107">
        <v>4210.58</v>
      </c>
    </row>
    <row r="2602" spans="1:4" ht="25.5" x14ac:dyDescent="0.25">
      <c r="A2602" s="104">
        <v>72341</v>
      </c>
      <c r="B2602" s="105" t="s">
        <v>2897</v>
      </c>
      <c r="C2602" s="106" t="s">
        <v>801</v>
      </c>
      <c r="D2602" s="107">
        <v>210.26</v>
      </c>
    </row>
    <row r="2603" spans="1:4" ht="25.5" x14ac:dyDescent="0.25">
      <c r="A2603" s="104">
        <v>72343</v>
      </c>
      <c r="B2603" s="105" t="s">
        <v>2898</v>
      </c>
      <c r="C2603" s="106" t="s">
        <v>801</v>
      </c>
      <c r="D2603" s="107">
        <v>249.89</v>
      </c>
    </row>
    <row r="2604" spans="1:4" ht="25.5" x14ac:dyDescent="0.25">
      <c r="A2604" s="104">
        <v>72344</v>
      </c>
      <c r="B2604" s="105" t="s">
        <v>2899</v>
      </c>
      <c r="C2604" s="106" t="s">
        <v>801</v>
      </c>
      <c r="D2604" s="107">
        <v>399.34</v>
      </c>
    </row>
    <row r="2605" spans="1:4" ht="25.5" x14ac:dyDescent="0.25">
      <c r="A2605" s="104">
        <v>72345</v>
      </c>
      <c r="B2605" s="105" t="s">
        <v>2900</v>
      </c>
      <c r="C2605" s="106" t="s">
        <v>801</v>
      </c>
      <c r="D2605" s="107">
        <v>1167.5899999999999</v>
      </c>
    </row>
    <row r="2606" spans="1:4" ht="25.5" x14ac:dyDescent="0.25">
      <c r="A2606" s="104" t="s">
        <v>2901</v>
      </c>
      <c r="B2606" s="105" t="s">
        <v>2902</v>
      </c>
      <c r="C2606" s="106" t="s">
        <v>801</v>
      </c>
      <c r="D2606" s="107">
        <v>12.45</v>
      </c>
    </row>
    <row r="2607" spans="1:4" ht="25.5" x14ac:dyDescent="0.25">
      <c r="A2607" s="104" t="s">
        <v>2903</v>
      </c>
      <c r="B2607" s="105" t="s">
        <v>2904</v>
      </c>
      <c r="C2607" s="106" t="s">
        <v>801</v>
      </c>
      <c r="D2607" s="107">
        <v>19.329999999999998</v>
      </c>
    </row>
    <row r="2608" spans="1:4" ht="25.5" x14ac:dyDescent="0.25">
      <c r="A2608" s="104" t="s">
        <v>2905</v>
      </c>
      <c r="B2608" s="105" t="s">
        <v>2906</v>
      </c>
      <c r="C2608" s="106" t="s">
        <v>801</v>
      </c>
      <c r="D2608" s="107">
        <v>57.43</v>
      </c>
    </row>
    <row r="2609" spans="1:4" ht="25.5" x14ac:dyDescent="0.25">
      <c r="A2609" s="104" t="s">
        <v>2907</v>
      </c>
      <c r="B2609" s="105" t="s">
        <v>2908</v>
      </c>
      <c r="C2609" s="106" t="s">
        <v>801</v>
      </c>
      <c r="D2609" s="107">
        <v>81.28</v>
      </c>
    </row>
    <row r="2610" spans="1:4" ht="25.5" x14ac:dyDescent="0.25">
      <c r="A2610" s="104" t="s">
        <v>2909</v>
      </c>
      <c r="B2610" s="105" t="s">
        <v>2910</v>
      </c>
      <c r="C2610" s="106" t="s">
        <v>801</v>
      </c>
      <c r="D2610" s="107">
        <v>109.17</v>
      </c>
    </row>
    <row r="2611" spans="1:4" ht="25.5" x14ac:dyDescent="0.25">
      <c r="A2611" s="104" t="s">
        <v>2911</v>
      </c>
      <c r="B2611" s="105" t="s">
        <v>2912</v>
      </c>
      <c r="C2611" s="106" t="s">
        <v>801</v>
      </c>
      <c r="D2611" s="107">
        <v>313.58999999999997</v>
      </c>
    </row>
    <row r="2612" spans="1:4" ht="25.5" x14ac:dyDescent="0.25">
      <c r="A2612" s="104" t="s">
        <v>2913</v>
      </c>
      <c r="B2612" s="105" t="s">
        <v>2914</v>
      </c>
      <c r="C2612" s="106" t="s">
        <v>801</v>
      </c>
      <c r="D2612" s="107">
        <v>814.29</v>
      </c>
    </row>
    <row r="2613" spans="1:4" ht="25.5" x14ac:dyDescent="0.25">
      <c r="A2613" s="104" t="s">
        <v>2915</v>
      </c>
      <c r="B2613" s="105" t="s">
        <v>2916</v>
      </c>
      <c r="C2613" s="106" t="s">
        <v>801</v>
      </c>
      <c r="D2613" s="107">
        <v>1113.6600000000001</v>
      </c>
    </row>
    <row r="2614" spans="1:4" ht="25.5" x14ac:dyDescent="0.25">
      <c r="A2614" s="104" t="s">
        <v>2917</v>
      </c>
      <c r="B2614" s="105" t="s">
        <v>2918</v>
      </c>
      <c r="C2614" s="106" t="s">
        <v>801</v>
      </c>
      <c r="D2614" s="107">
        <v>1825.72</v>
      </c>
    </row>
    <row r="2615" spans="1:4" ht="25.5" x14ac:dyDescent="0.25">
      <c r="A2615" s="104" t="s">
        <v>2919</v>
      </c>
      <c r="B2615" s="105" t="s">
        <v>241</v>
      </c>
      <c r="C2615" s="106" t="s">
        <v>801</v>
      </c>
      <c r="D2615" s="107">
        <v>491.52</v>
      </c>
    </row>
    <row r="2616" spans="1:4" ht="38.25" x14ac:dyDescent="0.25">
      <c r="A2616" s="104" t="s">
        <v>2920</v>
      </c>
      <c r="B2616" s="105" t="s">
        <v>2921</v>
      </c>
      <c r="C2616" s="106" t="s">
        <v>801</v>
      </c>
      <c r="D2616" s="107">
        <v>60.29</v>
      </c>
    </row>
    <row r="2617" spans="1:4" ht="51" x14ac:dyDescent="0.25">
      <c r="A2617" s="104" t="s">
        <v>2922</v>
      </c>
      <c r="B2617" s="105" t="s">
        <v>2923</v>
      </c>
      <c r="C2617" s="106" t="s">
        <v>801</v>
      </c>
      <c r="D2617" s="107">
        <v>454.44</v>
      </c>
    </row>
    <row r="2618" spans="1:4" ht="51" x14ac:dyDescent="0.25">
      <c r="A2618" s="104" t="s">
        <v>2924</v>
      </c>
      <c r="B2618" s="105" t="s">
        <v>2925</v>
      </c>
      <c r="C2618" s="106" t="s">
        <v>801</v>
      </c>
      <c r="D2618" s="107">
        <v>521.28</v>
      </c>
    </row>
    <row r="2619" spans="1:4" ht="51" x14ac:dyDescent="0.25">
      <c r="A2619" s="104" t="s">
        <v>2926</v>
      </c>
      <c r="B2619" s="105" t="s">
        <v>2927</v>
      </c>
      <c r="C2619" s="106" t="s">
        <v>801</v>
      </c>
      <c r="D2619" s="107">
        <v>599.76</v>
      </c>
    </row>
    <row r="2620" spans="1:4" ht="51" x14ac:dyDescent="0.25">
      <c r="A2620" s="104" t="s">
        <v>2928</v>
      </c>
      <c r="B2620" s="105" t="s">
        <v>2929</v>
      </c>
      <c r="C2620" s="106" t="s">
        <v>801</v>
      </c>
      <c r="D2620" s="107">
        <v>842.91</v>
      </c>
    </row>
    <row r="2621" spans="1:4" ht="51" x14ac:dyDescent="0.25">
      <c r="A2621" s="104" t="s">
        <v>2930</v>
      </c>
      <c r="B2621" s="105" t="s">
        <v>2931</v>
      </c>
      <c r="C2621" s="106" t="s">
        <v>801</v>
      </c>
      <c r="D2621" s="107">
        <v>1220.8399999999999</v>
      </c>
    </row>
    <row r="2622" spans="1:4" ht="51" x14ac:dyDescent="0.25">
      <c r="A2622" s="104">
        <v>83463</v>
      </c>
      <c r="B2622" s="105" t="s">
        <v>2932</v>
      </c>
      <c r="C2622" s="106" t="s">
        <v>801</v>
      </c>
      <c r="D2622" s="107">
        <v>352.75</v>
      </c>
    </row>
    <row r="2623" spans="1:4" ht="38.25" x14ac:dyDescent="0.25">
      <c r="A2623" s="104">
        <v>84402</v>
      </c>
      <c r="B2623" s="105" t="s">
        <v>2933</v>
      </c>
      <c r="C2623" s="106" t="s">
        <v>801</v>
      </c>
      <c r="D2623" s="107">
        <v>76.28</v>
      </c>
    </row>
    <row r="2624" spans="1:4" ht="25.5" x14ac:dyDescent="0.25">
      <c r="A2624" s="104">
        <v>93653</v>
      </c>
      <c r="B2624" s="105" t="s">
        <v>342</v>
      </c>
      <c r="C2624" s="106" t="s">
        <v>801</v>
      </c>
      <c r="D2624" s="107">
        <v>9.67</v>
      </c>
    </row>
    <row r="2625" spans="1:4" ht="25.5" x14ac:dyDescent="0.25">
      <c r="A2625" s="104">
        <v>93654</v>
      </c>
      <c r="B2625" s="105" t="s">
        <v>2934</v>
      </c>
      <c r="C2625" s="106" t="s">
        <v>801</v>
      </c>
      <c r="D2625" s="107">
        <v>10.09</v>
      </c>
    </row>
    <row r="2626" spans="1:4" ht="25.5" x14ac:dyDescent="0.25">
      <c r="A2626" s="104">
        <v>93655</v>
      </c>
      <c r="B2626" s="105" t="s">
        <v>230</v>
      </c>
      <c r="C2626" s="106" t="s">
        <v>801</v>
      </c>
      <c r="D2626" s="107">
        <v>10.89</v>
      </c>
    </row>
    <row r="2627" spans="1:4" ht="25.5" x14ac:dyDescent="0.25">
      <c r="A2627" s="104">
        <v>93656</v>
      </c>
      <c r="B2627" s="105" t="s">
        <v>2935</v>
      </c>
      <c r="C2627" s="106" t="s">
        <v>801</v>
      </c>
      <c r="D2627" s="107">
        <v>10.89</v>
      </c>
    </row>
    <row r="2628" spans="1:4" ht="25.5" x14ac:dyDescent="0.25">
      <c r="A2628" s="104">
        <v>93657</v>
      </c>
      <c r="B2628" s="105" t="s">
        <v>387</v>
      </c>
      <c r="C2628" s="106" t="s">
        <v>801</v>
      </c>
      <c r="D2628" s="107">
        <v>11.89</v>
      </c>
    </row>
    <row r="2629" spans="1:4" ht="25.5" x14ac:dyDescent="0.25">
      <c r="A2629" s="104">
        <v>93658</v>
      </c>
      <c r="B2629" s="105" t="s">
        <v>2936</v>
      </c>
      <c r="C2629" s="106" t="s">
        <v>801</v>
      </c>
      <c r="D2629" s="107">
        <v>17.21</v>
      </c>
    </row>
    <row r="2630" spans="1:4" ht="25.5" x14ac:dyDescent="0.25">
      <c r="A2630" s="104">
        <v>93659</v>
      </c>
      <c r="B2630" s="105" t="s">
        <v>2937</v>
      </c>
      <c r="C2630" s="106" t="s">
        <v>801</v>
      </c>
      <c r="D2630" s="107">
        <v>19.18</v>
      </c>
    </row>
    <row r="2631" spans="1:4" ht="25.5" x14ac:dyDescent="0.25">
      <c r="A2631" s="104">
        <v>93660</v>
      </c>
      <c r="B2631" s="105" t="s">
        <v>343</v>
      </c>
      <c r="C2631" s="106" t="s">
        <v>801</v>
      </c>
      <c r="D2631" s="107">
        <v>48.62</v>
      </c>
    </row>
    <row r="2632" spans="1:4" ht="25.5" x14ac:dyDescent="0.25">
      <c r="A2632" s="104">
        <v>93661</v>
      </c>
      <c r="B2632" s="105" t="s">
        <v>2938</v>
      </c>
      <c r="C2632" s="106" t="s">
        <v>801</v>
      </c>
      <c r="D2632" s="107">
        <v>49.44</v>
      </c>
    </row>
    <row r="2633" spans="1:4" ht="25.5" x14ac:dyDescent="0.25">
      <c r="A2633" s="104">
        <v>93662</v>
      </c>
      <c r="B2633" s="105" t="s">
        <v>234</v>
      </c>
      <c r="C2633" s="106" t="s">
        <v>801</v>
      </c>
      <c r="D2633" s="107">
        <v>51.1</v>
      </c>
    </row>
    <row r="2634" spans="1:4" ht="25.5" x14ac:dyDescent="0.25">
      <c r="A2634" s="104">
        <v>93663</v>
      </c>
      <c r="B2634" s="105" t="s">
        <v>235</v>
      </c>
      <c r="C2634" s="106" t="s">
        <v>801</v>
      </c>
      <c r="D2634" s="107">
        <v>51.1</v>
      </c>
    </row>
    <row r="2635" spans="1:4" ht="25.5" x14ac:dyDescent="0.25">
      <c r="A2635" s="104">
        <v>93664</v>
      </c>
      <c r="B2635" s="105" t="s">
        <v>236</v>
      </c>
      <c r="C2635" s="106" t="s">
        <v>801</v>
      </c>
      <c r="D2635" s="107">
        <v>53.06</v>
      </c>
    </row>
    <row r="2636" spans="1:4" ht="25.5" x14ac:dyDescent="0.25">
      <c r="A2636" s="104">
        <v>93665</v>
      </c>
      <c r="B2636" s="105" t="s">
        <v>237</v>
      </c>
      <c r="C2636" s="106" t="s">
        <v>801</v>
      </c>
      <c r="D2636" s="107">
        <v>55.43</v>
      </c>
    </row>
    <row r="2637" spans="1:4" ht="25.5" x14ac:dyDescent="0.25">
      <c r="A2637" s="104">
        <v>93666</v>
      </c>
      <c r="B2637" s="105" t="s">
        <v>238</v>
      </c>
      <c r="C2637" s="106" t="s">
        <v>801</v>
      </c>
      <c r="D2637" s="107">
        <v>59.38</v>
      </c>
    </row>
    <row r="2638" spans="1:4" ht="25.5" x14ac:dyDescent="0.25">
      <c r="A2638" s="104">
        <v>93667</v>
      </c>
      <c r="B2638" s="105" t="s">
        <v>2939</v>
      </c>
      <c r="C2638" s="106" t="s">
        <v>801</v>
      </c>
      <c r="D2638" s="107">
        <v>60.58</v>
      </c>
    </row>
    <row r="2639" spans="1:4" ht="25.5" x14ac:dyDescent="0.25">
      <c r="A2639" s="104">
        <v>93668</v>
      </c>
      <c r="B2639" s="105" t="s">
        <v>388</v>
      </c>
      <c r="C2639" s="106" t="s">
        <v>801</v>
      </c>
      <c r="D2639" s="107">
        <v>61.82</v>
      </c>
    </row>
    <row r="2640" spans="1:4" ht="25.5" x14ac:dyDescent="0.25">
      <c r="A2640" s="104">
        <v>93669</v>
      </c>
      <c r="B2640" s="105" t="s">
        <v>2940</v>
      </c>
      <c r="C2640" s="106" t="s">
        <v>801</v>
      </c>
      <c r="D2640" s="107">
        <v>64.290000000000006</v>
      </c>
    </row>
    <row r="2641" spans="1:4" ht="25.5" x14ac:dyDescent="0.25">
      <c r="A2641" s="104">
        <v>93670</v>
      </c>
      <c r="B2641" s="105" t="s">
        <v>2941</v>
      </c>
      <c r="C2641" s="106" t="s">
        <v>801</v>
      </c>
      <c r="D2641" s="107">
        <v>64.290000000000006</v>
      </c>
    </row>
    <row r="2642" spans="1:4" ht="25.5" x14ac:dyDescent="0.25">
      <c r="A2642" s="104">
        <v>93671</v>
      </c>
      <c r="B2642" s="105" t="s">
        <v>239</v>
      </c>
      <c r="C2642" s="106" t="s">
        <v>801</v>
      </c>
      <c r="D2642" s="107">
        <v>67.25</v>
      </c>
    </row>
    <row r="2643" spans="1:4" ht="25.5" x14ac:dyDescent="0.25">
      <c r="A2643" s="104">
        <v>93672</v>
      </c>
      <c r="B2643" s="105" t="s">
        <v>240</v>
      </c>
      <c r="C2643" s="106" t="s">
        <v>801</v>
      </c>
      <c r="D2643" s="107">
        <v>71.87</v>
      </c>
    </row>
    <row r="2644" spans="1:4" ht="25.5" x14ac:dyDescent="0.25">
      <c r="A2644" s="104">
        <v>93673</v>
      </c>
      <c r="B2644" s="105" t="s">
        <v>344</v>
      </c>
      <c r="C2644" s="106" t="s">
        <v>801</v>
      </c>
      <c r="D2644" s="107">
        <v>77.790000000000006</v>
      </c>
    </row>
    <row r="2645" spans="1:4" ht="25.5" x14ac:dyDescent="0.25">
      <c r="A2645" s="104">
        <v>97359</v>
      </c>
      <c r="B2645" s="105" t="s">
        <v>11145</v>
      </c>
      <c r="C2645" s="106" t="s">
        <v>801</v>
      </c>
      <c r="D2645" s="107">
        <v>2528.0300000000002</v>
      </c>
    </row>
    <row r="2646" spans="1:4" ht="25.5" x14ac:dyDescent="0.25">
      <c r="A2646" s="104">
        <v>97360</v>
      </c>
      <c r="B2646" s="105" t="s">
        <v>11146</v>
      </c>
      <c r="C2646" s="106" t="s">
        <v>801</v>
      </c>
      <c r="D2646" s="107">
        <v>4875.79</v>
      </c>
    </row>
    <row r="2647" spans="1:4" ht="25.5" x14ac:dyDescent="0.25">
      <c r="A2647" s="104">
        <v>97361</v>
      </c>
      <c r="B2647" s="105" t="s">
        <v>11147</v>
      </c>
      <c r="C2647" s="106" t="s">
        <v>801</v>
      </c>
      <c r="D2647" s="107">
        <v>6501.06</v>
      </c>
    </row>
    <row r="2648" spans="1:4" ht="38.25" x14ac:dyDescent="0.25">
      <c r="A2648" s="104">
        <v>91945</v>
      </c>
      <c r="B2648" s="105" t="s">
        <v>2942</v>
      </c>
      <c r="C2648" s="106" t="s">
        <v>801</v>
      </c>
      <c r="D2648" s="107">
        <v>5.98</v>
      </c>
    </row>
    <row r="2649" spans="1:4" ht="38.25" x14ac:dyDescent="0.25">
      <c r="A2649" s="104">
        <v>91946</v>
      </c>
      <c r="B2649" s="105" t="s">
        <v>2943</v>
      </c>
      <c r="C2649" s="106" t="s">
        <v>801</v>
      </c>
      <c r="D2649" s="107">
        <v>4.91</v>
      </c>
    </row>
    <row r="2650" spans="1:4" ht="38.25" x14ac:dyDescent="0.25">
      <c r="A2650" s="104">
        <v>91947</v>
      </c>
      <c r="B2650" s="105" t="s">
        <v>2944</v>
      </c>
      <c r="C2650" s="106" t="s">
        <v>801</v>
      </c>
      <c r="D2650" s="109">
        <v>4.25</v>
      </c>
    </row>
    <row r="2651" spans="1:4" ht="38.25" x14ac:dyDescent="0.25">
      <c r="A2651" s="104">
        <v>91949</v>
      </c>
      <c r="B2651" s="105" t="s">
        <v>2945</v>
      </c>
      <c r="C2651" s="106" t="s">
        <v>801</v>
      </c>
      <c r="D2651" s="107">
        <v>8.99</v>
      </c>
    </row>
    <row r="2652" spans="1:4" ht="38.25" x14ac:dyDescent="0.25">
      <c r="A2652" s="104">
        <v>91950</v>
      </c>
      <c r="B2652" s="105" t="s">
        <v>2946</v>
      </c>
      <c r="C2652" s="106" t="s">
        <v>801</v>
      </c>
      <c r="D2652" s="107">
        <v>7.7</v>
      </c>
    </row>
    <row r="2653" spans="1:4" ht="38.25" x14ac:dyDescent="0.25">
      <c r="A2653" s="104">
        <v>91951</v>
      </c>
      <c r="B2653" s="105" t="s">
        <v>2947</v>
      </c>
      <c r="C2653" s="106" t="s">
        <v>801</v>
      </c>
      <c r="D2653" s="107">
        <v>6.93</v>
      </c>
    </row>
    <row r="2654" spans="1:4" ht="25.5" x14ac:dyDescent="0.25">
      <c r="A2654" s="104">
        <v>91952</v>
      </c>
      <c r="B2654" s="105" t="s">
        <v>2948</v>
      </c>
      <c r="C2654" s="106" t="s">
        <v>801</v>
      </c>
      <c r="D2654" s="109">
        <v>11.46</v>
      </c>
    </row>
    <row r="2655" spans="1:4" ht="25.5" x14ac:dyDescent="0.25">
      <c r="A2655" s="106">
        <v>91953</v>
      </c>
      <c r="B2655" s="105" t="s">
        <v>214</v>
      </c>
      <c r="C2655" s="106" t="s">
        <v>801</v>
      </c>
      <c r="D2655" s="107">
        <v>16.37</v>
      </c>
    </row>
    <row r="2656" spans="1:4" ht="25.5" x14ac:dyDescent="0.25">
      <c r="A2656" s="106">
        <v>91954</v>
      </c>
      <c r="B2656" s="105" t="s">
        <v>2949</v>
      </c>
      <c r="C2656" s="106" t="s">
        <v>801</v>
      </c>
      <c r="D2656" s="107">
        <v>15.42</v>
      </c>
    </row>
    <row r="2657" spans="1:4" ht="25.5" x14ac:dyDescent="0.25">
      <c r="A2657" s="106">
        <v>91955</v>
      </c>
      <c r="B2657" s="105" t="s">
        <v>213</v>
      </c>
      <c r="C2657" s="106" t="s">
        <v>801</v>
      </c>
      <c r="D2657" s="107">
        <v>20.329999999999998</v>
      </c>
    </row>
    <row r="2658" spans="1:4" ht="38.25" x14ac:dyDescent="0.25">
      <c r="A2658" s="106">
        <v>91956</v>
      </c>
      <c r="B2658" s="105" t="s">
        <v>2950</v>
      </c>
      <c r="C2658" s="106" t="s">
        <v>801</v>
      </c>
      <c r="D2658" s="107">
        <v>24.89</v>
      </c>
    </row>
    <row r="2659" spans="1:4" ht="38.25" x14ac:dyDescent="0.25">
      <c r="A2659" s="106">
        <v>91957</v>
      </c>
      <c r="B2659" s="105" t="s">
        <v>2951</v>
      </c>
      <c r="C2659" s="106" t="s">
        <v>801</v>
      </c>
      <c r="D2659" s="107">
        <v>29.8</v>
      </c>
    </row>
    <row r="2660" spans="1:4" ht="25.5" x14ac:dyDescent="0.25">
      <c r="A2660" s="106">
        <v>91958</v>
      </c>
      <c r="B2660" s="105" t="s">
        <v>2952</v>
      </c>
      <c r="C2660" s="106" t="s">
        <v>801</v>
      </c>
      <c r="D2660" s="107">
        <v>20.96</v>
      </c>
    </row>
    <row r="2661" spans="1:4" ht="25.5" x14ac:dyDescent="0.25">
      <c r="A2661" s="106">
        <v>91959</v>
      </c>
      <c r="B2661" s="105" t="s">
        <v>348</v>
      </c>
      <c r="C2661" s="106" t="s">
        <v>801</v>
      </c>
      <c r="D2661" s="107">
        <v>25.87</v>
      </c>
    </row>
    <row r="2662" spans="1:4" ht="25.5" x14ac:dyDescent="0.25">
      <c r="A2662" s="106">
        <v>91960</v>
      </c>
      <c r="B2662" s="105" t="s">
        <v>2953</v>
      </c>
      <c r="C2662" s="106" t="s">
        <v>801</v>
      </c>
      <c r="D2662" s="107">
        <v>28.85</v>
      </c>
    </row>
    <row r="2663" spans="1:4" ht="25.5" x14ac:dyDescent="0.25">
      <c r="A2663" s="106">
        <v>91961</v>
      </c>
      <c r="B2663" s="105" t="s">
        <v>215</v>
      </c>
      <c r="C2663" s="106" t="s">
        <v>801</v>
      </c>
      <c r="D2663" s="109">
        <v>33.76</v>
      </c>
    </row>
    <row r="2664" spans="1:4" ht="38.25" x14ac:dyDescent="0.25">
      <c r="A2664" s="106">
        <v>91962</v>
      </c>
      <c r="B2664" s="105" t="s">
        <v>2954</v>
      </c>
      <c r="C2664" s="106" t="s">
        <v>801</v>
      </c>
      <c r="D2664" s="107">
        <v>38.35</v>
      </c>
    </row>
    <row r="2665" spans="1:4" ht="38.25" x14ac:dyDescent="0.25">
      <c r="A2665" s="106">
        <v>91963</v>
      </c>
      <c r="B2665" s="105" t="s">
        <v>2955</v>
      </c>
      <c r="C2665" s="106" t="s">
        <v>801</v>
      </c>
      <c r="D2665" s="107">
        <v>43.26</v>
      </c>
    </row>
    <row r="2666" spans="1:4" ht="38.25" x14ac:dyDescent="0.25">
      <c r="A2666" s="106">
        <v>91964</v>
      </c>
      <c r="B2666" s="105" t="s">
        <v>2956</v>
      </c>
      <c r="C2666" s="106" t="s">
        <v>801</v>
      </c>
      <c r="D2666" s="107">
        <v>34.39</v>
      </c>
    </row>
    <row r="2667" spans="1:4" ht="38.25" x14ac:dyDescent="0.25">
      <c r="A2667" s="106">
        <v>91965</v>
      </c>
      <c r="B2667" s="105" t="s">
        <v>2957</v>
      </c>
      <c r="C2667" s="106" t="s">
        <v>801</v>
      </c>
      <c r="D2667" s="107">
        <v>39.299999999999997</v>
      </c>
    </row>
    <row r="2668" spans="1:4" ht="25.5" x14ac:dyDescent="0.25">
      <c r="A2668" s="106">
        <v>91966</v>
      </c>
      <c r="B2668" s="105" t="s">
        <v>2958</v>
      </c>
      <c r="C2668" s="106" t="s">
        <v>801</v>
      </c>
      <c r="D2668" s="107">
        <v>30.48</v>
      </c>
    </row>
    <row r="2669" spans="1:4" ht="25.5" x14ac:dyDescent="0.25">
      <c r="A2669" s="106">
        <v>91967</v>
      </c>
      <c r="B2669" s="105" t="s">
        <v>216</v>
      </c>
      <c r="C2669" s="106" t="s">
        <v>801</v>
      </c>
      <c r="D2669" s="107">
        <v>35.39</v>
      </c>
    </row>
    <row r="2670" spans="1:4" ht="25.5" x14ac:dyDescent="0.25">
      <c r="A2670" s="106">
        <v>91968</v>
      </c>
      <c r="B2670" s="105" t="s">
        <v>2959</v>
      </c>
      <c r="C2670" s="106" t="s">
        <v>801</v>
      </c>
      <c r="D2670" s="107">
        <v>42.28</v>
      </c>
    </row>
    <row r="2671" spans="1:4" ht="25.5" x14ac:dyDescent="0.25">
      <c r="A2671" s="104">
        <v>91969</v>
      </c>
      <c r="B2671" s="105" t="s">
        <v>2960</v>
      </c>
      <c r="C2671" s="106" t="s">
        <v>801</v>
      </c>
      <c r="D2671" s="107">
        <v>47.19</v>
      </c>
    </row>
    <row r="2672" spans="1:4" ht="38.25" x14ac:dyDescent="0.25">
      <c r="A2672" s="104">
        <v>91970</v>
      </c>
      <c r="B2672" s="105" t="s">
        <v>2961</v>
      </c>
      <c r="C2672" s="106" t="s">
        <v>801</v>
      </c>
      <c r="D2672" s="107">
        <v>44.13</v>
      </c>
    </row>
    <row r="2673" spans="1:4" ht="38.25" x14ac:dyDescent="0.25">
      <c r="A2673" s="104">
        <v>91971</v>
      </c>
      <c r="B2673" s="105" t="s">
        <v>2962</v>
      </c>
      <c r="C2673" s="106" t="s">
        <v>801</v>
      </c>
      <c r="D2673" s="107">
        <v>51.83</v>
      </c>
    </row>
    <row r="2674" spans="1:4" ht="38.25" x14ac:dyDescent="0.25">
      <c r="A2674" s="104">
        <v>91972</v>
      </c>
      <c r="B2674" s="105" t="s">
        <v>2963</v>
      </c>
      <c r="C2674" s="106" t="s">
        <v>801</v>
      </c>
      <c r="D2674" s="107">
        <v>48.09</v>
      </c>
    </row>
    <row r="2675" spans="1:4" ht="38.25" x14ac:dyDescent="0.25">
      <c r="A2675" s="104">
        <v>91973</v>
      </c>
      <c r="B2675" s="105" t="s">
        <v>2964</v>
      </c>
      <c r="C2675" s="106" t="s">
        <v>801</v>
      </c>
      <c r="D2675" s="107">
        <v>55.79</v>
      </c>
    </row>
    <row r="2676" spans="1:4" ht="25.5" x14ac:dyDescent="0.25">
      <c r="A2676" s="104">
        <v>91974</v>
      </c>
      <c r="B2676" s="105" t="s">
        <v>2965</v>
      </c>
      <c r="C2676" s="106" t="s">
        <v>801</v>
      </c>
      <c r="D2676" s="107">
        <v>40.18</v>
      </c>
    </row>
    <row r="2677" spans="1:4" ht="25.5" x14ac:dyDescent="0.25">
      <c r="A2677" s="104">
        <v>91975</v>
      </c>
      <c r="B2677" s="105" t="s">
        <v>2966</v>
      </c>
      <c r="C2677" s="106" t="s">
        <v>801</v>
      </c>
      <c r="D2677" s="107">
        <v>47.88</v>
      </c>
    </row>
    <row r="2678" spans="1:4" ht="25.5" x14ac:dyDescent="0.25">
      <c r="A2678" s="104">
        <v>91976</v>
      </c>
      <c r="B2678" s="105" t="s">
        <v>2967</v>
      </c>
      <c r="C2678" s="106" t="s">
        <v>801</v>
      </c>
      <c r="D2678" s="107">
        <v>59.26</v>
      </c>
    </row>
    <row r="2679" spans="1:4" ht="25.5" x14ac:dyDescent="0.25">
      <c r="A2679" s="104">
        <v>91977</v>
      </c>
      <c r="B2679" s="105" t="s">
        <v>2968</v>
      </c>
      <c r="C2679" s="106" t="s">
        <v>801</v>
      </c>
      <c r="D2679" s="107">
        <v>66.959999999999994</v>
      </c>
    </row>
    <row r="2680" spans="1:4" ht="25.5" x14ac:dyDescent="0.25">
      <c r="A2680" s="104">
        <v>91978</v>
      </c>
      <c r="B2680" s="105" t="s">
        <v>2969</v>
      </c>
      <c r="C2680" s="106" t="s">
        <v>801</v>
      </c>
      <c r="D2680" s="107">
        <v>24.12</v>
      </c>
    </row>
    <row r="2681" spans="1:4" ht="25.5" x14ac:dyDescent="0.25">
      <c r="A2681" s="104">
        <v>91979</v>
      </c>
      <c r="B2681" s="105" t="s">
        <v>2970</v>
      </c>
      <c r="C2681" s="106" t="s">
        <v>801</v>
      </c>
      <c r="D2681" s="107">
        <v>29.03</v>
      </c>
    </row>
    <row r="2682" spans="1:4" ht="25.5" x14ac:dyDescent="0.25">
      <c r="A2682" s="104">
        <v>91980</v>
      </c>
      <c r="B2682" s="105" t="s">
        <v>2971</v>
      </c>
      <c r="C2682" s="106" t="s">
        <v>801</v>
      </c>
      <c r="D2682" s="107">
        <v>23.39</v>
      </c>
    </row>
    <row r="2683" spans="1:4" ht="25.5" x14ac:dyDescent="0.25">
      <c r="A2683" s="104">
        <v>91981</v>
      </c>
      <c r="B2683" s="105" t="s">
        <v>2972</v>
      </c>
      <c r="C2683" s="106" t="s">
        <v>801</v>
      </c>
      <c r="D2683" s="107">
        <v>28.3</v>
      </c>
    </row>
    <row r="2684" spans="1:4" ht="25.5" x14ac:dyDescent="0.25">
      <c r="A2684" s="104">
        <v>91982</v>
      </c>
      <c r="B2684" s="105" t="s">
        <v>2973</v>
      </c>
      <c r="C2684" s="106" t="s">
        <v>801</v>
      </c>
      <c r="D2684" s="107">
        <v>53.13</v>
      </c>
    </row>
    <row r="2685" spans="1:4" ht="25.5" x14ac:dyDescent="0.25">
      <c r="A2685" s="104">
        <v>91983</v>
      </c>
      <c r="B2685" s="105" t="s">
        <v>2974</v>
      </c>
      <c r="C2685" s="106" t="s">
        <v>801</v>
      </c>
      <c r="D2685" s="107">
        <v>58.04</v>
      </c>
    </row>
    <row r="2686" spans="1:4" ht="25.5" x14ac:dyDescent="0.25">
      <c r="A2686" s="104">
        <v>91984</v>
      </c>
      <c r="B2686" s="105" t="s">
        <v>2975</v>
      </c>
      <c r="C2686" s="106" t="s">
        <v>801</v>
      </c>
      <c r="D2686" s="107">
        <v>10.79</v>
      </c>
    </row>
    <row r="2687" spans="1:4" ht="38.25" x14ac:dyDescent="0.25">
      <c r="A2687" s="104">
        <v>91985</v>
      </c>
      <c r="B2687" s="105" t="s">
        <v>2976</v>
      </c>
      <c r="C2687" s="106" t="s">
        <v>801</v>
      </c>
      <c r="D2687" s="107">
        <v>15.7</v>
      </c>
    </row>
    <row r="2688" spans="1:4" ht="25.5" x14ac:dyDescent="0.25">
      <c r="A2688" s="104">
        <v>91986</v>
      </c>
      <c r="B2688" s="105" t="s">
        <v>2977</v>
      </c>
      <c r="C2688" s="106" t="s">
        <v>801</v>
      </c>
      <c r="D2688" s="107">
        <v>22.49</v>
      </c>
    </row>
    <row r="2689" spans="1:4" ht="25.5" x14ac:dyDescent="0.25">
      <c r="A2689" s="104">
        <v>91987</v>
      </c>
      <c r="B2689" s="105" t="s">
        <v>2978</v>
      </c>
      <c r="C2689" s="106" t="s">
        <v>801</v>
      </c>
      <c r="D2689" s="107">
        <v>27.4</v>
      </c>
    </row>
    <row r="2690" spans="1:4" ht="25.5" x14ac:dyDescent="0.25">
      <c r="A2690" s="104">
        <v>91988</v>
      </c>
      <c r="B2690" s="105" t="s">
        <v>2979</v>
      </c>
      <c r="C2690" s="106" t="s">
        <v>801</v>
      </c>
      <c r="D2690" s="107">
        <v>13.21</v>
      </c>
    </row>
    <row r="2691" spans="1:4" ht="38.25" x14ac:dyDescent="0.25">
      <c r="A2691" s="104">
        <v>91989</v>
      </c>
      <c r="B2691" s="105" t="s">
        <v>2980</v>
      </c>
      <c r="C2691" s="106" t="s">
        <v>801</v>
      </c>
      <c r="D2691" s="107">
        <v>18.12</v>
      </c>
    </row>
    <row r="2692" spans="1:4" ht="25.5" x14ac:dyDescent="0.25">
      <c r="A2692" s="104">
        <v>91990</v>
      </c>
      <c r="B2692" s="105" t="s">
        <v>218</v>
      </c>
      <c r="C2692" s="106" t="s">
        <v>801</v>
      </c>
      <c r="D2692" s="107">
        <v>20.89</v>
      </c>
    </row>
    <row r="2693" spans="1:4" ht="25.5" x14ac:dyDescent="0.25">
      <c r="A2693" s="104">
        <v>91991</v>
      </c>
      <c r="B2693" s="105" t="s">
        <v>2981</v>
      </c>
      <c r="C2693" s="106" t="s">
        <v>801</v>
      </c>
      <c r="D2693" s="107">
        <v>22.19</v>
      </c>
    </row>
    <row r="2694" spans="1:4" ht="25.5" x14ac:dyDescent="0.25">
      <c r="A2694" s="104">
        <v>91992</v>
      </c>
      <c r="B2694" s="105" t="s">
        <v>210</v>
      </c>
      <c r="C2694" s="106" t="s">
        <v>801</v>
      </c>
      <c r="D2694" s="107">
        <v>25.8</v>
      </c>
    </row>
    <row r="2695" spans="1:4" ht="25.5" x14ac:dyDescent="0.25">
      <c r="A2695" s="104">
        <v>91993</v>
      </c>
      <c r="B2695" s="105" t="s">
        <v>212</v>
      </c>
      <c r="C2695" s="106" t="s">
        <v>801</v>
      </c>
      <c r="D2695" s="107">
        <v>27.1</v>
      </c>
    </row>
    <row r="2696" spans="1:4" ht="25.5" x14ac:dyDescent="0.25">
      <c r="A2696" s="104">
        <v>91994</v>
      </c>
      <c r="B2696" s="105" t="s">
        <v>2982</v>
      </c>
      <c r="C2696" s="106" t="s">
        <v>801</v>
      </c>
      <c r="D2696" s="107">
        <v>14.75</v>
      </c>
    </row>
    <row r="2697" spans="1:4" ht="25.5" x14ac:dyDescent="0.25">
      <c r="A2697" s="104">
        <v>91995</v>
      </c>
      <c r="B2697" s="105" t="s">
        <v>2983</v>
      </c>
      <c r="C2697" s="106" t="s">
        <v>801</v>
      </c>
      <c r="D2697" s="107">
        <v>16.05</v>
      </c>
    </row>
    <row r="2698" spans="1:4" ht="25.5" x14ac:dyDescent="0.25">
      <c r="A2698" s="104">
        <v>91996</v>
      </c>
      <c r="B2698" s="105" t="s">
        <v>209</v>
      </c>
      <c r="C2698" s="106" t="s">
        <v>801</v>
      </c>
      <c r="D2698" s="107">
        <v>19.66</v>
      </c>
    </row>
    <row r="2699" spans="1:4" ht="25.5" x14ac:dyDescent="0.25">
      <c r="A2699" s="104">
        <v>91997</v>
      </c>
      <c r="B2699" s="105" t="s">
        <v>2984</v>
      </c>
      <c r="C2699" s="106" t="s">
        <v>801</v>
      </c>
      <c r="D2699" s="107">
        <v>20.96</v>
      </c>
    </row>
    <row r="2700" spans="1:4" ht="25.5" x14ac:dyDescent="0.25">
      <c r="A2700" s="104">
        <v>91998</v>
      </c>
      <c r="B2700" s="105" t="s">
        <v>2985</v>
      </c>
      <c r="C2700" s="106" t="s">
        <v>801</v>
      </c>
      <c r="D2700" s="107">
        <v>12.35</v>
      </c>
    </row>
    <row r="2701" spans="1:4" ht="25.5" x14ac:dyDescent="0.25">
      <c r="A2701" s="104">
        <v>91999</v>
      </c>
      <c r="B2701" s="105" t="s">
        <v>2986</v>
      </c>
      <c r="C2701" s="106" t="s">
        <v>801</v>
      </c>
      <c r="D2701" s="107">
        <v>13.65</v>
      </c>
    </row>
    <row r="2702" spans="1:4" ht="25.5" x14ac:dyDescent="0.25">
      <c r="A2702" s="104">
        <v>92000</v>
      </c>
      <c r="B2702" s="105" t="s">
        <v>208</v>
      </c>
      <c r="C2702" s="106" t="s">
        <v>801</v>
      </c>
      <c r="D2702" s="107">
        <v>17.260000000000002</v>
      </c>
    </row>
    <row r="2703" spans="1:4" ht="25.5" x14ac:dyDescent="0.25">
      <c r="A2703" s="104">
        <v>92001</v>
      </c>
      <c r="B2703" s="105" t="s">
        <v>211</v>
      </c>
      <c r="C2703" s="106" t="s">
        <v>801</v>
      </c>
      <c r="D2703" s="107">
        <v>18.559999999999999</v>
      </c>
    </row>
    <row r="2704" spans="1:4" ht="25.5" x14ac:dyDescent="0.25">
      <c r="A2704" s="104">
        <v>92002</v>
      </c>
      <c r="B2704" s="105" t="s">
        <v>2987</v>
      </c>
      <c r="C2704" s="106" t="s">
        <v>801</v>
      </c>
      <c r="D2704" s="107">
        <v>27.51</v>
      </c>
    </row>
    <row r="2705" spans="1:4" ht="25.5" x14ac:dyDescent="0.25">
      <c r="A2705" s="104">
        <v>92003</v>
      </c>
      <c r="B2705" s="105" t="s">
        <v>2988</v>
      </c>
      <c r="C2705" s="106" t="s">
        <v>801</v>
      </c>
      <c r="D2705" s="107">
        <v>30.11</v>
      </c>
    </row>
    <row r="2706" spans="1:4" ht="25.5" x14ac:dyDescent="0.25">
      <c r="A2706" s="104">
        <v>92004</v>
      </c>
      <c r="B2706" s="105" t="s">
        <v>2989</v>
      </c>
      <c r="C2706" s="106" t="s">
        <v>801</v>
      </c>
      <c r="D2706" s="107">
        <v>32.42</v>
      </c>
    </row>
    <row r="2707" spans="1:4" ht="25.5" x14ac:dyDescent="0.25">
      <c r="A2707" s="104">
        <v>92005</v>
      </c>
      <c r="B2707" s="105" t="s">
        <v>2990</v>
      </c>
      <c r="C2707" s="106" t="s">
        <v>801</v>
      </c>
      <c r="D2707" s="107">
        <v>35.020000000000003</v>
      </c>
    </row>
    <row r="2708" spans="1:4" ht="25.5" x14ac:dyDescent="0.25">
      <c r="A2708" s="104">
        <v>92006</v>
      </c>
      <c r="B2708" s="105" t="s">
        <v>2991</v>
      </c>
      <c r="C2708" s="106" t="s">
        <v>801</v>
      </c>
      <c r="D2708" s="107">
        <v>22.73</v>
      </c>
    </row>
    <row r="2709" spans="1:4" ht="25.5" x14ac:dyDescent="0.25">
      <c r="A2709" s="104">
        <v>92007</v>
      </c>
      <c r="B2709" s="105" t="s">
        <v>2992</v>
      </c>
      <c r="C2709" s="106" t="s">
        <v>801</v>
      </c>
      <c r="D2709" s="107">
        <v>25.33</v>
      </c>
    </row>
    <row r="2710" spans="1:4" ht="25.5" x14ac:dyDescent="0.25">
      <c r="A2710" s="104">
        <v>92008</v>
      </c>
      <c r="B2710" s="105" t="s">
        <v>217</v>
      </c>
      <c r="C2710" s="106" t="s">
        <v>801</v>
      </c>
      <c r="D2710" s="107">
        <v>27.64</v>
      </c>
    </row>
    <row r="2711" spans="1:4" ht="25.5" x14ac:dyDescent="0.25">
      <c r="A2711" s="104">
        <v>92009</v>
      </c>
      <c r="B2711" s="105" t="s">
        <v>2993</v>
      </c>
      <c r="C2711" s="106" t="s">
        <v>801</v>
      </c>
      <c r="D2711" s="107">
        <v>30.24</v>
      </c>
    </row>
    <row r="2712" spans="1:4" ht="25.5" x14ac:dyDescent="0.25">
      <c r="A2712" s="104">
        <v>92010</v>
      </c>
      <c r="B2712" s="105" t="s">
        <v>2994</v>
      </c>
      <c r="C2712" s="106" t="s">
        <v>801</v>
      </c>
      <c r="D2712" s="107">
        <v>40.270000000000003</v>
      </c>
    </row>
    <row r="2713" spans="1:4" ht="25.5" x14ac:dyDescent="0.25">
      <c r="A2713" s="104">
        <v>92011</v>
      </c>
      <c r="B2713" s="105" t="s">
        <v>2995</v>
      </c>
      <c r="C2713" s="106" t="s">
        <v>801</v>
      </c>
      <c r="D2713" s="107">
        <v>44.17</v>
      </c>
    </row>
    <row r="2714" spans="1:4" ht="25.5" x14ac:dyDescent="0.25">
      <c r="A2714" s="104">
        <v>92012</v>
      </c>
      <c r="B2714" s="105" t="s">
        <v>2996</v>
      </c>
      <c r="C2714" s="106" t="s">
        <v>801</v>
      </c>
      <c r="D2714" s="107">
        <v>45.18</v>
      </c>
    </row>
    <row r="2715" spans="1:4" ht="25.5" x14ac:dyDescent="0.25">
      <c r="A2715" s="104">
        <v>92013</v>
      </c>
      <c r="B2715" s="105" t="s">
        <v>2997</v>
      </c>
      <c r="C2715" s="106" t="s">
        <v>801</v>
      </c>
      <c r="D2715" s="107">
        <v>49.08</v>
      </c>
    </row>
    <row r="2716" spans="1:4" ht="25.5" x14ac:dyDescent="0.25">
      <c r="A2716" s="104">
        <v>92014</v>
      </c>
      <c r="B2716" s="105" t="s">
        <v>349</v>
      </c>
      <c r="C2716" s="106" t="s">
        <v>801</v>
      </c>
      <c r="D2716" s="107">
        <v>33.1</v>
      </c>
    </row>
    <row r="2717" spans="1:4" ht="25.5" x14ac:dyDescent="0.25">
      <c r="A2717" s="104">
        <v>92015</v>
      </c>
      <c r="B2717" s="105" t="s">
        <v>2998</v>
      </c>
      <c r="C2717" s="106" t="s">
        <v>801</v>
      </c>
      <c r="D2717" s="107">
        <v>37</v>
      </c>
    </row>
    <row r="2718" spans="1:4" ht="25.5" x14ac:dyDescent="0.25">
      <c r="A2718" s="104">
        <v>92016</v>
      </c>
      <c r="B2718" s="105" t="s">
        <v>2999</v>
      </c>
      <c r="C2718" s="106" t="s">
        <v>801</v>
      </c>
      <c r="D2718" s="107">
        <v>38.01</v>
      </c>
    </row>
    <row r="2719" spans="1:4" ht="25.5" x14ac:dyDescent="0.25">
      <c r="A2719" s="104">
        <v>92017</v>
      </c>
      <c r="B2719" s="105" t="s">
        <v>3000</v>
      </c>
      <c r="C2719" s="106" t="s">
        <v>801</v>
      </c>
      <c r="D2719" s="107">
        <v>41.91</v>
      </c>
    </row>
    <row r="2720" spans="1:4" ht="25.5" x14ac:dyDescent="0.25">
      <c r="A2720" s="104">
        <v>92018</v>
      </c>
      <c r="B2720" s="105" t="s">
        <v>3001</v>
      </c>
      <c r="C2720" s="106" t="s">
        <v>801</v>
      </c>
      <c r="D2720" s="107">
        <v>43.8</v>
      </c>
    </row>
    <row r="2721" spans="1:4" ht="25.5" x14ac:dyDescent="0.25">
      <c r="A2721" s="104">
        <v>92019</v>
      </c>
      <c r="B2721" s="105" t="s">
        <v>3002</v>
      </c>
      <c r="C2721" s="106" t="s">
        <v>801</v>
      </c>
      <c r="D2721" s="107">
        <v>51.5</v>
      </c>
    </row>
    <row r="2722" spans="1:4" ht="25.5" x14ac:dyDescent="0.25">
      <c r="A2722" s="104">
        <v>92020</v>
      </c>
      <c r="B2722" s="105" t="s">
        <v>3003</v>
      </c>
      <c r="C2722" s="106" t="s">
        <v>801</v>
      </c>
      <c r="D2722" s="107">
        <v>64.7</v>
      </c>
    </row>
    <row r="2723" spans="1:4" ht="25.5" x14ac:dyDescent="0.25">
      <c r="A2723" s="104">
        <v>92021</v>
      </c>
      <c r="B2723" s="105" t="s">
        <v>3004</v>
      </c>
      <c r="C2723" s="106" t="s">
        <v>801</v>
      </c>
      <c r="D2723" s="107">
        <v>72.400000000000006</v>
      </c>
    </row>
    <row r="2724" spans="1:4" ht="38.25" x14ac:dyDescent="0.25">
      <c r="A2724" s="104">
        <v>92022</v>
      </c>
      <c r="B2724" s="105" t="s">
        <v>3005</v>
      </c>
      <c r="C2724" s="106" t="s">
        <v>801</v>
      </c>
      <c r="D2724" s="107">
        <v>24.22</v>
      </c>
    </row>
    <row r="2725" spans="1:4" ht="38.25" x14ac:dyDescent="0.25">
      <c r="A2725" s="104">
        <v>92023</v>
      </c>
      <c r="B2725" s="105" t="s">
        <v>3006</v>
      </c>
      <c r="C2725" s="106" t="s">
        <v>801</v>
      </c>
      <c r="D2725" s="107">
        <v>29.13</v>
      </c>
    </row>
    <row r="2726" spans="1:4" ht="38.25" x14ac:dyDescent="0.25">
      <c r="A2726" s="104">
        <v>92024</v>
      </c>
      <c r="B2726" s="105" t="s">
        <v>3007</v>
      </c>
      <c r="C2726" s="106" t="s">
        <v>801</v>
      </c>
      <c r="D2726" s="107">
        <v>37.01</v>
      </c>
    </row>
    <row r="2727" spans="1:4" ht="38.25" x14ac:dyDescent="0.25">
      <c r="A2727" s="104">
        <v>92025</v>
      </c>
      <c r="B2727" s="105" t="s">
        <v>3008</v>
      </c>
      <c r="C2727" s="106" t="s">
        <v>801</v>
      </c>
      <c r="D2727" s="107">
        <v>41.92</v>
      </c>
    </row>
    <row r="2728" spans="1:4" ht="38.25" x14ac:dyDescent="0.25">
      <c r="A2728" s="104">
        <v>92026</v>
      </c>
      <c r="B2728" s="105" t="s">
        <v>3009</v>
      </c>
      <c r="C2728" s="106" t="s">
        <v>801</v>
      </c>
      <c r="D2728" s="107">
        <v>33.72</v>
      </c>
    </row>
    <row r="2729" spans="1:4" ht="38.25" x14ac:dyDescent="0.25">
      <c r="A2729" s="104">
        <v>92027</v>
      </c>
      <c r="B2729" s="105" t="s">
        <v>3010</v>
      </c>
      <c r="C2729" s="106" t="s">
        <v>801</v>
      </c>
      <c r="D2729" s="107">
        <v>38.630000000000003</v>
      </c>
    </row>
    <row r="2730" spans="1:4" ht="38.25" x14ac:dyDescent="0.25">
      <c r="A2730" s="104">
        <v>92028</v>
      </c>
      <c r="B2730" s="105" t="s">
        <v>3011</v>
      </c>
      <c r="C2730" s="106" t="s">
        <v>801</v>
      </c>
      <c r="D2730" s="107">
        <v>28.18</v>
      </c>
    </row>
    <row r="2731" spans="1:4" ht="38.25" x14ac:dyDescent="0.25">
      <c r="A2731" s="104">
        <v>92029</v>
      </c>
      <c r="B2731" s="105" t="s">
        <v>3012</v>
      </c>
      <c r="C2731" s="106" t="s">
        <v>801</v>
      </c>
      <c r="D2731" s="107">
        <v>33.090000000000003</v>
      </c>
    </row>
    <row r="2732" spans="1:4" ht="38.25" x14ac:dyDescent="0.25">
      <c r="A2732" s="104">
        <v>92030</v>
      </c>
      <c r="B2732" s="105" t="s">
        <v>3013</v>
      </c>
      <c r="C2732" s="106" t="s">
        <v>801</v>
      </c>
      <c r="D2732" s="107">
        <v>40.94</v>
      </c>
    </row>
    <row r="2733" spans="1:4" ht="38.25" x14ac:dyDescent="0.25">
      <c r="A2733" s="104">
        <v>92031</v>
      </c>
      <c r="B2733" s="105" t="s">
        <v>3014</v>
      </c>
      <c r="C2733" s="106" t="s">
        <v>801</v>
      </c>
      <c r="D2733" s="107">
        <v>45.85</v>
      </c>
    </row>
    <row r="2734" spans="1:4" ht="38.25" x14ac:dyDescent="0.25">
      <c r="A2734" s="104">
        <v>92032</v>
      </c>
      <c r="B2734" s="105" t="s">
        <v>3015</v>
      </c>
      <c r="C2734" s="106" t="s">
        <v>801</v>
      </c>
      <c r="D2734" s="107">
        <v>41.61</v>
      </c>
    </row>
    <row r="2735" spans="1:4" ht="38.25" x14ac:dyDescent="0.25">
      <c r="A2735" s="104">
        <v>92033</v>
      </c>
      <c r="B2735" s="105" t="s">
        <v>3016</v>
      </c>
      <c r="C2735" s="106" t="s">
        <v>801</v>
      </c>
      <c r="D2735" s="107">
        <v>46.52</v>
      </c>
    </row>
    <row r="2736" spans="1:4" ht="38.25" x14ac:dyDescent="0.25">
      <c r="A2736" s="104">
        <v>92034</v>
      </c>
      <c r="B2736" s="105" t="s">
        <v>3017</v>
      </c>
      <c r="C2736" s="106" t="s">
        <v>801</v>
      </c>
      <c r="D2736" s="107">
        <v>37.68</v>
      </c>
    </row>
    <row r="2737" spans="1:4" ht="38.25" x14ac:dyDescent="0.25">
      <c r="A2737" s="104">
        <v>92035</v>
      </c>
      <c r="B2737" s="105" t="s">
        <v>3018</v>
      </c>
      <c r="C2737" s="106" t="s">
        <v>801</v>
      </c>
      <c r="D2737" s="107">
        <v>42.59</v>
      </c>
    </row>
    <row r="2738" spans="1:4" x14ac:dyDescent="0.25">
      <c r="A2738" s="104">
        <v>72278</v>
      </c>
      <c r="B2738" s="105" t="s">
        <v>3019</v>
      </c>
      <c r="C2738" s="106" t="s">
        <v>801</v>
      </c>
      <c r="D2738" s="107">
        <v>63.83</v>
      </c>
    </row>
    <row r="2739" spans="1:4" ht="25.5" x14ac:dyDescent="0.25">
      <c r="A2739" s="104">
        <v>72280</v>
      </c>
      <c r="B2739" s="105" t="s">
        <v>3020</v>
      </c>
      <c r="C2739" s="106" t="s">
        <v>801</v>
      </c>
      <c r="D2739" s="107">
        <v>39.630000000000003</v>
      </c>
    </row>
    <row r="2740" spans="1:4" ht="38.25" x14ac:dyDescent="0.25">
      <c r="A2740" s="104">
        <v>97583</v>
      </c>
      <c r="B2740" s="105" t="s">
        <v>11148</v>
      </c>
      <c r="C2740" s="106" t="s">
        <v>801</v>
      </c>
      <c r="D2740" s="107">
        <v>42.63</v>
      </c>
    </row>
    <row r="2741" spans="1:4" ht="38.25" x14ac:dyDescent="0.25">
      <c r="A2741" s="104">
        <v>97584</v>
      </c>
      <c r="B2741" s="105" t="s">
        <v>11149</v>
      </c>
      <c r="C2741" s="106" t="s">
        <v>801</v>
      </c>
      <c r="D2741" s="107">
        <v>58.69</v>
      </c>
    </row>
    <row r="2742" spans="1:4" ht="38.25" x14ac:dyDescent="0.25">
      <c r="A2742" s="104">
        <v>97585</v>
      </c>
      <c r="B2742" s="105" t="s">
        <v>11150</v>
      </c>
      <c r="C2742" s="106" t="s">
        <v>801</v>
      </c>
      <c r="D2742" s="107">
        <v>56.88</v>
      </c>
    </row>
    <row r="2743" spans="1:4" ht="38.25" x14ac:dyDescent="0.25">
      <c r="A2743" s="104">
        <v>97586</v>
      </c>
      <c r="B2743" s="105" t="s">
        <v>11151</v>
      </c>
      <c r="C2743" s="106" t="s">
        <v>801</v>
      </c>
      <c r="D2743" s="107">
        <v>76.27</v>
      </c>
    </row>
    <row r="2744" spans="1:4" ht="38.25" x14ac:dyDescent="0.25">
      <c r="A2744" s="104">
        <v>97587</v>
      </c>
      <c r="B2744" s="105" t="s">
        <v>11152</v>
      </c>
      <c r="C2744" s="106" t="s">
        <v>801</v>
      </c>
      <c r="D2744" s="107">
        <v>136.55000000000001</v>
      </c>
    </row>
    <row r="2745" spans="1:4" ht="38.25" x14ac:dyDescent="0.25">
      <c r="A2745" s="104">
        <v>97589</v>
      </c>
      <c r="B2745" s="105" t="s">
        <v>11153</v>
      </c>
      <c r="C2745" s="106" t="s">
        <v>801</v>
      </c>
      <c r="D2745" s="107">
        <v>24.56</v>
      </c>
    </row>
    <row r="2746" spans="1:4" ht="38.25" x14ac:dyDescent="0.25">
      <c r="A2746" s="104">
        <v>97590</v>
      </c>
      <c r="B2746" s="105" t="s">
        <v>11154</v>
      </c>
      <c r="C2746" s="106" t="s">
        <v>801</v>
      </c>
      <c r="D2746" s="107">
        <v>51.36</v>
      </c>
    </row>
    <row r="2747" spans="1:4" ht="38.25" x14ac:dyDescent="0.25">
      <c r="A2747" s="104">
        <v>97591</v>
      </c>
      <c r="B2747" s="105" t="s">
        <v>11155</v>
      </c>
      <c r="C2747" s="106" t="s">
        <v>801</v>
      </c>
      <c r="D2747" s="107">
        <v>68.260000000000005</v>
      </c>
    </row>
    <row r="2748" spans="1:4" ht="25.5" x14ac:dyDescent="0.25">
      <c r="A2748" s="104">
        <v>97592</v>
      </c>
      <c r="B2748" s="105" t="s">
        <v>11156</v>
      </c>
      <c r="C2748" s="106" t="s">
        <v>801</v>
      </c>
      <c r="D2748" s="107">
        <v>29.09</v>
      </c>
    </row>
    <row r="2749" spans="1:4" ht="38.25" x14ac:dyDescent="0.25">
      <c r="A2749" s="104">
        <v>97593</v>
      </c>
      <c r="B2749" s="105" t="s">
        <v>11157</v>
      </c>
      <c r="C2749" s="106" t="s">
        <v>801</v>
      </c>
      <c r="D2749" s="107">
        <v>71.33</v>
      </c>
    </row>
    <row r="2750" spans="1:4" ht="38.25" x14ac:dyDescent="0.25">
      <c r="A2750" s="104">
        <v>97594</v>
      </c>
      <c r="B2750" s="105" t="s">
        <v>11158</v>
      </c>
      <c r="C2750" s="106" t="s">
        <v>801</v>
      </c>
      <c r="D2750" s="107">
        <v>67.83</v>
      </c>
    </row>
    <row r="2751" spans="1:4" ht="25.5" x14ac:dyDescent="0.25">
      <c r="A2751" s="104">
        <v>97595</v>
      </c>
      <c r="B2751" s="105" t="s">
        <v>11159</v>
      </c>
      <c r="C2751" s="106" t="s">
        <v>801</v>
      </c>
      <c r="D2751" s="107">
        <v>51.67</v>
      </c>
    </row>
    <row r="2752" spans="1:4" ht="25.5" x14ac:dyDescent="0.25">
      <c r="A2752" s="104">
        <v>97596</v>
      </c>
      <c r="B2752" s="105" t="s">
        <v>11160</v>
      </c>
      <c r="C2752" s="106" t="s">
        <v>801</v>
      </c>
      <c r="D2752" s="107">
        <v>37.200000000000003</v>
      </c>
    </row>
    <row r="2753" spans="1:4" ht="25.5" x14ac:dyDescent="0.25">
      <c r="A2753" s="104">
        <v>97597</v>
      </c>
      <c r="B2753" s="105" t="s">
        <v>11161</v>
      </c>
      <c r="C2753" s="106" t="s">
        <v>801</v>
      </c>
      <c r="D2753" s="107">
        <v>35.54</v>
      </c>
    </row>
    <row r="2754" spans="1:4" ht="25.5" x14ac:dyDescent="0.25">
      <c r="A2754" s="104">
        <v>97598</v>
      </c>
      <c r="B2754" s="105" t="s">
        <v>11162</v>
      </c>
      <c r="C2754" s="106" t="s">
        <v>801</v>
      </c>
      <c r="D2754" s="107">
        <v>33.69</v>
      </c>
    </row>
    <row r="2755" spans="1:4" ht="25.5" x14ac:dyDescent="0.25">
      <c r="A2755" s="104">
        <v>97599</v>
      </c>
      <c r="B2755" s="105" t="s">
        <v>11163</v>
      </c>
      <c r="C2755" s="106" t="s">
        <v>801</v>
      </c>
      <c r="D2755" s="107">
        <v>21.92</v>
      </c>
    </row>
    <row r="2756" spans="1:4" ht="25.5" x14ac:dyDescent="0.25">
      <c r="A2756" s="104">
        <v>97609</v>
      </c>
      <c r="B2756" s="105" t="s">
        <v>11164</v>
      </c>
      <c r="C2756" s="106" t="s">
        <v>801</v>
      </c>
      <c r="D2756" s="107">
        <v>12.73</v>
      </c>
    </row>
    <row r="2757" spans="1:4" ht="25.5" x14ac:dyDescent="0.25">
      <c r="A2757" s="104">
        <v>97610</v>
      </c>
      <c r="B2757" s="105" t="s">
        <v>11165</v>
      </c>
      <c r="C2757" s="106" t="s">
        <v>801</v>
      </c>
      <c r="D2757" s="107">
        <v>13.65</v>
      </c>
    </row>
    <row r="2758" spans="1:4" ht="25.5" x14ac:dyDescent="0.25">
      <c r="A2758" s="104">
        <v>97611</v>
      </c>
      <c r="B2758" s="105" t="s">
        <v>11166</v>
      </c>
      <c r="C2758" s="106" t="s">
        <v>801</v>
      </c>
      <c r="D2758" s="107">
        <v>15.02</v>
      </c>
    </row>
    <row r="2759" spans="1:4" ht="25.5" x14ac:dyDescent="0.25">
      <c r="A2759" s="104">
        <v>97612</v>
      </c>
      <c r="B2759" s="105" t="s">
        <v>11167</v>
      </c>
      <c r="C2759" s="106" t="s">
        <v>801</v>
      </c>
      <c r="D2759" s="107">
        <v>16.2</v>
      </c>
    </row>
    <row r="2760" spans="1:4" ht="25.5" x14ac:dyDescent="0.25">
      <c r="A2760" s="104">
        <v>97613</v>
      </c>
      <c r="B2760" s="105" t="s">
        <v>11168</v>
      </c>
      <c r="C2760" s="106" t="s">
        <v>801</v>
      </c>
      <c r="D2760" s="107">
        <v>20.12</v>
      </c>
    </row>
    <row r="2761" spans="1:4" ht="25.5" x14ac:dyDescent="0.25">
      <c r="A2761" s="104">
        <v>97614</v>
      </c>
      <c r="B2761" s="105" t="s">
        <v>11169</v>
      </c>
      <c r="C2761" s="106" t="s">
        <v>801</v>
      </c>
      <c r="D2761" s="107">
        <v>34.270000000000003</v>
      </c>
    </row>
    <row r="2762" spans="1:4" ht="25.5" x14ac:dyDescent="0.25">
      <c r="A2762" s="104">
        <v>97615</v>
      </c>
      <c r="B2762" s="105" t="s">
        <v>11170</v>
      </c>
      <c r="C2762" s="106" t="s">
        <v>801</v>
      </c>
      <c r="D2762" s="107">
        <v>30.19</v>
      </c>
    </row>
    <row r="2763" spans="1:4" ht="25.5" x14ac:dyDescent="0.25">
      <c r="A2763" s="104">
        <v>97616</v>
      </c>
      <c r="B2763" s="105" t="s">
        <v>11171</v>
      </c>
      <c r="C2763" s="106" t="s">
        <v>801</v>
      </c>
      <c r="D2763" s="107">
        <v>33.950000000000003</v>
      </c>
    </row>
    <row r="2764" spans="1:4" ht="25.5" x14ac:dyDescent="0.25">
      <c r="A2764" s="104">
        <v>97617</v>
      </c>
      <c r="B2764" s="105" t="s">
        <v>11172</v>
      </c>
      <c r="C2764" s="106" t="s">
        <v>801</v>
      </c>
      <c r="D2764" s="107">
        <v>33.76</v>
      </c>
    </row>
    <row r="2765" spans="1:4" ht="25.5" x14ac:dyDescent="0.25">
      <c r="A2765" s="104">
        <v>97618</v>
      </c>
      <c r="B2765" s="105" t="s">
        <v>11173</v>
      </c>
      <c r="C2765" s="106" t="s">
        <v>801</v>
      </c>
      <c r="D2765" s="107">
        <v>31.84</v>
      </c>
    </row>
    <row r="2766" spans="1:4" ht="25.5" x14ac:dyDescent="0.25">
      <c r="A2766" s="104">
        <v>100902</v>
      </c>
      <c r="B2766" s="105" t="s">
        <v>11174</v>
      </c>
      <c r="C2766" s="106" t="s">
        <v>801</v>
      </c>
      <c r="D2766" s="107">
        <v>20.65</v>
      </c>
    </row>
    <row r="2767" spans="1:4" ht="25.5" x14ac:dyDescent="0.25">
      <c r="A2767" s="104">
        <v>100903</v>
      </c>
      <c r="B2767" s="105" t="s">
        <v>11175</v>
      </c>
      <c r="C2767" s="106" t="s">
        <v>801</v>
      </c>
      <c r="D2767" s="107">
        <v>24.71</v>
      </c>
    </row>
    <row r="2768" spans="1:4" ht="38.25" x14ac:dyDescent="0.25">
      <c r="A2768" s="104">
        <v>100904</v>
      </c>
      <c r="B2768" s="105" t="s">
        <v>11176</v>
      </c>
      <c r="C2768" s="106" t="s">
        <v>801</v>
      </c>
      <c r="D2768" s="107">
        <v>42.63</v>
      </c>
    </row>
    <row r="2769" spans="1:4" ht="38.25" x14ac:dyDescent="0.25">
      <c r="A2769" s="104">
        <v>100905</v>
      </c>
      <c r="B2769" s="105" t="s">
        <v>11177</v>
      </c>
      <c r="C2769" s="106" t="s">
        <v>801</v>
      </c>
      <c r="D2769" s="107">
        <v>113.77</v>
      </c>
    </row>
    <row r="2770" spans="1:4" ht="38.25" x14ac:dyDescent="0.25">
      <c r="A2770" s="104">
        <v>100906</v>
      </c>
      <c r="B2770" s="105" t="s">
        <v>11178</v>
      </c>
      <c r="C2770" s="106" t="s">
        <v>801</v>
      </c>
      <c r="D2770" s="107">
        <v>152.55000000000001</v>
      </c>
    </row>
    <row r="2771" spans="1:4" ht="25.5" x14ac:dyDescent="0.25">
      <c r="A2771" s="104">
        <v>100919</v>
      </c>
      <c r="B2771" s="105" t="s">
        <v>11179</v>
      </c>
      <c r="C2771" s="106" t="s">
        <v>801</v>
      </c>
      <c r="D2771" s="107">
        <v>38.89</v>
      </c>
    </row>
    <row r="2772" spans="1:4" ht="25.5" x14ac:dyDescent="0.25">
      <c r="A2772" s="104">
        <v>100920</v>
      </c>
      <c r="B2772" s="105" t="s">
        <v>11180</v>
      </c>
      <c r="C2772" s="106" t="s">
        <v>801</v>
      </c>
      <c r="D2772" s="107">
        <v>64.98</v>
      </c>
    </row>
    <row r="2773" spans="1:4" ht="25.5" x14ac:dyDescent="0.25">
      <c r="A2773" s="104">
        <v>100921</v>
      </c>
      <c r="B2773" s="105" t="s">
        <v>11181</v>
      </c>
      <c r="C2773" s="106" t="s">
        <v>801</v>
      </c>
      <c r="D2773" s="107">
        <v>35.619999999999997</v>
      </c>
    </row>
    <row r="2774" spans="1:4" ht="25.5" x14ac:dyDescent="0.25">
      <c r="A2774" s="104">
        <v>100922</v>
      </c>
      <c r="B2774" s="105" t="s">
        <v>11182</v>
      </c>
      <c r="C2774" s="106" t="s">
        <v>801</v>
      </c>
      <c r="D2774" s="107">
        <v>25.43</v>
      </c>
    </row>
    <row r="2775" spans="1:4" ht="25.5" x14ac:dyDescent="0.25">
      <c r="A2775" s="104">
        <v>100923</v>
      </c>
      <c r="B2775" s="105" t="s">
        <v>11183</v>
      </c>
      <c r="C2775" s="106" t="s">
        <v>801</v>
      </c>
      <c r="D2775" s="107">
        <v>28.89</v>
      </c>
    </row>
    <row r="2776" spans="1:4" ht="25.5" x14ac:dyDescent="0.25">
      <c r="A2776" s="104">
        <v>72941</v>
      </c>
      <c r="B2776" s="105" t="s">
        <v>3021</v>
      </c>
      <c r="C2776" s="106" t="s">
        <v>801</v>
      </c>
      <c r="D2776" s="107">
        <v>126.33</v>
      </c>
    </row>
    <row r="2777" spans="1:4" x14ac:dyDescent="0.25">
      <c r="A2777" s="104">
        <v>73624</v>
      </c>
      <c r="B2777" s="105" t="s">
        <v>3022</v>
      </c>
      <c r="C2777" s="106" t="s">
        <v>801</v>
      </c>
      <c r="D2777" s="107">
        <v>73.25</v>
      </c>
    </row>
    <row r="2778" spans="1:4" ht="38.25" x14ac:dyDescent="0.25">
      <c r="A2778" s="104" t="s">
        <v>3023</v>
      </c>
      <c r="B2778" s="105" t="s">
        <v>3024</v>
      </c>
      <c r="C2778" s="106" t="s">
        <v>801</v>
      </c>
      <c r="D2778" s="107">
        <v>9.5299999999999994</v>
      </c>
    </row>
    <row r="2779" spans="1:4" ht="38.25" x14ac:dyDescent="0.25">
      <c r="A2779" s="104" t="s">
        <v>3025</v>
      </c>
      <c r="B2779" s="105" t="s">
        <v>3026</v>
      </c>
      <c r="C2779" s="106" t="s">
        <v>801</v>
      </c>
      <c r="D2779" s="107">
        <v>9.7200000000000006</v>
      </c>
    </row>
    <row r="2780" spans="1:4" ht="38.25" x14ac:dyDescent="0.25">
      <c r="A2780" s="104" t="s">
        <v>3027</v>
      </c>
      <c r="B2780" s="105" t="s">
        <v>3028</v>
      </c>
      <c r="C2780" s="106" t="s">
        <v>801</v>
      </c>
      <c r="D2780" s="107">
        <v>6.88</v>
      </c>
    </row>
    <row r="2781" spans="1:4" ht="38.25" x14ac:dyDescent="0.25">
      <c r="A2781" s="104" t="s">
        <v>3029</v>
      </c>
      <c r="B2781" s="105" t="s">
        <v>3030</v>
      </c>
      <c r="C2781" s="106" t="s">
        <v>801</v>
      </c>
      <c r="D2781" s="107">
        <v>4.3</v>
      </c>
    </row>
    <row r="2782" spans="1:4" ht="38.25" x14ac:dyDescent="0.25">
      <c r="A2782" s="104" t="s">
        <v>3031</v>
      </c>
      <c r="B2782" s="105" t="s">
        <v>3032</v>
      </c>
      <c r="C2782" s="106" t="s">
        <v>801</v>
      </c>
      <c r="D2782" s="107">
        <v>3.89</v>
      </c>
    </row>
    <row r="2783" spans="1:4" ht="25.5" x14ac:dyDescent="0.25">
      <c r="A2783" s="104" t="s">
        <v>3033</v>
      </c>
      <c r="B2783" s="105" t="s">
        <v>3034</v>
      </c>
      <c r="C2783" s="106" t="s">
        <v>801</v>
      </c>
      <c r="D2783" s="107">
        <v>26.16</v>
      </c>
    </row>
    <row r="2784" spans="1:4" ht="25.5" x14ac:dyDescent="0.25">
      <c r="A2784" s="104" t="s">
        <v>3035</v>
      </c>
      <c r="B2784" s="105" t="s">
        <v>3036</v>
      </c>
      <c r="C2784" s="106" t="s">
        <v>801</v>
      </c>
      <c r="D2784" s="107">
        <v>80.459999999999994</v>
      </c>
    </row>
    <row r="2785" spans="1:4" ht="25.5" x14ac:dyDescent="0.25">
      <c r="A2785" s="104">
        <v>88543</v>
      </c>
      <c r="B2785" s="105" t="s">
        <v>3037</v>
      </c>
      <c r="C2785" s="106" t="s">
        <v>801</v>
      </c>
      <c r="D2785" s="107">
        <v>141.49</v>
      </c>
    </row>
    <row r="2786" spans="1:4" ht="25.5" x14ac:dyDescent="0.25">
      <c r="A2786" s="104">
        <v>88544</v>
      </c>
      <c r="B2786" s="105" t="s">
        <v>3038</v>
      </c>
      <c r="C2786" s="106" t="s">
        <v>801</v>
      </c>
      <c r="D2786" s="107">
        <v>86.64</v>
      </c>
    </row>
    <row r="2787" spans="1:4" ht="25.5" x14ac:dyDescent="0.25">
      <c r="A2787" s="104">
        <v>88545</v>
      </c>
      <c r="B2787" s="105" t="s">
        <v>3039</v>
      </c>
      <c r="C2787" s="106" t="s">
        <v>801</v>
      </c>
      <c r="D2787" s="107">
        <v>163.13999999999999</v>
      </c>
    </row>
    <row r="2788" spans="1:4" ht="51" x14ac:dyDescent="0.25">
      <c r="A2788" s="104">
        <v>100578</v>
      </c>
      <c r="B2788" s="105" t="s">
        <v>11184</v>
      </c>
      <c r="C2788" s="106" t="s">
        <v>801</v>
      </c>
      <c r="D2788" s="107">
        <v>277.95</v>
      </c>
    </row>
    <row r="2789" spans="1:4" ht="51" x14ac:dyDescent="0.25">
      <c r="A2789" s="106">
        <v>100579</v>
      </c>
      <c r="B2789" s="105" t="s">
        <v>11185</v>
      </c>
      <c r="C2789" s="106" t="s">
        <v>801</v>
      </c>
      <c r="D2789" s="107">
        <v>304.63</v>
      </c>
    </row>
    <row r="2790" spans="1:4" ht="51" x14ac:dyDescent="0.25">
      <c r="A2790" s="106">
        <v>100580</v>
      </c>
      <c r="B2790" s="105" t="s">
        <v>11186</v>
      </c>
      <c r="C2790" s="106" t="s">
        <v>801</v>
      </c>
      <c r="D2790" s="107">
        <v>336</v>
      </c>
    </row>
    <row r="2791" spans="1:4" ht="51" x14ac:dyDescent="0.25">
      <c r="A2791" s="106">
        <v>100581</v>
      </c>
      <c r="B2791" s="105" t="s">
        <v>11187</v>
      </c>
      <c r="C2791" s="106" t="s">
        <v>801</v>
      </c>
      <c r="D2791" s="107">
        <v>317.85000000000002</v>
      </c>
    </row>
    <row r="2792" spans="1:4" ht="51" x14ac:dyDescent="0.25">
      <c r="A2792" s="104">
        <v>100582</v>
      </c>
      <c r="B2792" s="105" t="s">
        <v>11188</v>
      </c>
      <c r="C2792" s="106" t="s">
        <v>801</v>
      </c>
      <c r="D2792" s="107">
        <v>374.46</v>
      </c>
    </row>
    <row r="2793" spans="1:4" ht="51" x14ac:dyDescent="0.25">
      <c r="A2793" s="104">
        <v>100583</v>
      </c>
      <c r="B2793" s="105" t="s">
        <v>11189</v>
      </c>
      <c r="C2793" s="106" t="s">
        <v>801</v>
      </c>
      <c r="D2793" s="107">
        <v>332.07</v>
      </c>
    </row>
    <row r="2794" spans="1:4" ht="51" x14ac:dyDescent="0.25">
      <c r="A2794" s="104">
        <v>100584</v>
      </c>
      <c r="B2794" s="105" t="s">
        <v>11190</v>
      </c>
      <c r="C2794" s="106" t="s">
        <v>801</v>
      </c>
      <c r="D2794" s="107">
        <v>366.08</v>
      </c>
    </row>
    <row r="2795" spans="1:4" ht="51" x14ac:dyDescent="0.25">
      <c r="A2795" s="104">
        <v>100585</v>
      </c>
      <c r="B2795" s="105" t="s">
        <v>11191</v>
      </c>
      <c r="C2795" s="106" t="s">
        <v>801</v>
      </c>
      <c r="D2795" s="107">
        <v>359.67</v>
      </c>
    </row>
    <row r="2796" spans="1:4" ht="51" x14ac:dyDescent="0.25">
      <c r="A2796" s="104">
        <v>100586</v>
      </c>
      <c r="B2796" s="105" t="s">
        <v>11192</v>
      </c>
      <c r="C2796" s="106" t="s">
        <v>801</v>
      </c>
      <c r="D2796" s="107">
        <v>413.81</v>
      </c>
    </row>
    <row r="2797" spans="1:4" ht="51" x14ac:dyDescent="0.25">
      <c r="A2797" s="104">
        <v>100587</v>
      </c>
      <c r="B2797" s="105" t="s">
        <v>11193</v>
      </c>
      <c r="C2797" s="106" t="s">
        <v>801</v>
      </c>
      <c r="D2797" s="107">
        <v>388.35</v>
      </c>
    </row>
    <row r="2798" spans="1:4" ht="51" x14ac:dyDescent="0.25">
      <c r="A2798" s="104">
        <v>100588</v>
      </c>
      <c r="B2798" s="105" t="s">
        <v>11194</v>
      </c>
      <c r="C2798" s="106" t="s">
        <v>801</v>
      </c>
      <c r="D2798" s="107">
        <v>430.44</v>
      </c>
    </row>
    <row r="2799" spans="1:4" ht="51" x14ac:dyDescent="0.25">
      <c r="A2799" s="104">
        <v>100589</v>
      </c>
      <c r="B2799" s="105" t="s">
        <v>11195</v>
      </c>
      <c r="C2799" s="106" t="s">
        <v>801</v>
      </c>
      <c r="D2799" s="107">
        <v>432.03</v>
      </c>
    </row>
    <row r="2800" spans="1:4" ht="51" x14ac:dyDescent="0.25">
      <c r="A2800" s="104">
        <v>100590</v>
      </c>
      <c r="B2800" s="105" t="s">
        <v>11196</v>
      </c>
      <c r="C2800" s="106" t="s">
        <v>801</v>
      </c>
      <c r="D2800" s="107">
        <v>473.72</v>
      </c>
    </row>
    <row r="2801" spans="1:4" ht="51" x14ac:dyDescent="0.25">
      <c r="A2801" s="104">
        <v>100591</v>
      </c>
      <c r="B2801" s="105" t="s">
        <v>11197</v>
      </c>
      <c r="C2801" s="106" t="s">
        <v>801</v>
      </c>
      <c r="D2801" s="107">
        <v>428</v>
      </c>
    </row>
    <row r="2802" spans="1:4" ht="51" x14ac:dyDescent="0.25">
      <c r="A2802" s="104">
        <v>100592</v>
      </c>
      <c r="B2802" s="105" t="s">
        <v>11198</v>
      </c>
      <c r="C2802" s="106" t="s">
        <v>801</v>
      </c>
      <c r="D2802" s="107">
        <v>462.54</v>
      </c>
    </row>
    <row r="2803" spans="1:4" ht="51" x14ac:dyDescent="0.25">
      <c r="A2803" s="104">
        <v>100593</v>
      </c>
      <c r="B2803" s="105" t="s">
        <v>11199</v>
      </c>
      <c r="C2803" s="106" t="s">
        <v>801</v>
      </c>
      <c r="D2803" s="107">
        <v>458.56</v>
      </c>
    </row>
    <row r="2804" spans="1:4" ht="51" x14ac:dyDescent="0.25">
      <c r="A2804" s="104">
        <v>100594</v>
      </c>
      <c r="B2804" s="105" t="s">
        <v>11200</v>
      </c>
      <c r="C2804" s="106" t="s">
        <v>801</v>
      </c>
      <c r="D2804" s="107">
        <v>517.01</v>
      </c>
    </row>
    <row r="2805" spans="1:4" ht="51" x14ac:dyDescent="0.25">
      <c r="A2805" s="104">
        <v>100595</v>
      </c>
      <c r="B2805" s="105" t="s">
        <v>11201</v>
      </c>
      <c r="C2805" s="106" t="s">
        <v>801</v>
      </c>
      <c r="D2805" s="107">
        <v>550.29999999999995</v>
      </c>
    </row>
    <row r="2806" spans="1:4" ht="51" x14ac:dyDescent="0.25">
      <c r="A2806" s="104">
        <v>100596</v>
      </c>
      <c r="B2806" s="105" t="s">
        <v>11202</v>
      </c>
      <c r="C2806" s="106" t="s">
        <v>801</v>
      </c>
      <c r="D2806" s="107">
        <v>629.07000000000005</v>
      </c>
    </row>
    <row r="2807" spans="1:4" ht="51" x14ac:dyDescent="0.25">
      <c r="A2807" s="104">
        <v>100597</v>
      </c>
      <c r="B2807" s="105" t="s">
        <v>11203</v>
      </c>
      <c r="C2807" s="106" t="s">
        <v>801</v>
      </c>
      <c r="D2807" s="107">
        <v>638.28</v>
      </c>
    </row>
    <row r="2808" spans="1:4" ht="51" x14ac:dyDescent="0.25">
      <c r="A2808" s="104">
        <v>100598</v>
      </c>
      <c r="B2808" s="105" t="s">
        <v>11204</v>
      </c>
      <c r="C2808" s="106" t="s">
        <v>801</v>
      </c>
      <c r="D2808" s="107">
        <v>703.21</v>
      </c>
    </row>
    <row r="2809" spans="1:4" ht="51" x14ac:dyDescent="0.25">
      <c r="A2809" s="104">
        <v>100599</v>
      </c>
      <c r="B2809" s="105" t="s">
        <v>11205</v>
      </c>
      <c r="C2809" s="106" t="s">
        <v>801</v>
      </c>
      <c r="D2809" s="107">
        <v>291.87</v>
      </c>
    </row>
    <row r="2810" spans="1:4" ht="51" x14ac:dyDescent="0.25">
      <c r="A2810" s="104">
        <v>100600</v>
      </c>
      <c r="B2810" s="105" t="s">
        <v>11206</v>
      </c>
      <c r="C2810" s="106" t="s">
        <v>801</v>
      </c>
      <c r="D2810" s="107">
        <v>353.16</v>
      </c>
    </row>
    <row r="2811" spans="1:4" ht="51" x14ac:dyDescent="0.25">
      <c r="A2811" s="104">
        <v>100601</v>
      </c>
      <c r="B2811" s="105" t="s">
        <v>11207</v>
      </c>
      <c r="C2811" s="106" t="s">
        <v>801</v>
      </c>
      <c r="D2811" s="107">
        <v>457.84</v>
      </c>
    </row>
    <row r="2812" spans="1:4" ht="51" x14ac:dyDescent="0.25">
      <c r="A2812" s="104">
        <v>100602</v>
      </c>
      <c r="B2812" s="105" t="s">
        <v>11208</v>
      </c>
      <c r="C2812" s="106" t="s">
        <v>801</v>
      </c>
      <c r="D2812" s="107">
        <v>588.41</v>
      </c>
    </row>
    <row r="2813" spans="1:4" ht="51" x14ac:dyDescent="0.25">
      <c r="A2813" s="104">
        <v>100603</v>
      </c>
      <c r="B2813" s="105" t="s">
        <v>11209</v>
      </c>
      <c r="C2813" s="106" t="s">
        <v>801</v>
      </c>
      <c r="D2813" s="107">
        <v>923.86</v>
      </c>
    </row>
    <row r="2814" spans="1:4" ht="51" x14ac:dyDescent="0.25">
      <c r="A2814" s="104">
        <v>100604</v>
      </c>
      <c r="B2814" s="105" t="s">
        <v>11210</v>
      </c>
      <c r="C2814" s="106" t="s">
        <v>801</v>
      </c>
      <c r="D2814" s="107">
        <v>373.51</v>
      </c>
    </row>
    <row r="2815" spans="1:4" ht="51" x14ac:dyDescent="0.25">
      <c r="A2815" s="104">
        <v>100605</v>
      </c>
      <c r="B2815" s="105" t="s">
        <v>11211</v>
      </c>
      <c r="C2815" s="106" t="s">
        <v>801</v>
      </c>
      <c r="D2815" s="107">
        <v>614.52</v>
      </c>
    </row>
    <row r="2816" spans="1:4" ht="51" x14ac:dyDescent="0.25">
      <c r="A2816" s="104">
        <v>100606</v>
      </c>
      <c r="B2816" s="105" t="s">
        <v>11212</v>
      </c>
      <c r="C2816" s="106" t="s">
        <v>801</v>
      </c>
      <c r="D2816" s="107">
        <v>957.41</v>
      </c>
    </row>
    <row r="2817" spans="1:4" ht="51" x14ac:dyDescent="0.25">
      <c r="A2817" s="104">
        <v>100607</v>
      </c>
      <c r="B2817" s="105" t="s">
        <v>11213</v>
      </c>
      <c r="C2817" s="106" t="s">
        <v>801</v>
      </c>
      <c r="D2817" s="107">
        <v>383.12</v>
      </c>
    </row>
    <row r="2818" spans="1:4" ht="51" x14ac:dyDescent="0.25">
      <c r="A2818" s="104">
        <v>100608</v>
      </c>
      <c r="B2818" s="105" t="s">
        <v>11214</v>
      </c>
      <c r="C2818" s="106" t="s">
        <v>801</v>
      </c>
      <c r="D2818" s="107">
        <v>627.4</v>
      </c>
    </row>
    <row r="2819" spans="1:4" ht="51" x14ac:dyDescent="0.25">
      <c r="A2819" s="104">
        <v>100609</v>
      </c>
      <c r="B2819" s="105" t="s">
        <v>11215</v>
      </c>
      <c r="C2819" s="106" t="s">
        <v>801</v>
      </c>
      <c r="D2819" s="107">
        <v>975.4</v>
      </c>
    </row>
    <row r="2820" spans="1:4" ht="51" x14ac:dyDescent="0.25">
      <c r="A2820" s="104">
        <v>100610</v>
      </c>
      <c r="B2820" s="105" t="s">
        <v>11216</v>
      </c>
      <c r="C2820" s="106" t="s">
        <v>801</v>
      </c>
      <c r="D2820" s="107">
        <v>392.65</v>
      </c>
    </row>
    <row r="2821" spans="1:4" ht="51" x14ac:dyDescent="0.25">
      <c r="A2821" s="104">
        <v>100611</v>
      </c>
      <c r="B2821" s="105" t="s">
        <v>11217</v>
      </c>
      <c r="C2821" s="106" t="s">
        <v>801</v>
      </c>
      <c r="D2821" s="107">
        <v>502.43</v>
      </c>
    </row>
    <row r="2822" spans="1:4" ht="51" x14ac:dyDescent="0.25">
      <c r="A2822" s="104">
        <v>100612</v>
      </c>
      <c r="B2822" s="105" t="s">
        <v>11218</v>
      </c>
      <c r="C2822" s="106" t="s">
        <v>801</v>
      </c>
      <c r="D2822" s="107">
        <v>639.97</v>
      </c>
    </row>
    <row r="2823" spans="1:4" ht="51" x14ac:dyDescent="0.25">
      <c r="A2823" s="104">
        <v>100613</v>
      </c>
      <c r="B2823" s="105" t="s">
        <v>11219</v>
      </c>
      <c r="C2823" s="106" t="s">
        <v>801</v>
      </c>
      <c r="D2823" s="107">
        <v>992.97</v>
      </c>
    </row>
    <row r="2824" spans="1:4" ht="51" x14ac:dyDescent="0.25">
      <c r="A2824" s="104">
        <v>100614</v>
      </c>
      <c r="B2824" s="105" t="s">
        <v>11220</v>
      </c>
      <c r="C2824" s="106" t="s">
        <v>801</v>
      </c>
      <c r="D2824" s="107">
        <v>524.23</v>
      </c>
    </row>
    <row r="2825" spans="1:4" ht="51" x14ac:dyDescent="0.25">
      <c r="A2825" s="104">
        <v>100615</v>
      </c>
      <c r="B2825" s="105" t="s">
        <v>11221</v>
      </c>
      <c r="C2825" s="106" t="s">
        <v>801</v>
      </c>
      <c r="D2825" s="107">
        <v>664.86</v>
      </c>
    </row>
    <row r="2826" spans="1:4" ht="51" x14ac:dyDescent="0.25">
      <c r="A2826" s="104">
        <v>100616</v>
      </c>
      <c r="B2826" s="105" t="s">
        <v>11222</v>
      </c>
      <c r="C2826" s="106" t="s">
        <v>801</v>
      </c>
      <c r="D2826" s="107">
        <v>1029.9000000000001</v>
      </c>
    </row>
    <row r="2827" spans="1:4" ht="51" x14ac:dyDescent="0.25">
      <c r="A2827" s="104">
        <v>100617</v>
      </c>
      <c r="B2827" s="105" t="s">
        <v>11223</v>
      </c>
      <c r="C2827" s="106" t="s">
        <v>801</v>
      </c>
      <c r="D2827" s="107">
        <v>689.62</v>
      </c>
    </row>
    <row r="2828" spans="1:4" ht="51" x14ac:dyDescent="0.25">
      <c r="A2828" s="104">
        <v>100618</v>
      </c>
      <c r="B2828" s="105" t="s">
        <v>11224</v>
      </c>
      <c r="C2828" s="106" t="s">
        <v>801</v>
      </c>
      <c r="D2828" s="109">
        <v>1070.73</v>
      </c>
    </row>
    <row r="2829" spans="1:4" ht="25.5" x14ac:dyDescent="0.25">
      <c r="A2829" s="104">
        <v>100619</v>
      </c>
      <c r="B2829" s="105" t="s">
        <v>11225</v>
      </c>
      <c r="C2829" s="106" t="s">
        <v>801</v>
      </c>
      <c r="D2829" s="107">
        <v>323.74</v>
      </c>
    </row>
    <row r="2830" spans="1:4" ht="38.25" x14ac:dyDescent="0.25">
      <c r="A2830" s="104">
        <v>100620</v>
      </c>
      <c r="B2830" s="105" t="s">
        <v>11226</v>
      </c>
      <c r="C2830" s="106" t="s">
        <v>801</v>
      </c>
      <c r="D2830" s="107">
        <v>1937.98</v>
      </c>
    </row>
    <row r="2831" spans="1:4" ht="38.25" x14ac:dyDescent="0.25">
      <c r="A2831" s="106">
        <v>100621</v>
      </c>
      <c r="B2831" s="105" t="s">
        <v>11227</v>
      </c>
      <c r="C2831" s="106" t="s">
        <v>801</v>
      </c>
      <c r="D2831" s="107">
        <v>2164.0500000000002</v>
      </c>
    </row>
    <row r="2832" spans="1:4" ht="38.25" x14ac:dyDescent="0.25">
      <c r="A2832" s="106">
        <v>100622</v>
      </c>
      <c r="B2832" s="105" t="s">
        <v>11228</v>
      </c>
      <c r="C2832" s="106" t="s">
        <v>801</v>
      </c>
      <c r="D2832" s="107">
        <v>1240.9100000000001</v>
      </c>
    </row>
    <row r="2833" spans="1:4" ht="38.25" x14ac:dyDescent="0.25">
      <c r="A2833" s="106">
        <v>100623</v>
      </c>
      <c r="B2833" s="105" t="s">
        <v>11229</v>
      </c>
      <c r="C2833" s="106" t="s">
        <v>801</v>
      </c>
      <c r="D2833" s="107">
        <v>1334.76</v>
      </c>
    </row>
    <row r="2834" spans="1:4" ht="25.5" x14ac:dyDescent="0.25">
      <c r="A2834" s="106">
        <v>72281</v>
      </c>
      <c r="B2834" s="105" t="s">
        <v>3040</v>
      </c>
      <c r="C2834" s="106" t="s">
        <v>801</v>
      </c>
      <c r="D2834" s="107">
        <v>100.8</v>
      </c>
    </row>
    <row r="2835" spans="1:4" ht="25.5" x14ac:dyDescent="0.25">
      <c r="A2835" s="106">
        <v>72282</v>
      </c>
      <c r="B2835" s="105" t="s">
        <v>3041</v>
      </c>
      <c r="C2835" s="106" t="s">
        <v>801</v>
      </c>
      <c r="D2835" s="107">
        <v>138.15</v>
      </c>
    </row>
    <row r="2836" spans="1:4" ht="25.5" x14ac:dyDescent="0.25">
      <c r="A2836" s="106" t="s">
        <v>3042</v>
      </c>
      <c r="B2836" s="105" t="s">
        <v>3043</v>
      </c>
      <c r="C2836" s="106" t="s">
        <v>801</v>
      </c>
      <c r="D2836" s="107">
        <v>27.67</v>
      </c>
    </row>
    <row r="2837" spans="1:4" ht="25.5" x14ac:dyDescent="0.25">
      <c r="A2837" s="106" t="s">
        <v>3044</v>
      </c>
      <c r="B2837" s="105" t="s">
        <v>3045</v>
      </c>
      <c r="C2837" s="106" t="s">
        <v>801</v>
      </c>
      <c r="D2837" s="107">
        <v>36.42</v>
      </c>
    </row>
    <row r="2838" spans="1:4" x14ac:dyDescent="0.25">
      <c r="A2838" s="106" t="s">
        <v>3046</v>
      </c>
      <c r="B2838" s="105" t="s">
        <v>3047</v>
      </c>
      <c r="C2838" s="106" t="s">
        <v>801</v>
      </c>
      <c r="D2838" s="107">
        <v>17.850000000000001</v>
      </c>
    </row>
    <row r="2839" spans="1:4" x14ac:dyDescent="0.25">
      <c r="A2839" s="104" t="s">
        <v>3048</v>
      </c>
      <c r="B2839" s="105" t="s">
        <v>3049</v>
      </c>
      <c r="C2839" s="106" t="s">
        <v>801</v>
      </c>
      <c r="D2839" s="107">
        <v>23.05</v>
      </c>
    </row>
    <row r="2840" spans="1:4" x14ac:dyDescent="0.25">
      <c r="A2840" s="104" t="s">
        <v>3050</v>
      </c>
      <c r="B2840" s="105" t="s">
        <v>3051</v>
      </c>
      <c r="C2840" s="106" t="s">
        <v>801</v>
      </c>
      <c r="D2840" s="107">
        <v>40.68</v>
      </c>
    </row>
    <row r="2841" spans="1:4" ht="25.5" x14ac:dyDescent="0.25">
      <c r="A2841" s="104" t="s">
        <v>3052</v>
      </c>
      <c r="B2841" s="105" t="s">
        <v>3053</v>
      </c>
      <c r="C2841" s="106" t="s">
        <v>801</v>
      </c>
      <c r="D2841" s="107">
        <v>32.840000000000003</v>
      </c>
    </row>
    <row r="2842" spans="1:4" ht="25.5" x14ac:dyDescent="0.25">
      <c r="A2842" s="104" t="s">
        <v>3054</v>
      </c>
      <c r="B2842" s="105" t="s">
        <v>3055</v>
      </c>
      <c r="C2842" s="106" t="s">
        <v>801</v>
      </c>
      <c r="D2842" s="109">
        <v>37.39</v>
      </c>
    </row>
    <row r="2843" spans="1:4" ht="25.5" x14ac:dyDescent="0.25">
      <c r="A2843" s="106" t="s">
        <v>3056</v>
      </c>
      <c r="B2843" s="105" t="s">
        <v>3057</v>
      </c>
      <c r="C2843" s="106" t="s">
        <v>801</v>
      </c>
      <c r="D2843" s="109">
        <v>42.99</v>
      </c>
    </row>
    <row r="2844" spans="1:4" ht="51" x14ac:dyDescent="0.25">
      <c r="A2844" s="106" t="s">
        <v>3058</v>
      </c>
      <c r="B2844" s="105" t="s">
        <v>3059</v>
      </c>
      <c r="C2844" s="106" t="s">
        <v>801</v>
      </c>
      <c r="D2844" s="109">
        <v>124.85</v>
      </c>
    </row>
    <row r="2845" spans="1:4" ht="25.5" x14ac:dyDescent="0.25">
      <c r="A2845" s="106" t="s">
        <v>3060</v>
      </c>
      <c r="B2845" s="105" t="s">
        <v>3061</v>
      </c>
      <c r="C2845" s="106" t="s">
        <v>801</v>
      </c>
      <c r="D2845" s="109">
        <v>246.38</v>
      </c>
    </row>
    <row r="2846" spans="1:4" ht="25.5" x14ac:dyDescent="0.25">
      <c r="A2846" s="106">
        <v>83399</v>
      </c>
      <c r="B2846" s="105" t="s">
        <v>341</v>
      </c>
      <c r="C2846" s="106" t="s">
        <v>801</v>
      </c>
      <c r="D2846" s="109">
        <v>28.62</v>
      </c>
    </row>
    <row r="2847" spans="1:4" ht="38.25" x14ac:dyDescent="0.25">
      <c r="A2847" s="106">
        <v>83400</v>
      </c>
      <c r="B2847" s="105" t="s">
        <v>3062</v>
      </c>
      <c r="C2847" s="106" t="s">
        <v>801</v>
      </c>
      <c r="D2847" s="107">
        <v>87.23</v>
      </c>
    </row>
    <row r="2848" spans="1:4" ht="25.5" x14ac:dyDescent="0.25">
      <c r="A2848" s="104">
        <v>83401</v>
      </c>
      <c r="B2848" s="105" t="s">
        <v>3063</v>
      </c>
      <c r="C2848" s="106" t="s">
        <v>801</v>
      </c>
      <c r="D2848" s="107">
        <v>87.23</v>
      </c>
    </row>
    <row r="2849" spans="1:4" ht="25.5" x14ac:dyDescent="0.25">
      <c r="A2849" s="104">
        <v>83402</v>
      </c>
      <c r="B2849" s="105" t="s">
        <v>3064</v>
      </c>
      <c r="C2849" s="106" t="s">
        <v>801</v>
      </c>
      <c r="D2849" s="107">
        <v>48</v>
      </c>
    </row>
    <row r="2850" spans="1:4" ht="38.25" x14ac:dyDescent="0.25">
      <c r="A2850" s="106">
        <v>83475</v>
      </c>
      <c r="B2850" s="105" t="s">
        <v>3065</v>
      </c>
      <c r="C2850" s="106" t="s">
        <v>801</v>
      </c>
      <c r="D2850" s="107">
        <v>362.97</v>
      </c>
    </row>
    <row r="2851" spans="1:4" ht="25.5" x14ac:dyDescent="0.25">
      <c r="A2851" s="106">
        <v>83478</v>
      </c>
      <c r="B2851" s="105" t="s">
        <v>3066</v>
      </c>
      <c r="C2851" s="106" t="s">
        <v>801</v>
      </c>
      <c r="D2851" s="107">
        <v>257.70999999999998</v>
      </c>
    </row>
    <row r="2852" spans="1:4" ht="25.5" x14ac:dyDescent="0.25">
      <c r="A2852" s="106">
        <v>83479</v>
      </c>
      <c r="B2852" s="105" t="s">
        <v>3067</v>
      </c>
      <c r="C2852" s="106" t="s">
        <v>801</v>
      </c>
      <c r="D2852" s="107">
        <v>103.04</v>
      </c>
    </row>
    <row r="2853" spans="1:4" x14ac:dyDescent="0.25">
      <c r="A2853" s="106">
        <v>83480</v>
      </c>
      <c r="B2853" s="105" t="s">
        <v>3068</v>
      </c>
      <c r="C2853" s="106" t="s">
        <v>801</v>
      </c>
      <c r="D2853" s="107">
        <v>80.489999999999995</v>
      </c>
    </row>
    <row r="2854" spans="1:4" x14ac:dyDescent="0.25">
      <c r="A2854" s="106">
        <v>83481</v>
      </c>
      <c r="B2854" s="105" t="s">
        <v>3069</v>
      </c>
      <c r="C2854" s="106" t="s">
        <v>801</v>
      </c>
      <c r="D2854" s="107">
        <v>90.95</v>
      </c>
    </row>
    <row r="2855" spans="1:4" ht="38.25" x14ac:dyDescent="0.25">
      <c r="A2855" s="106">
        <v>97600</v>
      </c>
      <c r="B2855" s="105" t="s">
        <v>11230</v>
      </c>
      <c r="C2855" s="106" t="s">
        <v>801</v>
      </c>
      <c r="D2855" s="107">
        <v>189.7</v>
      </c>
    </row>
    <row r="2856" spans="1:4" ht="38.25" x14ac:dyDescent="0.25">
      <c r="A2856" s="106">
        <v>97601</v>
      </c>
      <c r="B2856" s="105" t="s">
        <v>11231</v>
      </c>
      <c r="C2856" s="106" t="s">
        <v>801</v>
      </c>
      <c r="D2856" s="107">
        <v>200.24</v>
      </c>
    </row>
    <row r="2857" spans="1:4" ht="38.25" x14ac:dyDescent="0.25">
      <c r="A2857" s="106">
        <v>97605</v>
      </c>
      <c r="B2857" s="105" t="s">
        <v>11232</v>
      </c>
      <c r="C2857" s="106" t="s">
        <v>801</v>
      </c>
      <c r="D2857" s="107">
        <v>49.18</v>
      </c>
    </row>
    <row r="2858" spans="1:4" ht="38.25" x14ac:dyDescent="0.25">
      <c r="A2858" s="106">
        <v>97606</v>
      </c>
      <c r="B2858" s="105" t="s">
        <v>11233</v>
      </c>
      <c r="C2858" s="106" t="s">
        <v>801</v>
      </c>
      <c r="D2858" s="107">
        <v>51.47</v>
      </c>
    </row>
    <row r="2859" spans="1:4" ht="38.25" x14ac:dyDescent="0.25">
      <c r="A2859" s="106">
        <v>97607</v>
      </c>
      <c r="B2859" s="105" t="s">
        <v>11234</v>
      </c>
      <c r="C2859" s="106" t="s">
        <v>801</v>
      </c>
      <c r="D2859" s="107">
        <v>58.62</v>
      </c>
    </row>
    <row r="2860" spans="1:4" ht="38.25" x14ac:dyDescent="0.25">
      <c r="A2860" s="104">
        <v>97608</v>
      </c>
      <c r="B2860" s="105" t="s">
        <v>11235</v>
      </c>
      <c r="C2860" s="106" t="s">
        <v>801</v>
      </c>
      <c r="D2860" s="107">
        <v>60.91</v>
      </c>
    </row>
    <row r="2861" spans="1:4" ht="25.5" x14ac:dyDescent="0.25">
      <c r="A2861" s="104" t="s">
        <v>3070</v>
      </c>
      <c r="B2861" s="105" t="s">
        <v>3071</v>
      </c>
      <c r="C2861" s="106" t="s">
        <v>801</v>
      </c>
      <c r="D2861" s="107">
        <v>7066.1</v>
      </c>
    </row>
    <row r="2862" spans="1:4" ht="25.5" x14ac:dyDescent="0.25">
      <c r="A2862" s="104" t="s">
        <v>3072</v>
      </c>
      <c r="B2862" s="105" t="s">
        <v>3073</v>
      </c>
      <c r="C2862" s="106" t="s">
        <v>801</v>
      </c>
      <c r="D2862" s="107">
        <v>8732</v>
      </c>
    </row>
    <row r="2863" spans="1:4" ht="25.5" x14ac:dyDescent="0.25">
      <c r="A2863" s="104" t="s">
        <v>3074</v>
      </c>
      <c r="B2863" s="105" t="s">
        <v>3075</v>
      </c>
      <c r="C2863" s="106" t="s">
        <v>801</v>
      </c>
      <c r="D2863" s="107">
        <v>11008.13</v>
      </c>
    </row>
    <row r="2864" spans="1:4" ht="25.5" x14ac:dyDescent="0.25">
      <c r="A2864" s="104" t="s">
        <v>3076</v>
      </c>
      <c r="B2864" s="105" t="s">
        <v>3077</v>
      </c>
      <c r="C2864" s="106" t="s">
        <v>801</v>
      </c>
      <c r="D2864" s="107">
        <v>15419.57</v>
      </c>
    </row>
    <row r="2865" spans="1:4" ht="25.5" x14ac:dyDescent="0.25">
      <c r="A2865" s="104" t="s">
        <v>3078</v>
      </c>
      <c r="B2865" s="105" t="s">
        <v>3079</v>
      </c>
      <c r="C2865" s="106" t="s">
        <v>801</v>
      </c>
      <c r="D2865" s="107">
        <v>17986.78</v>
      </c>
    </row>
    <row r="2866" spans="1:4" ht="25.5" x14ac:dyDescent="0.25">
      <c r="A2866" s="104" t="s">
        <v>3080</v>
      </c>
      <c r="B2866" s="105" t="s">
        <v>3081</v>
      </c>
      <c r="C2866" s="106" t="s">
        <v>801</v>
      </c>
      <c r="D2866" s="107">
        <v>29285.17</v>
      </c>
    </row>
    <row r="2867" spans="1:4" ht="25.5" x14ac:dyDescent="0.25">
      <c r="A2867" s="104" t="s">
        <v>3082</v>
      </c>
      <c r="B2867" s="105" t="s">
        <v>3083</v>
      </c>
      <c r="C2867" s="106" t="s">
        <v>801</v>
      </c>
      <c r="D2867" s="107">
        <v>4879.3100000000004</v>
      </c>
    </row>
    <row r="2868" spans="1:4" ht="25.5" x14ac:dyDescent="0.25">
      <c r="A2868" s="104" t="s">
        <v>3084</v>
      </c>
      <c r="B2868" s="105" t="s">
        <v>3085</v>
      </c>
      <c r="C2868" s="106" t="s">
        <v>801</v>
      </c>
      <c r="D2868" s="107">
        <v>5462.53</v>
      </c>
    </row>
    <row r="2869" spans="1:4" ht="25.5" x14ac:dyDescent="0.25">
      <c r="A2869" s="104" t="s">
        <v>3086</v>
      </c>
      <c r="B2869" s="105" t="s">
        <v>3087</v>
      </c>
      <c r="C2869" s="106" t="s">
        <v>801</v>
      </c>
      <c r="D2869" s="107">
        <v>40131.22</v>
      </c>
    </row>
    <row r="2870" spans="1:4" ht="25.5" x14ac:dyDescent="0.25">
      <c r="A2870" s="104" t="s">
        <v>3088</v>
      </c>
      <c r="B2870" s="105" t="s">
        <v>3089</v>
      </c>
      <c r="C2870" s="106" t="s">
        <v>801</v>
      </c>
      <c r="D2870" s="107">
        <v>56139.57</v>
      </c>
    </row>
    <row r="2871" spans="1:4" ht="38.25" x14ac:dyDescent="0.25">
      <c r="A2871" s="104">
        <v>93128</v>
      </c>
      <c r="B2871" s="105" t="s">
        <v>3090</v>
      </c>
      <c r="C2871" s="106" t="s">
        <v>801</v>
      </c>
      <c r="D2871" s="107">
        <v>97.12</v>
      </c>
    </row>
    <row r="2872" spans="1:4" ht="51" x14ac:dyDescent="0.25">
      <c r="A2872" s="104">
        <v>93137</v>
      </c>
      <c r="B2872" s="105" t="s">
        <v>3091</v>
      </c>
      <c r="C2872" s="106" t="s">
        <v>801</v>
      </c>
      <c r="D2872" s="107">
        <v>114.43</v>
      </c>
    </row>
    <row r="2873" spans="1:4" ht="38.25" x14ac:dyDescent="0.25">
      <c r="A2873" s="104">
        <v>93138</v>
      </c>
      <c r="B2873" s="105" t="s">
        <v>3092</v>
      </c>
      <c r="C2873" s="106" t="s">
        <v>801</v>
      </c>
      <c r="D2873" s="107">
        <v>108.89</v>
      </c>
    </row>
    <row r="2874" spans="1:4" ht="51" x14ac:dyDescent="0.25">
      <c r="A2874" s="104">
        <v>93139</v>
      </c>
      <c r="B2874" s="105" t="s">
        <v>3093</v>
      </c>
      <c r="C2874" s="106" t="s">
        <v>801</v>
      </c>
      <c r="D2874" s="107">
        <v>137.94999999999999</v>
      </c>
    </row>
    <row r="2875" spans="1:4" ht="51" x14ac:dyDescent="0.25">
      <c r="A2875" s="106">
        <v>93140</v>
      </c>
      <c r="B2875" s="105" t="s">
        <v>3094</v>
      </c>
      <c r="C2875" s="106" t="s">
        <v>801</v>
      </c>
      <c r="D2875" s="109">
        <v>130.08000000000001</v>
      </c>
    </row>
    <row r="2876" spans="1:4" ht="38.25" x14ac:dyDescent="0.25">
      <c r="A2876" s="106">
        <v>93141</v>
      </c>
      <c r="B2876" s="105" t="s">
        <v>3095</v>
      </c>
      <c r="C2876" s="106" t="s">
        <v>801</v>
      </c>
      <c r="D2876" s="109">
        <v>118.55</v>
      </c>
    </row>
    <row r="2877" spans="1:4" ht="38.25" x14ac:dyDescent="0.25">
      <c r="A2877" s="106">
        <v>93142</v>
      </c>
      <c r="B2877" s="105" t="s">
        <v>3096</v>
      </c>
      <c r="C2877" s="106" t="s">
        <v>801</v>
      </c>
      <c r="D2877" s="109">
        <v>131.31</v>
      </c>
    </row>
    <row r="2878" spans="1:4" ht="38.25" x14ac:dyDescent="0.25">
      <c r="A2878" s="106">
        <v>93143</v>
      </c>
      <c r="B2878" s="105" t="s">
        <v>3097</v>
      </c>
      <c r="C2878" s="106" t="s">
        <v>801</v>
      </c>
      <c r="D2878" s="109">
        <v>119.85</v>
      </c>
    </row>
    <row r="2879" spans="1:4" ht="38.25" x14ac:dyDescent="0.25">
      <c r="A2879" s="106">
        <v>93144</v>
      </c>
      <c r="B2879" s="105" t="s">
        <v>3098</v>
      </c>
      <c r="C2879" s="106" t="s">
        <v>801</v>
      </c>
      <c r="D2879" s="109">
        <v>157.01</v>
      </c>
    </row>
    <row r="2880" spans="1:4" ht="51" x14ac:dyDescent="0.25">
      <c r="A2880" s="106">
        <v>93145</v>
      </c>
      <c r="B2880" s="105" t="s">
        <v>3099</v>
      </c>
      <c r="C2880" s="106" t="s">
        <v>801</v>
      </c>
      <c r="D2880" s="109">
        <v>143.63999999999999</v>
      </c>
    </row>
    <row r="2881" spans="1:4" ht="51" x14ac:dyDescent="0.25">
      <c r="A2881" s="106">
        <v>93146</v>
      </c>
      <c r="B2881" s="105" t="s">
        <v>3100</v>
      </c>
      <c r="C2881" s="106" t="s">
        <v>801</v>
      </c>
      <c r="D2881" s="109">
        <v>155.41</v>
      </c>
    </row>
    <row r="2882" spans="1:4" ht="51" x14ac:dyDescent="0.25">
      <c r="A2882" s="106">
        <v>93147</v>
      </c>
      <c r="B2882" s="105" t="s">
        <v>3101</v>
      </c>
      <c r="C2882" s="106" t="s">
        <v>801</v>
      </c>
      <c r="D2882" s="109">
        <v>176.63</v>
      </c>
    </row>
    <row r="2883" spans="1:4" ht="25.5" x14ac:dyDescent="0.25">
      <c r="A2883" s="106">
        <v>96971</v>
      </c>
      <c r="B2883" s="105" t="s">
        <v>3102</v>
      </c>
      <c r="C2883" s="106" t="s">
        <v>16</v>
      </c>
      <c r="D2883" s="109">
        <v>22.39</v>
      </c>
    </row>
    <row r="2884" spans="1:4" ht="25.5" x14ac:dyDescent="0.25">
      <c r="A2884" s="106">
        <v>96972</v>
      </c>
      <c r="B2884" s="105" t="s">
        <v>3103</v>
      </c>
      <c r="C2884" s="106" t="s">
        <v>16</v>
      </c>
      <c r="D2884" s="109">
        <v>30.57</v>
      </c>
    </row>
    <row r="2885" spans="1:4" ht="25.5" x14ac:dyDescent="0.25">
      <c r="A2885" s="104">
        <v>96973</v>
      </c>
      <c r="B2885" s="105" t="s">
        <v>3104</v>
      </c>
      <c r="C2885" s="106" t="s">
        <v>16</v>
      </c>
      <c r="D2885" s="107">
        <v>38.49</v>
      </c>
    </row>
    <row r="2886" spans="1:4" ht="25.5" x14ac:dyDescent="0.25">
      <c r="A2886" s="104">
        <v>96974</v>
      </c>
      <c r="B2886" s="105" t="s">
        <v>3105</v>
      </c>
      <c r="C2886" s="106" t="s">
        <v>16</v>
      </c>
      <c r="D2886" s="107">
        <v>48.92</v>
      </c>
    </row>
    <row r="2887" spans="1:4" ht="25.5" x14ac:dyDescent="0.25">
      <c r="A2887" s="104">
        <v>96975</v>
      </c>
      <c r="B2887" s="105" t="s">
        <v>3106</v>
      </c>
      <c r="C2887" s="106" t="s">
        <v>16</v>
      </c>
      <c r="D2887" s="107">
        <v>62.85</v>
      </c>
    </row>
    <row r="2888" spans="1:4" ht="25.5" x14ac:dyDescent="0.25">
      <c r="A2888" s="104">
        <v>96976</v>
      </c>
      <c r="B2888" s="105" t="s">
        <v>3107</v>
      </c>
      <c r="C2888" s="106" t="s">
        <v>16</v>
      </c>
      <c r="D2888" s="107">
        <v>81.38</v>
      </c>
    </row>
    <row r="2889" spans="1:4" ht="25.5" x14ac:dyDescent="0.25">
      <c r="A2889" s="104">
        <v>96977</v>
      </c>
      <c r="B2889" s="105" t="s">
        <v>3108</v>
      </c>
      <c r="C2889" s="106" t="s">
        <v>16</v>
      </c>
      <c r="D2889" s="107">
        <v>31.13</v>
      </c>
    </row>
    <row r="2890" spans="1:4" ht="25.5" x14ac:dyDescent="0.25">
      <c r="A2890" s="104">
        <v>96978</v>
      </c>
      <c r="B2890" s="105" t="s">
        <v>3109</v>
      </c>
      <c r="C2890" s="106" t="s">
        <v>16</v>
      </c>
      <c r="D2890" s="107">
        <v>43.63</v>
      </c>
    </row>
    <row r="2891" spans="1:4" ht="25.5" x14ac:dyDescent="0.25">
      <c r="A2891" s="104">
        <v>96979</v>
      </c>
      <c r="B2891" s="105" t="s">
        <v>3110</v>
      </c>
      <c r="C2891" s="106" t="s">
        <v>16</v>
      </c>
      <c r="D2891" s="107">
        <v>61.13</v>
      </c>
    </row>
    <row r="2892" spans="1:4" ht="25.5" x14ac:dyDescent="0.25">
      <c r="A2892" s="104">
        <v>96984</v>
      </c>
      <c r="B2892" s="105" t="s">
        <v>3111</v>
      </c>
      <c r="C2892" s="106" t="s">
        <v>801</v>
      </c>
      <c r="D2892" s="107">
        <v>38.39</v>
      </c>
    </row>
    <row r="2893" spans="1:4" ht="25.5" x14ac:dyDescent="0.25">
      <c r="A2893" s="104">
        <v>96985</v>
      </c>
      <c r="B2893" s="105" t="s">
        <v>3112</v>
      </c>
      <c r="C2893" s="106" t="s">
        <v>801</v>
      </c>
      <c r="D2893" s="107">
        <v>44.06</v>
      </c>
    </row>
    <row r="2894" spans="1:4" ht="25.5" x14ac:dyDescent="0.25">
      <c r="A2894" s="104">
        <v>96986</v>
      </c>
      <c r="B2894" s="105" t="s">
        <v>3113</v>
      </c>
      <c r="C2894" s="106" t="s">
        <v>801</v>
      </c>
      <c r="D2894" s="107">
        <v>65.87</v>
      </c>
    </row>
    <row r="2895" spans="1:4" ht="25.5" x14ac:dyDescent="0.25">
      <c r="A2895" s="104">
        <v>96987</v>
      </c>
      <c r="B2895" s="105" t="s">
        <v>3114</v>
      </c>
      <c r="C2895" s="106" t="s">
        <v>801</v>
      </c>
      <c r="D2895" s="107">
        <v>103.4</v>
      </c>
    </row>
    <row r="2896" spans="1:4" x14ac:dyDescent="0.25">
      <c r="A2896" s="104">
        <v>96988</v>
      </c>
      <c r="B2896" s="105" t="s">
        <v>3115</v>
      </c>
      <c r="C2896" s="106" t="s">
        <v>801</v>
      </c>
      <c r="D2896" s="107">
        <v>157.22</v>
      </c>
    </row>
    <row r="2897" spans="1:4" ht="25.5" x14ac:dyDescent="0.25">
      <c r="A2897" s="104">
        <v>96989</v>
      </c>
      <c r="B2897" s="105" t="s">
        <v>3116</v>
      </c>
      <c r="C2897" s="106" t="s">
        <v>801</v>
      </c>
      <c r="D2897" s="109">
        <v>103.39</v>
      </c>
    </row>
    <row r="2898" spans="1:4" ht="25.5" x14ac:dyDescent="0.25">
      <c r="A2898" s="104">
        <v>98463</v>
      </c>
      <c r="B2898" s="105" t="s">
        <v>3117</v>
      </c>
      <c r="C2898" s="106" t="s">
        <v>801</v>
      </c>
      <c r="D2898" s="107">
        <v>19.27</v>
      </c>
    </row>
    <row r="2899" spans="1:4" ht="25.5" x14ac:dyDescent="0.25">
      <c r="A2899" s="104">
        <v>88547</v>
      </c>
      <c r="B2899" s="105" t="s">
        <v>274</v>
      </c>
      <c r="C2899" s="106" t="s">
        <v>801</v>
      </c>
      <c r="D2899" s="107">
        <v>65.91</v>
      </c>
    </row>
    <row r="2900" spans="1:4" ht="51" x14ac:dyDescent="0.25">
      <c r="A2900" s="104">
        <v>72283</v>
      </c>
      <c r="B2900" s="105" t="s">
        <v>3118</v>
      </c>
      <c r="C2900" s="106" t="s">
        <v>801</v>
      </c>
      <c r="D2900" s="107">
        <v>953.32</v>
      </c>
    </row>
    <row r="2901" spans="1:4" x14ac:dyDescent="0.25">
      <c r="A2901" s="104">
        <v>72287</v>
      </c>
      <c r="B2901" s="105" t="s">
        <v>3119</v>
      </c>
      <c r="C2901" s="106" t="s">
        <v>801</v>
      </c>
      <c r="D2901" s="107">
        <v>252.23</v>
      </c>
    </row>
    <row r="2902" spans="1:4" x14ac:dyDescent="0.25">
      <c r="A2902" s="104">
        <v>72288</v>
      </c>
      <c r="B2902" s="105" t="s">
        <v>11236</v>
      </c>
      <c r="C2902" s="106" t="s">
        <v>801</v>
      </c>
      <c r="D2902" s="107">
        <v>314.58999999999997</v>
      </c>
    </row>
    <row r="2903" spans="1:4" x14ac:dyDescent="0.25">
      <c r="A2903" s="104">
        <v>72553</v>
      </c>
      <c r="B2903" s="105" t="s">
        <v>320</v>
      </c>
      <c r="C2903" s="106" t="s">
        <v>801</v>
      </c>
      <c r="D2903" s="107">
        <v>144.61000000000001</v>
      </c>
    </row>
    <row r="2904" spans="1:4" x14ac:dyDescent="0.25">
      <c r="A2904" s="104">
        <v>72554</v>
      </c>
      <c r="B2904" s="105" t="s">
        <v>322</v>
      </c>
      <c r="C2904" s="106" t="s">
        <v>801</v>
      </c>
      <c r="D2904" s="107">
        <v>487.08</v>
      </c>
    </row>
    <row r="2905" spans="1:4" ht="25.5" x14ac:dyDescent="0.25">
      <c r="A2905" s="104" t="s">
        <v>3120</v>
      </c>
      <c r="B2905" s="105" t="s">
        <v>3121</v>
      </c>
      <c r="C2905" s="106" t="s">
        <v>801</v>
      </c>
      <c r="D2905" s="107">
        <v>150.59</v>
      </c>
    </row>
    <row r="2906" spans="1:4" ht="25.5" x14ac:dyDescent="0.25">
      <c r="A2906" s="104" t="s">
        <v>3122</v>
      </c>
      <c r="B2906" s="105" t="s">
        <v>3123</v>
      </c>
      <c r="C2906" s="106" t="s">
        <v>801</v>
      </c>
      <c r="D2906" s="107">
        <v>155.18</v>
      </c>
    </row>
    <row r="2907" spans="1:4" ht="25.5" x14ac:dyDescent="0.25">
      <c r="A2907" s="104">
        <v>83633</v>
      </c>
      <c r="B2907" s="105" t="s">
        <v>3124</v>
      </c>
      <c r="C2907" s="106" t="s">
        <v>801</v>
      </c>
      <c r="D2907" s="107">
        <v>1901.16</v>
      </c>
    </row>
    <row r="2908" spans="1:4" ht="25.5" x14ac:dyDescent="0.25">
      <c r="A2908" s="104">
        <v>83634</v>
      </c>
      <c r="B2908" s="105" t="s">
        <v>3125</v>
      </c>
      <c r="C2908" s="106" t="s">
        <v>801</v>
      </c>
      <c r="D2908" s="107">
        <v>456.36</v>
      </c>
    </row>
    <row r="2909" spans="1:4" ht="25.5" x14ac:dyDescent="0.25">
      <c r="A2909" s="104">
        <v>83635</v>
      </c>
      <c r="B2909" s="105" t="s">
        <v>333</v>
      </c>
      <c r="C2909" s="106" t="s">
        <v>801</v>
      </c>
      <c r="D2909" s="107">
        <v>175.06</v>
      </c>
    </row>
    <row r="2910" spans="1:4" ht="51" x14ac:dyDescent="0.25">
      <c r="A2910" s="104">
        <v>96765</v>
      </c>
      <c r="B2910" s="105" t="s">
        <v>3126</v>
      </c>
      <c r="C2910" s="106" t="s">
        <v>801</v>
      </c>
      <c r="D2910" s="107">
        <v>1127.73</v>
      </c>
    </row>
    <row r="2911" spans="1:4" ht="25.5" x14ac:dyDescent="0.25">
      <c r="A2911" s="104" t="s">
        <v>3127</v>
      </c>
      <c r="B2911" s="105" t="s">
        <v>3128</v>
      </c>
      <c r="C2911" s="106" t="s">
        <v>801</v>
      </c>
      <c r="D2911" s="107">
        <v>173.68</v>
      </c>
    </row>
    <row r="2912" spans="1:4" ht="25.5" x14ac:dyDescent="0.25">
      <c r="A2912" s="104" t="s">
        <v>3129</v>
      </c>
      <c r="B2912" s="105" t="s">
        <v>3130</v>
      </c>
      <c r="C2912" s="106" t="s">
        <v>801</v>
      </c>
      <c r="D2912" s="107">
        <v>319.87</v>
      </c>
    </row>
    <row r="2913" spans="1:4" ht="25.5" x14ac:dyDescent="0.25">
      <c r="A2913" s="104" t="s">
        <v>3131</v>
      </c>
      <c r="B2913" s="105" t="s">
        <v>3132</v>
      </c>
      <c r="C2913" s="106" t="s">
        <v>801</v>
      </c>
      <c r="D2913" s="107">
        <v>1041.54</v>
      </c>
    </row>
    <row r="2914" spans="1:4" ht="25.5" x14ac:dyDescent="0.25">
      <c r="A2914" s="104">
        <v>84796</v>
      </c>
      <c r="B2914" s="105" t="s">
        <v>3133</v>
      </c>
      <c r="C2914" s="106" t="s">
        <v>801</v>
      </c>
      <c r="D2914" s="107">
        <v>583.58000000000004</v>
      </c>
    </row>
    <row r="2915" spans="1:4" ht="25.5" x14ac:dyDescent="0.25">
      <c r="A2915" s="104">
        <v>84798</v>
      </c>
      <c r="B2915" s="105" t="s">
        <v>3134</v>
      </c>
      <c r="C2915" s="106" t="s">
        <v>801</v>
      </c>
      <c r="D2915" s="107">
        <v>257.19</v>
      </c>
    </row>
    <row r="2916" spans="1:4" ht="25.5" x14ac:dyDescent="0.25">
      <c r="A2916" s="104">
        <v>98261</v>
      </c>
      <c r="B2916" s="105" t="s">
        <v>11237</v>
      </c>
      <c r="C2916" s="106" t="s">
        <v>16</v>
      </c>
      <c r="D2916" s="107">
        <v>2.66</v>
      </c>
    </row>
    <row r="2917" spans="1:4" ht="38.25" x14ac:dyDescent="0.25">
      <c r="A2917" s="104">
        <v>98262</v>
      </c>
      <c r="B2917" s="105" t="s">
        <v>11238</v>
      </c>
      <c r="C2917" s="106" t="s">
        <v>16</v>
      </c>
      <c r="D2917" s="107">
        <v>3.24</v>
      </c>
    </row>
    <row r="2918" spans="1:4" ht="38.25" x14ac:dyDescent="0.25">
      <c r="A2918" s="104">
        <v>98263</v>
      </c>
      <c r="B2918" s="105" t="s">
        <v>11239</v>
      </c>
      <c r="C2918" s="106" t="s">
        <v>16</v>
      </c>
      <c r="D2918" s="107">
        <v>3.97</v>
      </c>
    </row>
    <row r="2919" spans="1:4" ht="38.25" x14ac:dyDescent="0.25">
      <c r="A2919" s="106">
        <v>98264</v>
      </c>
      <c r="B2919" s="105" t="s">
        <v>11240</v>
      </c>
      <c r="C2919" s="106" t="s">
        <v>16</v>
      </c>
      <c r="D2919" s="107">
        <v>4.53</v>
      </c>
    </row>
    <row r="2920" spans="1:4" ht="38.25" x14ac:dyDescent="0.25">
      <c r="A2920" s="106">
        <v>98265</v>
      </c>
      <c r="B2920" s="105" t="s">
        <v>11241</v>
      </c>
      <c r="C2920" s="106" t="s">
        <v>16</v>
      </c>
      <c r="D2920" s="107">
        <v>5.38</v>
      </c>
    </row>
    <row r="2921" spans="1:4" ht="38.25" x14ac:dyDescent="0.25">
      <c r="A2921" s="106">
        <v>98266</v>
      </c>
      <c r="B2921" s="105" t="s">
        <v>11242</v>
      </c>
      <c r="C2921" s="106" t="s">
        <v>16</v>
      </c>
      <c r="D2921" s="107">
        <v>5.86</v>
      </c>
    </row>
    <row r="2922" spans="1:4" ht="25.5" x14ac:dyDescent="0.25">
      <c r="A2922" s="104">
        <v>98267</v>
      </c>
      <c r="B2922" s="105" t="s">
        <v>11243</v>
      </c>
      <c r="C2922" s="106" t="s">
        <v>16</v>
      </c>
      <c r="D2922" s="107">
        <v>9.98</v>
      </c>
    </row>
    <row r="2923" spans="1:4" ht="25.5" x14ac:dyDescent="0.25">
      <c r="A2923" s="104">
        <v>98268</v>
      </c>
      <c r="B2923" s="105" t="s">
        <v>11244</v>
      </c>
      <c r="C2923" s="106" t="s">
        <v>16</v>
      </c>
      <c r="D2923" s="107">
        <v>16.95</v>
      </c>
    </row>
    <row r="2924" spans="1:4" ht="25.5" x14ac:dyDescent="0.25">
      <c r="A2924" s="104">
        <v>98269</v>
      </c>
      <c r="B2924" s="105" t="s">
        <v>11245</v>
      </c>
      <c r="C2924" s="106" t="s">
        <v>16</v>
      </c>
      <c r="D2924" s="107">
        <v>22.18</v>
      </c>
    </row>
    <row r="2925" spans="1:4" ht="25.5" x14ac:dyDescent="0.25">
      <c r="A2925" s="104">
        <v>98270</v>
      </c>
      <c r="B2925" s="105" t="s">
        <v>11246</v>
      </c>
      <c r="C2925" s="106" t="s">
        <v>16</v>
      </c>
      <c r="D2925" s="107">
        <v>36.9</v>
      </c>
    </row>
    <row r="2926" spans="1:4" ht="25.5" x14ac:dyDescent="0.25">
      <c r="A2926" s="104">
        <v>98271</v>
      </c>
      <c r="B2926" s="105" t="s">
        <v>11247</v>
      </c>
      <c r="C2926" s="106" t="s">
        <v>16</v>
      </c>
      <c r="D2926" s="107">
        <v>58.05</v>
      </c>
    </row>
    <row r="2927" spans="1:4" ht="25.5" x14ac:dyDescent="0.25">
      <c r="A2927" s="104">
        <v>98272</v>
      </c>
      <c r="B2927" s="105" t="s">
        <v>11248</v>
      </c>
      <c r="C2927" s="106" t="s">
        <v>16</v>
      </c>
      <c r="D2927" s="107">
        <v>138.05000000000001</v>
      </c>
    </row>
    <row r="2928" spans="1:4" ht="25.5" x14ac:dyDescent="0.25">
      <c r="A2928" s="104">
        <v>98273</v>
      </c>
      <c r="B2928" s="105" t="s">
        <v>11249</v>
      </c>
      <c r="C2928" s="106" t="s">
        <v>16</v>
      </c>
      <c r="D2928" s="107">
        <v>2.56</v>
      </c>
    </row>
    <row r="2929" spans="1:4" ht="25.5" x14ac:dyDescent="0.25">
      <c r="A2929" s="104">
        <v>98274</v>
      </c>
      <c r="B2929" s="105" t="s">
        <v>11250</v>
      </c>
      <c r="C2929" s="106" t="s">
        <v>16</v>
      </c>
      <c r="D2929" s="107">
        <v>3.41</v>
      </c>
    </row>
    <row r="2930" spans="1:4" ht="25.5" x14ac:dyDescent="0.25">
      <c r="A2930" s="104">
        <v>98275</v>
      </c>
      <c r="B2930" s="105" t="s">
        <v>11251</v>
      </c>
      <c r="C2930" s="106" t="s">
        <v>16</v>
      </c>
      <c r="D2930" s="107">
        <v>3.89</v>
      </c>
    </row>
    <row r="2931" spans="1:4" ht="25.5" x14ac:dyDescent="0.25">
      <c r="A2931" s="104">
        <v>98276</v>
      </c>
      <c r="B2931" s="105" t="s">
        <v>11252</v>
      </c>
      <c r="C2931" s="106" t="s">
        <v>16</v>
      </c>
      <c r="D2931" s="107">
        <v>8.02</v>
      </c>
    </row>
    <row r="2932" spans="1:4" ht="25.5" x14ac:dyDescent="0.25">
      <c r="A2932" s="104">
        <v>98277</v>
      </c>
      <c r="B2932" s="105" t="s">
        <v>11253</v>
      </c>
      <c r="C2932" s="106" t="s">
        <v>16</v>
      </c>
      <c r="D2932" s="107">
        <v>14.97</v>
      </c>
    </row>
    <row r="2933" spans="1:4" ht="25.5" x14ac:dyDescent="0.25">
      <c r="A2933" s="104">
        <v>98278</v>
      </c>
      <c r="B2933" s="105" t="s">
        <v>11254</v>
      </c>
      <c r="C2933" s="106" t="s">
        <v>16</v>
      </c>
      <c r="D2933" s="107">
        <v>20.21</v>
      </c>
    </row>
    <row r="2934" spans="1:4" ht="25.5" x14ac:dyDescent="0.25">
      <c r="A2934" s="104">
        <v>98279</v>
      </c>
      <c r="B2934" s="105" t="s">
        <v>11255</v>
      </c>
      <c r="C2934" s="106" t="s">
        <v>16</v>
      </c>
      <c r="D2934" s="107">
        <v>34.93</v>
      </c>
    </row>
    <row r="2935" spans="1:4" ht="38.25" x14ac:dyDescent="0.25">
      <c r="A2935" s="106">
        <v>98280</v>
      </c>
      <c r="B2935" s="105" t="s">
        <v>11256</v>
      </c>
      <c r="C2935" s="106" t="s">
        <v>16</v>
      </c>
      <c r="D2935" s="107">
        <v>5.2</v>
      </c>
    </row>
    <row r="2936" spans="1:4" ht="38.25" x14ac:dyDescent="0.25">
      <c r="A2936" s="106">
        <v>98281</v>
      </c>
      <c r="B2936" s="105" t="s">
        <v>11257</v>
      </c>
      <c r="C2936" s="106" t="s">
        <v>16</v>
      </c>
      <c r="D2936" s="107">
        <v>5.78</v>
      </c>
    </row>
    <row r="2937" spans="1:4" ht="38.25" x14ac:dyDescent="0.25">
      <c r="A2937" s="104">
        <v>98282</v>
      </c>
      <c r="B2937" s="105" t="s">
        <v>11258</v>
      </c>
      <c r="C2937" s="106" t="s">
        <v>16</v>
      </c>
      <c r="D2937" s="109">
        <v>6.5</v>
      </c>
    </row>
    <row r="2938" spans="1:4" ht="38.25" x14ac:dyDescent="0.25">
      <c r="A2938" s="104">
        <v>98283</v>
      </c>
      <c r="B2938" s="105" t="s">
        <v>11259</v>
      </c>
      <c r="C2938" s="106" t="s">
        <v>16</v>
      </c>
      <c r="D2938" s="107">
        <v>7.06</v>
      </c>
    </row>
    <row r="2939" spans="1:4" ht="38.25" x14ac:dyDescent="0.25">
      <c r="A2939" s="104">
        <v>98284</v>
      </c>
      <c r="B2939" s="105" t="s">
        <v>11260</v>
      </c>
      <c r="C2939" s="106" t="s">
        <v>16</v>
      </c>
      <c r="D2939" s="107">
        <v>7.91</v>
      </c>
    </row>
    <row r="2940" spans="1:4" ht="38.25" x14ac:dyDescent="0.25">
      <c r="A2940" s="104">
        <v>98285</v>
      </c>
      <c r="B2940" s="105" t="s">
        <v>11261</v>
      </c>
      <c r="C2940" s="106" t="s">
        <v>16</v>
      </c>
      <c r="D2940" s="109">
        <v>8.4</v>
      </c>
    </row>
    <row r="2941" spans="1:4" ht="38.25" x14ac:dyDescent="0.25">
      <c r="A2941" s="104">
        <v>98286</v>
      </c>
      <c r="B2941" s="105" t="s">
        <v>11262</v>
      </c>
      <c r="C2941" s="106" t="s">
        <v>16</v>
      </c>
      <c r="D2941" s="107">
        <v>12.52</v>
      </c>
    </row>
    <row r="2942" spans="1:4" ht="38.25" x14ac:dyDescent="0.25">
      <c r="A2942" s="106">
        <v>98287</v>
      </c>
      <c r="B2942" s="105" t="s">
        <v>11263</v>
      </c>
      <c r="C2942" s="106" t="s">
        <v>16</v>
      </c>
      <c r="D2942" s="107">
        <v>1.1499999999999999</v>
      </c>
    </row>
    <row r="2943" spans="1:4" ht="38.25" x14ac:dyDescent="0.25">
      <c r="A2943" s="106">
        <v>98288</v>
      </c>
      <c r="B2943" s="105" t="s">
        <v>11264</v>
      </c>
      <c r="C2943" s="106" t="s">
        <v>16</v>
      </c>
      <c r="D2943" s="107">
        <v>1.73</v>
      </c>
    </row>
    <row r="2944" spans="1:4" ht="38.25" x14ac:dyDescent="0.25">
      <c r="A2944" s="106">
        <v>98289</v>
      </c>
      <c r="B2944" s="105" t="s">
        <v>11265</v>
      </c>
      <c r="C2944" s="106" t="s">
        <v>16</v>
      </c>
      <c r="D2944" s="109">
        <v>2.44</v>
      </c>
    </row>
    <row r="2945" spans="1:4" ht="38.25" x14ac:dyDescent="0.25">
      <c r="A2945" s="106">
        <v>98290</v>
      </c>
      <c r="B2945" s="105" t="s">
        <v>11266</v>
      </c>
      <c r="C2945" s="106" t="s">
        <v>16</v>
      </c>
      <c r="D2945" s="107">
        <v>3</v>
      </c>
    </row>
    <row r="2946" spans="1:4" ht="38.25" x14ac:dyDescent="0.25">
      <c r="A2946" s="104">
        <v>98291</v>
      </c>
      <c r="B2946" s="105" t="s">
        <v>11267</v>
      </c>
      <c r="C2946" s="106" t="s">
        <v>16</v>
      </c>
      <c r="D2946" s="107">
        <v>3.86</v>
      </c>
    </row>
    <row r="2947" spans="1:4" ht="38.25" x14ac:dyDescent="0.25">
      <c r="A2947" s="104">
        <v>98292</v>
      </c>
      <c r="B2947" s="105" t="s">
        <v>11268</v>
      </c>
      <c r="C2947" s="106" t="s">
        <v>16</v>
      </c>
      <c r="D2947" s="107">
        <v>4.3499999999999996</v>
      </c>
    </row>
    <row r="2948" spans="1:4" ht="38.25" x14ac:dyDescent="0.25">
      <c r="A2948" s="104">
        <v>98293</v>
      </c>
      <c r="B2948" s="105" t="s">
        <v>11269</v>
      </c>
      <c r="C2948" s="106" t="s">
        <v>16</v>
      </c>
      <c r="D2948" s="109">
        <v>8.4700000000000006</v>
      </c>
    </row>
    <row r="2949" spans="1:4" ht="25.5" x14ac:dyDescent="0.25">
      <c r="A2949" s="104">
        <v>98400</v>
      </c>
      <c r="B2949" s="105" t="s">
        <v>11270</v>
      </c>
      <c r="C2949" s="106" t="s">
        <v>16</v>
      </c>
      <c r="D2949" s="107">
        <v>12.07</v>
      </c>
    </row>
    <row r="2950" spans="1:4" ht="25.5" x14ac:dyDescent="0.25">
      <c r="A2950" s="104">
        <v>98401</v>
      </c>
      <c r="B2950" s="105" t="s">
        <v>11271</v>
      </c>
      <c r="C2950" s="106" t="s">
        <v>16</v>
      </c>
      <c r="D2950" s="107">
        <v>19.21</v>
      </c>
    </row>
    <row r="2951" spans="1:4" ht="25.5" x14ac:dyDescent="0.25">
      <c r="A2951" s="104">
        <v>98402</v>
      </c>
      <c r="B2951" s="105" t="s">
        <v>11272</v>
      </c>
      <c r="C2951" s="106" t="s">
        <v>16</v>
      </c>
      <c r="D2951" s="107">
        <v>25.18</v>
      </c>
    </row>
    <row r="2952" spans="1:4" ht="25.5" x14ac:dyDescent="0.25">
      <c r="A2952" s="104">
        <v>100556</v>
      </c>
      <c r="B2952" s="105" t="s">
        <v>11273</v>
      </c>
      <c r="C2952" s="106" t="s">
        <v>801</v>
      </c>
      <c r="D2952" s="107">
        <v>29.37</v>
      </c>
    </row>
    <row r="2953" spans="1:4" ht="25.5" x14ac:dyDescent="0.25">
      <c r="A2953" s="104">
        <v>100557</v>
      </c>
      <c r="B2953" s="105" t="s">
        <v>11274</v>
      </c>
      <c r="C2953" s="106" t="s">
        <v>801</v>
      </c>
      <c r="D2953" s="107">
        <v>371.4</v>
      </c>
    </row>
    <row r="2954" spans="1:4" ht="38.25" x14ac:dyDescent="0.25">
      <c r="A2954" s="104">
        <v>100560</v>
      </c>
      <c r="B2954" s="105" t="s">
        <v>11275</v>
      </c>
      <c r="C2954" s="106" t="s">
        <v>801</v>
      </c>
      <c r="D2954" s="107">
        <v>79.77</v>
      </c>
    </row>
    <row r="2955" spans="1:4" ht="38.25" x14ac:dyDescent="0.25">
      <c r="A2955" s="104">
        <v>100561</v>
      </c>
      <c r="B2955" s="105" t="s">
        <v>11276</v>
      </c>
      <c r="C2955" s="106" t="s">
        <v>801</v>
      </c>
      <c r="D2955" s="107">
        <v>146.46</v>
      </c>
    </row>
    <row r="2956" spans="1:4" ht="38.25" x14ac:dyDescent="0.25">
      <c r="A2956" s="104">
        <v>100562</v>
      </c>
      <c r="B2956" s="105" t="s">
        <v>11277</v>
      </c>
      <c r="C2956" s="106" t="s">
        <v>801</v>
      </c>
      <c r="D2956" s="107">
        <v>227.13</v>
      </c>
    </row>
    <row r="2957" spans="1:4" ht="38.25" x14ac:dyDescent="0.25">
      <c r="A2957" s="104">
        <v>100563</v>
      </c>
      <c r="B2957" s="105" t="s">
        <v>11278</v>
      </c>
      <c r="C2957" s="106" t="s">
        <v>801</v>
      </c>
      <c r="D2957" s="107">
        <v>327.68</v>
      </c>
    </row>
    <row r="2958" spans="1:4" x14ac:dyDescent="0.25">
      <c r="A2958" s="104">
        <v>98397</v>
      </c>
      <c r="B2958" s="105" t="s">
        <v>3135</v>
      </c>
      <c r="C2958" s="106" t="s">
        <v>8</v>
      </c>
      <c r="D2958" s="107">
        <v>7.97</v>
      </c>
    </row>
    <row r="2959" spans="1:4" ht="25.5" x14ac:dyDescent="0.25">
      <c r="A2959" s="104" t="s">
        <v>3136</v>
      </c>
      <c r="B2959" s="105" t="s">
        <v>3137</v>
      </c>
      <c r="C2959" s="106" t="s">
        <v>801</v>
      </c>
      <c r="D2959" s="107">
        <v>5051.62</v>
      </c>
    </row>
    <row r="2960" spans="1:4" ht="25.5" x14ac:dyDescent="0.25">
      <c r="A2960" s="104">
        <v>85120</v>
      </c>
      <c r="B2960" s="105" t="s">
        <v>242</v>
      </c>
      <c r="C2960" s="106" t="s">
        <v>801</v>
      </c>
      <c r="D2960" s="107">
        <v>104.29</v>
      </c>
    </row>
    <row r="2961" spans="1:4" x14ac:dyDescent="0.25">
      <c r="A2961" s="104">
        <v>83486</v>
      </c>
      <c r="B2961" s="105" t="s">
        <v>3138</v>
      </c>
      <c r="C2961" s="106" t="s">
        <v>801</v>
      </c>
      <c r="D2961" s="107">
        <v>1229.42</v>
      </c>
    </row>
    <row r="2962" spans="1:4" ht="51" x14ac:dyDescent="0.25">
      <c r="A2962" s="104">
        <v>83643</v>
      </c>
      <c r="B2962" s="105" t="s">
        <v>3139</v>
      </c>
      <c r="C2962" s="106" t="s">
        <v>801</v>
      </c>
      <c r="D2962" s="107">
        <v>3869.97</v>
      </c>
    </row>
    <row r="2963" spans="1:4" x14ac:dyDescent="0.25">
      <c r="A2963" s="104">
        <v>83644</v>
      </c>
      <c r="B2963" s="105" t="s">
        <v>3140</v>
      </c>
      <c r="C2963" s="106" t="s">
        <v>801</v>
      </c>
      <c r="D2963" s="107">
        <v>5373.06</v>
      </c>
    </row>
    <row r="2964" spans="1:4" x14ac:dyDescent="0.25">
      <c r="A2964" s="104">
        <v>83645</v>
      </c>
      <c r="B2964" s="105" t="s">
        <v>3141</v>
      </c>
      <c r="C2964" s="106" t="s">
        <v>801</v>
      </c>
      <c r="D2964" s="107">
        <v>1683.64</v>
      </c>
    </row>
    <row r="2965" spans="1:4" x14ac:dyDescent="0.25">
      <c r="A2965" s="104">
        <v>83646</v>
      </c>
      <c r="B2965" s="105" t="s">
        <v>3142</v>
      </c>
      <c r="C2965" s="106" t="s">
        <v>801</v>
      </c>
      <c r="D2965" s="107">
        <v>1960.06</v>
      </c>
    </row>
    <row r="2966" spans="1:4" x14ac:dyDescent="0.25">
      <c r="A2966" s="104">
        <v>83647</v>
      </c>
      <c r="B2966" s="105" t="s">
        <v>389</v>
      </c>
      <c r="C2966" s="106" t="s">
        <v>801</v>
      </c>
      <c r="D2966" s="107">
        <v>1269.98</v>
      </c>
    </row>
    <row r="2967" spans="1:4" x14ac:dyDescent="0.25">
      <c r="A2967" s="104">
        <v>83648</v>
      </c>
      <c r="B2967" s="105" t="s">
        <v>3143</v>
      </c>
      <c r="C2967" s="106" t="s">
        <v>801</v>
      </c>
      <c r="D2967" s="107">
        <v>802.64</v>
      </c>
    </row>
    <row r="2968" spans="1:4" x14ac:dyDescent="0.25">
      <c r="A2968" s="104">
        <v>83649</v>
      </c>
      <c r="B2968" s="105" t="s">
        <v>3144</v>
      </c>
      <c r="C2968" s="106" t="s">
        <v>801</v>
      </c>
      <c r="D2968" s="107">
        <v>4854.09</v>
      </c>
    </row>
    <row r="2969" spans="1:4" x14ac:dyDescent="0.25">
      <c r="A2969" s="104">
        <v>83650</v>
      </c>
      <c r="B2969" s="105" t="s">
        <v>3145</v>
      </c>
      <c r="C2969" s="106" t="s">
        <v>801</v>
      </c>
      <c r="D2969" s="107">
        <v>4026.77</v>
      </c>
    </row>
    <row r="2970" spans="1:4" ht="25.5" x14ac:dyDescent="0.25">
      <c r="A2970" s="104">
        <v>98294</v>
      </c>
      <c r="B2970" s="105" t="s">
        <v>11279</v>
      </c>
      <c r="C2970" s="106" t="s">
        <v>16</v>
      </c>
      <c r="D2970" s="107">
        <v>1.55</v>
      </c>
    </row>
    <row r="2971" spans="1:4" ht="25.5" x14ac:dyDescent="0.25">
      <c r="A2971" s="104">
        <v>98295</v>
      </c>
      <c r="B2971" s="105" t="s">
        <v>11280</v>
      </c>
      <c r="C2971" s="106" t="s">
        <v>16</v>
      </c>
      <c r="D2971" s="107">
        <v>1.0900000000000001</v>
      </c>
    </row>
    <row r="2972" spans="1:4" ht="25.5" x14ac:dyDescent="0.25">
      <c r="A2972" s="104">
        <v>98296</v>
      </c>
      <c r="B2972" s="105" t="s">
        <v>11281</v>
      </c>
      <c r="C2972" s="106" t="s">
        <v>16</v>
      </c>
      <c r="D2972" s="107">
        <v>2.39</v>
      </c>
    </row>
    <row r="2973" spans="1:4" ht="25.5" x14ac:dyDescent="0.25">
      <c r="A2973" s="104">
        <v>98297</v>
      </c>
      <c r="B2973" s="105" t="s">
        <v>11282</v>
      </c>
      <c r="C2973" s="106" t="s">
        <v>16</v>
      </c>
      <c r="D2973" s="107">
        <v>1.66</v>
      </c>
    </row>
    <row r="2974" spans="1:4" ht="25.5" x14ac:dyDescent="0.25">
      <c r="A2974" s="104">
        <v>98301</v>
      </c>
      <c r="B2974" s="105" t="s">
        <v>11283</v>
      </c>
      <c r="C2974" s="106" t="s">
        <v>801</v>
      </c>
      <c r="D2974" s="107">
        <v>357.81</v>
      </c>
    </row>
    <row r="2975" spans="1:4" ht="25.5" x14ac:dyDescent="0.25">
      <c r="A2975" s="104">
        <v>98302</v>
      </c>
      <c r="B2975" s="105" t="s">
        <v>11284</v>
      </c>
      <c r="C2975" s="106" t="s">
        <v>801</v>
      </c>
      <c r="D2975" s="107">
        <v>472.97</v>
      </c>
    </row>
    <row r="2976" spans="1:4" ht="25.5" x14ac:dyDescent="0.25">
      <c r="A2976" s="104">
        <v>98304</v>
      </c>
      <c r="B2976" s="105" t="s">
        <v>11285</v>
      </c>
      <c r="C2976" s="106" t="s">
        <v>801</v>
      </c>
      <c r="D2976" s="107">
        <v>767.41</v>
      </c>
    </row>
    <row r="2977" spans="1:4" x14ac:dyDescent="0.25">
      <c r="A2977" s="104">
        <v>98307</v>
      </c>
      <c r="B2977" s="105" t="s">
        <v>11286</v>
      </c>
      <c r="C2977" s="106" t="s">
        <v>801</v>
      </c>
      <c r="D2977" s="107">
        <v>28.12</v>
      </c>
    </row>
    <row r="2978" spans="1:4" ht="25.5" x14ac:dyDescent="0.25">
      <c r="A2978" s="104">
        <v>98308</v>
      </c>
      <c r="B2978" s="105" t="s">
        <v>11287</v>
      </c>
      <c r="C2978" s="106" t="s">
        <v>801</v>
      </c>
      <c r="D2978" s="107">
        <v>18.850000000000001</v>
      </c>
    </row>
    <row r="2979" spans="1:4" ht="25.5" x14ac:dyDescent="0.25">
      <c r="A2979" s="104">
        <v>98593</v>
      </c>
      <c r="B2979" s="105" t="s">
        <v>11288</v>
      </c>
      <c r="C2979" s="106" t="s">
        <v>801</v>
      </c>
      <c r="D2979" s="107">
        <v>629.86</v>
      </c>
    </row>
    <row r="2980" spans="1:4" ht="25.5" x14ac:dyDescent="0.25">
      <c r="A2980" s="104">
        <v>89355</v>
      </c>
      <c r="B2980" s="105" t="s">
        <v>3146</v>
      </c>
      <c r="C2980" s="106" t="s">
        <v>16</v>
      </c>
      <c r="D2980" s="107">
        <v>12.63</v>
      </c>
    </row>
    <row r="2981" spans="1:4" ht="25.5" x14ac:dyDescent="0.25">
      <c r="A2981" s="104">
        <v>89356</v>
      </c>
      <c r="B2981" s="105" t="s">
        <v>254</v>
      </c>
      <c r="C2981" s="106" t="s">
        <v>16</v>
      </c>
      <c r="D2981" s="107">
        <v>14.9</v>
      </c>
    </row>
    <row r="2982" spans="1:4" ht="25.5" x14ac:dyDescent="0.25">
      <c r="A2982" s="104">
        <v>89357</v>
      </c>
      <c r="B2982" s="105" t="s">
        <v>255</v>
      </c>
      <c r="C2982" s="106" t="s">
        <v>16</v>
      </c>
      <c r="D2982" s="107">
        <v>20.92</v>
      </c>
    </row>
    <row r="2983" spans="1:4" ht="25.5" x14ac:dyDescent="0.25">
      <c r="A2983" s="104">
        <v>89401</v>
      </c>
      <c r="B2983" s="105" t="s">
        <v>3147</v>
      </c>
      <c r="C2983" s="106" t="s">
        <v>16</v>
      </c>
      <c r="D2983" s="107">
        <v>5.45</v>
      </c>
    </row>
    <row r="2984" spans="1:4" ht="25.5" x14ac:dyDescent="0.25">
      <c r="A2984" s="104">
        <v>89402</v>
      </c>
      <c r="B2984" s="105" t="s">
        <v>376</v>
      </c>
      <c r="C2984" s="106" t="s">
        <v>16</v>
      </c>
      <c r="D2984" s="107">
        <v>6.63</v>
      </c>
    </row>
    <row r="2985" spans="1:4" ht="25.5" x14ac:dyDescent="0.25">
      <c r="A2985" s="104">
        <v>89403</v>
      </c>
      <c r="B2985" s="105" t="s">
        <v>377</v>
      </c>
      <c r="C2985" s="106" t="s">
        <v>16</v>
      </c>
      <c r="D2985" s="107">
        <v>11.02</v>
      </c>
    </row>
    <row r="2986" spans="1:4" ht="25.5" x14ac:dyDescent="0.25">
      <c r="A2986" s="104">
        <v>89446</v>
      </c>
      <c r="B2986" s="105" t="s">
        <v>3148</v>
      </c>
      <c r="C2986" s="106" t="s">
        <v>16</v>
      </c>
      <c r="D2986" s="107">
        <v>3.49</v>
      </c>
    </row>
    <row r="2987" spans="1:4" ht="25.5" x14ac:dyDescent="0.25">
      <c r="A2987" s="104">
        <v>89447</v>
      </c>
      <c r="B2987" s="105" t="s">
        <v>3149</v>
      </c>
      <c r="C2987" s="106" t="s">
        <v>16</v>
      </c>
      <c r="D2987" s="107">
        <v>7.33</v>
      </c>
    </row>
    <row r="2988" spans="1:4" ht="25.5" x14ac:dyDescent="0.25">
      <c r="A2988" s="104">
        <v>89448</v>
      </c>
      <c r="B2988" s="105" t="s">
        <v>3150</v>
      </c>
      <c r="C2988" s="106" t="s">
        <v>16</v>
      </c>
      <c r="D2988" s="107">
        <v>10.54</v>
      </c>
    </row>
    <row r="2989" spans="1:4" ht="25.5" x14ac:dyDescent="0.25">
      <c r="A2989" s="104">
        <v>89449</v>
      </c>
      <c r="B2989" s="105" t="s">
        <v>256</v>
      </c>
      <c r="C2989" s="106" t="s">
        <v>16</v>
      </c>
      <c r="D2989" s="107">
        <v>12.12</v>
      </c>
    </row>
    <row r="2990" spans="1:4" ht="25.5" x14ac:dyDescent="0.25">
      <c r="A2990" s="104">
        <v>89450</v>
      </c>
      <c r="B2990" s="105" t="s">
        <v>3151</v>
      </c>
      <c r="C2990" s="106" t="s">
        <v>16</v>
      </c>
      <c r="D2990" s="107">
        <v>19.98</v>
      </c>
    </row>
    <row r="2991" spans="1:4" ht="25.5" x14ac:dyDescent="0.25">
      <c r="A2991" s="104">
        <v>89451</v>
      </c>
      <c r="B2991" s="105" t="s">
        <v>257</v>
      </c>
      <c r="C2991" s="106" t="s">
        <v>16</v>
      </c>
      <c r="D2991" s="107">
        <v>33</v>
      </c>
    </row>
    <row r="2992" spans="1:4" ht="25.5" x14ac:dyDescent="0.25">
      <c r="A2992" s="104">
        <v>89452</v>
      </c>
      <c r="B2992" s="105" t="s">
        <v>258</v>
      </c>
      <c r="C2992" s="106" t="s">
        <v>16</v>
      </c>
      <c r="D2992" s="107">
        <v>41.07</v>
      </c>
    </row>
    <row r="2993" spans="1:4" ht="25.5" x14ac:dyDescent="0.25">
      <c r="A2993" s="106">
        <v>89508</v>
      </c>
      <c r="B2993" s="105" t="s">
        <v>3152</v>
      </c>
      <c r="C2993" s="106" t="s">
        <v>16</v>
      </c>
      <c r="D2993" s="109">
        <v>14.45</v>
      </c>
    </row>
    <row r="2994" spans="1:4" ht="25.5" x14ac:dyDescent="0.25">
      <c r="A2994" s="104">
        <v>89509</v>
      </c>
      <c r="B2994" s="105" t="s">
        <v>308</v>
      </c>
      <c r="C2994" s="106" t="s">
        <v>16</v>
      </c>
      <c r="D2994" s="107">
        <v>20.58</v>
      </c>
    </row>
    <row r="2995" spans="1:4" ht="25.5" x14ac:dyDescent="0.25">
      <c r="A2995" s="104">
        <v>89511</v>
      </c>
      <c r="B2995" s="105" t="s">
        <v>3153</v>
      </c>
      <c r="C2995" s="106" t="s">
        <v>16</v>
      </c>
      <c r="D2995" s="109">
        <v>31.14</v>
      </c>
    </row>
    <row r="2996" spans="1:4" ht="25.5" x14ac:dyDescent="0.25">
      <c r="A2996" s="104">
        <v>89512</v>
      </c>
      <c r="B2996" s="105" t="s">
        <v>3154</v>
      </c>
      <c r="C2996" s="106" t="s">
        <v>16</v>
      </c>
      <c r="D2996" s="109">
        <v>49.2</v>
      </c>
    </row>
    <row r="2997" spans="1:4" ht="38.25" x14ac:dyDescent="0.25">
      <c r="A2997" s="104">
        <v>89576</v>
      </c>
      <c r="B2997" s="105" t="s">
        <v>309</v>
      </c>
      <c r="C2997" s="106" t="s">
        <v>16</v>
      </c>
      <c r="D2997" s="109">
        <v>17.87</v>
      </c>
    </row>
    <row r="2998" spans="1:4" ht="38.25" x14ac:dyDescent="0.25">
      <c r="A2998" s="104">
        <v>89578</v>
      </c>
      <c r="B2998" s="105" t="s">
        <v>310</v>
      </c>
      <c r="C2998" s="106" t="s">
        <v>16</v>
      </c>
      <c r="D2998" s="109">
        <v>30.78</v>
      </c>
    </row>
    <row r="2999" spans="1:4" ht="38.25" x14ac:dyDescent="0.25">
      <c r="A2999" s="104">
        <v>89580</v>
      </c>
      <c r="B2999" s="105" t="s">
        <v>311</v>
      </c>
      <c r="C2999" s="106" t="s">
        <v>16</v>
      </c>
      <c r="D2999" s="109">
        <v>60.41</v>
      </c>
    </row>
    <row r="3000" spans="1:4" ht="25.5" x14ac:dyDescent="0.25">
      <c r="A3000" s="104">
        <v>89633</v>
      </c>
      <c r="B3000" s="105" t="s">
        <v>3155</v>
      </c>
      <c r="C3000" s="106" t="s">
        <v>16</v>
      </c>
      <c r="D3000" s="109">
        <v>19.260000000000002</v>
      </c>
    </row>
    <row r="3001" spans="1:4" ht="25.5" x14ac:dyDescent="0.25">
      <c r="A3001" s="104">
        <v>89634</v>
      </c>
      <c r="B3001" s="105" t="s">
        <v>3156</v>
      </c>
      <c r="C3001" s="106" t="s">
        <v>16</v>
      </c>
      <c r="D3001" s="107">
        <v>29.85</v>
      </c>
    </row>
    <row r="3002" spans="1:4" ht="25.5" x14ac:dyDescent="0.25">
      <c r="A3002" s="104">
        <v>89635</v>
      </c>
      <c r="B3002" s="105" t="s">
        <v>3157</v>
      </c>
      <c r="C3002" s="106" t="s">
        <v>16</v>
      </c>
      <c r="D3002" s="109">
        <v>43.35</v>
      </c>
    </row>
    <row r="3003" spans="1:4" ht="25.5" x14ac:dyDescent="0.25">
      <c r="A3003" s="104">
        <v>89636</v>
      </c>
      <c r="B3003" s="105" t="s">
        <v>3158</v>
      </c>
      <c r="C3003" s="106" t="s">
        <v>16</v>
      </c>
      <c r="D3003" s="109">
        <v>52.92</v>
      </c>
    </row>
    <row r="3004" spans="1:4" ht="38.25" x14ac:dyDescent="0.25">
      <c r="A3004" s="104">
        <v>89711</v>
      </c>
      <c r="B3004" s="105" t="s">
        <v>291</v>
      </c>
      <c r="C3004" s="106" t="s">
        <v>16</v>
      </c>
      <c r="D3004" s="107">
        <v>13.55</v>
      </c>
    </row>
    <row r="3005" spans="1:4" ht="38.25" x14ac:dyDescent="0.25">
      <c r="A3005" s="104">
        <v>89712</v>
      </c>
      <c r="B3005" s="105" t="s">
        <v>292</v>
      </c>
      <c r="C3005" s="106" t="s">
        <v>16</v>
      </c>
      <c r="D3005" s="107">
        <v>20.92</v>
      </c>
    </row>
    <row r="3006" spans="1:4" ht="38.25" x14ac:dyDescent="0.25">
      <c r="A3006" s="104">
        <v>89713</v>
      </c>
      <c r="B3006" s="105" t="s">
        <v>293</v>
      </c>
      <c r="C3006" s="106" t="s">
        <v>16</v>
      </c>
      <c r="D3006" s="107">
        <v>32.39</v>
      </c>
    </row>
    <row r="3007" spans="1:4" ht="38.25" x14ac:dyDescent="0.25">
      <c r="A3007" s="104">
        <v>89714</v>
      </c>
      <c r="B3007" s="105" t="s">
        <v>289</v>
      </c>
      <c r="C3007" s="106" t="s">
        <v>16</v>
      </c>
      <c r="D3007" s="107">
        <v>41.89</v>
      </c>
    </row>
    <row r="3008" spans="1:4" ht="25.5" x14ac:dyDescent="0.25">
      <c r="A3008" s="104">
        <v>89716</v>
      </c>
      <c r="B3008" s="105" t="s">
        <v>3159</v>
      </c>
      <c r="C3008" s="106" t="s">
        <v>16</v>
      </c>
      <c r="D3008" s="107">
        <v>22.37</v>
      </c>
    </row>
    <row r="3009" spans="1:4" ht="25.5" x14ac:dyDescent="0.25">
      <c r="A3009" s="104">
        <v>89717</v>
      </c>
      <c r="B3009" s="105" t="s">
        <v>3160</v>
      </c>
      <c r="C3009" s="106" t="s">
        <v>16</v>
      </c>
      <c r="D3009" s="107">
        <v>34.56</v>
      </c>
    </row>
    <row r="3010" spans="1:4" ht="25.5" x14ac:dyDescent="0.25">
      <c r="A3010" s="104">
        <v>89770</v>
      </c>
      <c r="B3010" s="105" t="s">
        <v>3161</v>
      </c>
      <c r="C3010" s="106" t="s">
        <v>16</v>
      </c>
      <c r="D3010" s="107">
        <v>38.68</v>
      </c>
    </row>
    <row r="3011" spans="1:4" ht="25.5" x14ac:dyDescent="0.25">
      <c r="A3011" s="104">
        <v>89771</v>
      </c>
      <c r="B3011" s="105" t="s">
        <v>3162</v>
      </c>
      <c r="C3011" s="106" t="s">
        <v>16</v>
      </c>
      <c r="D3011" s="107">
        <v>52.88</v>
      </c>
    </row>
    <row r="3012" spans="1:4" ht="25.5" x14ac:dyDescent="0.25">
      <c r="A3012" s="104">
        <v>89773</v>
      </c>
      <c r="B3012" s="105" t="s">
        <v>3163</v>
      </c>
      <c r="C3012" s="106" t="s">
        <v>16</v>
      </c>
      <c r="D3012" s="107">
        <v>123.28</v>
      </c>
    </row>
    <row r="3013" spans="1:4" ht="25.5" x14ac:dyDescent="0.25">
      <c r="A3013" s="104">
        <v>89775</v>
      </c>
      <c r="B3013" s="105" t="s">
        <v>3164</v>
      </c>
      <c r="C3013" s="106" t="s">
        <v>16</v>
      </c>
      <c r="D3013" s="107">
        <v>194.87</v>
      </c>
    </row>
    <row r="3014" spans="1:4" ht="38.25" x14ac:dyDescent="0.25">
      <c r="A3014" s="104">
        <v>89798</v>
      </c>
      <c r="B3014" s="105" t="s">
        <v>3165</v>
      </c>
      <c r="C3014" s="106" t="s">
        <v>16</v>
      </c>
      <c r="D3014" s="107">
        <v>8.81</v>
      </c>
    </row>
    <row r="3015" spans="1:4" ht="38.25" x14ac:dyDescent="0.25">
      <c r="A3015" s="104">
        <v>89799</v>
      </c>
      <c r="B3015" s="105" t="s">
        <v>3166</v>
      </c>
      <c r="C3015" s="106" t="s">
        <v>16</v>
      </c>
      <c r="D3015" s="107">
        <v>14.59</v>
      </c>
    </row>
    <row r="3016" spans="1:4" ht="38.25" x14ac:dyDescent="0.25">
      <c r="A3016" s="104">
        <v>89800</v>
      </c>
      <c r="B3016" s="105" t="s">
        <v>3167</v>
      </c>
      <c r="C3016" s="106" t="s">
        <v>16</v>
      </c>
      <c r="D3016" s="107">
        <v>18.22</v>
      </c>
    </row>
    <row r="3017" spans="1:4" ht="38.25" x14ac:dyDescent="0.25">
      <c r="A3017" s="104">
        <v>89848</v>
      </c>
      <c r="B3017" s="105" t="s">
        <v>3168</v>
      </c>
      <c r="C3017" s="106" t="s">
        <v>16</v>
      </c>
      <c r="D3017" s="107">
        <v>22.2</v>
      </c>
    </row>
    <row r="3018" spans="1:4" ht="38.25" x14ac:dyDescent="0.25">
      <c r="A3018" s="104">
        <v>89849</v>
      </c>
      <c r="B3018" s="105" t="s">
        <v>290</v>
      </c>
      <c r="C3018" s="106" t="s">
        <v>16</v>
      </c>
      <c r="D3018" s="107">
        <v>42.86</v>
      </c>
    </row>
    <row r="3019" spans="1:4" ht="25.5" x14ac:dyDescent="0.25">
      <c r="A3019" s="104">
        <v>89865</v>
      </c>
      <c r="B3019" s="105" t="s">
        <v>319</v>
      </c>
      <c r="C3019" s="106" t="s">
        <v>16</v>
      </c>
      <c r="D3019" s="107">
        <v>9.09</v>
      </c>
    </row>
    <row r="3020" spans="1:4" ht="51" x14ac:dyDescent="0.25">
      <c r="A3020" s="104">
        <v>91784</v>
      </c>
      <c r="B3020" s="105" t="s">
        <v>3169</v>
      </c>
      <c r="C3020" s="106" t="s">
        <v>16</v>
      </c>
      <c r="D3020" s="107">
        <v>30.89</v>
      </c>
    </row>
    <row r="3021" spans="1:4" ht="63.75" x14ac:dyDescent="0.25">
      <c r="A3021" s="104">
        <v>91785</v>
      </c>
      <c r="B3021" s="105" t="s">
        <v>3170</v>
      </c>
      <c r="C3021" s="106" t="s">
        <v>16</v>
      </c>
      <c r="D3021" s="107">
        <v>30.63</v>
      </c>
    </row>
    <row r="3022" spans="1:4" ht="51" x14ac:dyDescent="0.25">
      <c r="A3022" s="104">
        <v>91786</v>
      </c>
      <c r="B3022" s="105" t="s">
        <v>3171</v>
      </c>
      <c r="C3022" s="106" t="s">
        <v>16</v>
      </c>
      <c r="D3022" s="107">
        <v>21.1</v>
      </c>
    </row>
    <row r="3023" spans="1:4" ht="51" x14ac:dyDescent="0.25">
      <c r="A3023" s="104">
        <v>91787</v>
      </c>
      <c r="B3023" s="105" t="s">
        <v>3172</v>
      </c>
      <c r="C3023" s="106" t="s">
        <v>16</v>
      </c>
      <c r="D3023" s="107">
        <v>23.4</v>
      </c>
    </row>
    <row r="3024" spans="1:4" ht="51" x14ac:dyDescent="0.25">
      <c r="A3024" s="104">
        <v>91788</v>
      </c>
      <c r="B3024" s="105" t="s">
        <v>3173</v>
      </c>
      <c r="C3024" s="106" t="s">
        <v>16</v>
      </c>
      <c r="D3024" s="107">
        <v>29.97</v>
      </c>
    </row>
    <row r="3025" spans="1:4" ht="51" x14ac:dyDescent="0.25">
      <c r="A3025" s="104">
        <v>91789</v>
      </c>
      <c r="B3025" s="105" t="s">
        <v>3174</v>
      </c>
      <c r="C3025" s="106" t="s">
        <v>16</v>
      </c>
      <c r="D3025" s="107">
        <v>32.86</v>
      </c>
    </row>
    <row r="3026" spans="1:4" ht="63.75" x14ac:dyDescent="0.25">
      <c r="A3026" s="104">
        <v>91790</v>
      </c>
      <c r="B3026" s="105" t="s">
        <v>3175</v>
      </c>
      <c r="C3026" s="106" t="s">
        <v>16</v>
      </c>
      <c r="D3026" s="107">
        <v>49.87</v>
      </c>
    </row>
    <row r="3027" spans="1:4" ht="51" x14ac:dyDescent="0.25">
      <c r="A3027" s="104">
        <v>91791</v>
      </c>
      <c r="B3027" s="105" t="s">
        <v>3176</v>
      </c>
      <c r="C3027" s="106" t="s">
        <v>16</v>
      </c>
      <c r="D3027" s="107">
        <v>64.55</v>
      </c>
    </row>
    <row r="3028" spans="1:4" ht="63.75" x14ac:dyDescent="0.25">
      <c r="A3028" s="104">
        <v>91792</v>
      </c>
      <c r="B3028" s="105" t="s">
        <v>3177</v>
      </c>
      <c r="C3028" s="106" t="s">
        <v>16</v>
      </c>
      <c r="D3028" s="107">
        <v>41.44</v>
      </c>
    </row>
    <row r="3029" spans="1:4" ht="63.75" x14ac:dyDescent="0.25">
      <c r="A3029" s="104">
        <v>91793</v>
      </c>
      <c r="B3029" s="105" t="s">
        <v>3178</v>
      </c>
      <c r="C3029" s="106" t="s">
        <v>16</v>
      </c>
      <c r="D3029" s="107">
        <v>63.71</v>
      </c>
    </row>
    <row r="3030" spans="1:4" ht="63.75" x14ac:dyDescent="0.25">
      <c r="A3030" s="104">
        <v>91794</v>
      </c>
      <c r="B3030" s="105" t="s">
        <v>3179</v>
      </c>
      <c r="C3030" s="106" t="s">
        <v>16</v>
      </c>
      <c r="D3030" s="107">
        <v>29.75</v>
      </c>
    </row>
    <row r="3031" spans="1:4" ht="63.75" x14ac:dyDescent="0.25">
      <c r="A3031" s="104">
        <v>91795</v>
      </c>
      <c r="B3031" s="105" t="s">
        <v>3180</v>
      </c>
      <c r="C3031" s="106" t="s">
        <v>16</v>
      </c>
      <c r="D3031" s="107">
        <v>50.3</v>
      </c>
    </row>
    <row r="3032" spans="1:4" ht="51" x14ac:dyDescent="0.25">
      <c r="A3032" s="104">
        <v>91796</v>
      </c>
      <c r="B3032" s="105" t="s">
        <v>3181</v>
      </c>
      <c r="C3032" s="106" t="s">
        <v>16</v>
      </c>
      <c r="D3032" s="107">
        <v>52.64</v>
      </c>
    </row>
    <row r="3033" spans="1:4" ht="25.5" x14ac:dyDescent="0.25">
      <c r="A3033" s="104">
        <v>92275</v>
      </c>
      <c r="B3033" s="105" t="s">
        <v>3182</v>
      </c>
      <c r="C3033" s="106" t="s">
        <v>16</v>
      </c>
      <c r="D3033" s="107">
        <v>36.74</v>
      </c>
    </row>
    <row r="3034" spans="1:4" ht="25.5" x14ac:dyDescent="0.25">
      <c r="A3034" s="104">
        <v>92276</v>
      </c>
      <c r="B3034" s="105" t="s">
        <v>3183</v>
      </c>
      <c r="C3034" s="106" t="s">
        <v>16</v>
      </c>
      <c r="D3034" s="107">
        <v>46.52</v>
      </c>
    </row>
    <row r="3035" spans="1:4" ht="25.5" x14ac:dyDescent="0.25">
      <c r="A3035" s="104">
        <v>92277</v>
      </c>
      <c r="B3035" s="105" t="s">
        <v>3184</v>
      </c>
      <c r="C3035" s="106" t="s">
        <v>16</v>
      </c>
      <c r="D3035" s="107">
        <v>67.08</v>
      </c>
    </row>
    <row r="3036" spans="1:4" ht="25.5" x14ac:dyDescent="0.25">
      <c r="A3036" s="104">
        <v>92278</v>
      </c>
      <c r="B3036" s="105" t="s">
        <v>3185</v>
      </c>
      <c r="C3036" s="106" t="s">
        <v>16</v>
      </c>
      <c r="D3036" s="107">
        <v>90.18</v>
      </c>
    </row>
    <row r="3037" spans="1:4" ht="25.5" x14ac:dyDescent="0.25">
      <c r="A3037" s="104">
        <v>92279</v>
      </c>
      <c r="B3037" s="105" t="s">
        <v>3186</v>
      </c>
      <c r="C3037" s="106" t="s">
        <v>16</v>
      </c>
      <c r="D3037" s="107">
        <v>130.27000000000001</v>
      </c>
    </row>
    <row r="3038" spans="1:4" ht="25.5" x14ac:dyDescent="0.25">
      <c r="A3038" s="104">
        <v>92280</v>
      </c>
      <c r="B3038" s="105" t="s">
        <v>3187</v>
      </c>
      <c r="C3038" s="106" t="s">
        <v>16</v>
      </c>
      <c r="D3038" s="107">
        <v>182.84</v>
      </c>
    </row>
    <row r="3039" spans="1:4" ht="25.5" x14ac:dyDescent="0.25">
      <c r="A3039" s="104">
        <v>92281</v>
      </c>
      <c r="B3039" s="105" t="s">
        <v>3188</v>
      </c>
      <c r="C3039" s="106" t="s">
        <v>16</v>
      </c>
      <c r="D3039" s="107">
        <v>108.36</v>
      </c>
    </row>
    <row r="3040" spans="1:4" ht="25.5" x14ac:dyDescent="0.25">
      <c r="A3040" s="104">
        <v>92282</v>
      </c>
      <c r="B3040" s="105" t="s">
        <v>3189</v>
      </c>
      <c r="C3040" s="106" t="s">
        <v>16</v>
      </c>
      <c r="D3040" s="107">
        <v>121.05</v>
      </c>
    </row>
    <row r="3041" spans="1:4" ht="25.5" x14ac:dyDescent="0.25">
      <c r="A3041" s="104">
        <v>92283</v>
      </c>
      <c r="B3041" s="105" t="s">
        <v>3190</v>
      </c>
      <c r="C3041" s="106" t="s">
        <v>16</v>
      </c>
      <c r="D3041" s="107">
        <v>161.34</v>
      </c>
    </row>
    <row r="3042" spans="1:4" ht="25.5" x14ac:dyDescent="0.25">
      <c r="A3042" s="104">
        <v>92284</v>
      </c>
      <c r="B3042" s="105" t="s">
        <v>3191</v>
      </c>
      <c r="C3042" s="106" t="s">
        <v>16</v>
      </c>
      <c r="D3042" s="107">
        <v>197.69</v>
      </c>
    </row>
    <row r="3043" spans="1:4" ht="25.5" x14ac:dyDescent="0.25">
      <c r="A3043" s="104">
        <v>92285</v>
      </c>
      <c r="B3043" s="105" t="s">
        <v>3192</v>
      </c>
      <c r="C3043" s="106" t="s">
        <v>16</v>
      </c>
      <c r="D3043" s="107">
        <v>258.77</v>
      </c>
    </row>
    <row r="3044" spans="1:4" ht="25.5" x14ac:dyDescent="0.25">
      <c r="A3044" s="104">
        <v>92286</v>
      </c>
      <c r="B3044" s="105" t="s">
        <v>3193</v>
      </c>
      <c r="C3044" s="106" t="s">
        <v>16</v>
      </c>
      <c r="D3044" s="107">
        <v>313.14999999999998</v>
      </c>
    </row>
    <row r="3045" spans="1:4" ht="38.25" x14ac:dyDescent="0.25">
      <c r="A3045" s="104">
        <v>92305</v>
      </c>
      <c r="B3045" s="105" t="s">
        <v>3194</v>
      </c>
      <c r="C3045" s="106" t="s">
        <v>16</v>
      </c>
      <c r="D3045" s="107">
        <v>24.45</v>
      </c>
    </row>
    <row r="3046" spans="1:4" ht="38.25" x14ac:dyDescent="0.25">
      <c r="A3046" s="104">
        <v>92306</v>
      </c>
      <c r="B3046" s="105" t="s">
        <v>3195</v>
      </c>
      <c r="C3046" s="106" t="s">
        <v>16</v>
      </c>
      <c r="D3046" s="107">
        <v>39.81</v>
      </c>
    </row>
    <row r="3047" spans="1:4" ht="38.25" x14ac:dyDescent="0.25">
      <c r="A3047" s="104">
        <v>92307</v>
      </c>
      <c r="B3047" s="105" t="s">
        <v>3196</v>
      </c>
      <c r="C3047" s="106" t="s">
        <v>16</v>
      </c>
      <c r="D3047" s="107">
        <v>49.81</v>
      </c>
    </row>
    <row r="3048" spans="1:4" ht="38.25" x14ac:dyDescent="0.25">
      <c r="A3048" s="104">
        <v>92308</v>
      </c>
      <c r="B3048" s="105" t="s">
        <v>3197</v>
      </c>
      <c r="C3048" s="106" t="s">
        <v>16</v>
      </c>
      <c r="D3048" s="107">
        <v>41.02</v>
      </c>
    </row>
    <row r="3049" spans="1:4" ht="38.25" x14ac:dyDescent="0.25">
      <c r="A3049" s="104">
        <v>92309</v>
      </c>
      <c r="B3049" s="105" t="s">
        <v>3198</v>
      </c>
      <c r="C3049" s="106" t="s">
        <v>16</v>
      </c>
      <c r="D3049" s="107">
        <v>112.99</v>
      </c>
    </row>
    <row r="3050" spans="1:4" ht="38.25" x14ac:dyDescent="0.25">
      <c r="A3050" s="104">
        <v>92310</v>
      </c>
      <c r="B3050" s="105" t="s">
        <v>3199</v>
      </c>
      <c r="C3050" s="106" t="s">
        <v>16</v>
      </c>
      <c r="D3050" s="107">
        <v>125.93</v>
      </c>
    </row>
    <row r="3051" spans="1:4" ht="38.25" x14ac:dyDescent="0.25">
      <c r="A3051" s="104">
        <v>92320</v>
      </c>
      <c r="B3051" s="105" t="s">
        <v>3200</v>
      </c>
      <c r="C3051" s="106" t="s">
        <v>16</v>
      </c>
      <c r="D3051" s="107">
        <v>31.19</v>
      </c>
    </row>
    <row r="3052" spans="1:4" ht="38.25" x14ac:dyDescent="0.25">
      <c r="A3052" s="104">
        <v>92321</v>
      </c>
      <c r="B3052" s="105" t="s">
        <v>3201</v>
      </c>
      <c r="C3052" s="106" t="s">
        <v>16</v>
      </c>
      <c r="D3052" s="107">
        <v>51.4</v>
      </c>
    </row>
    <row r="3053" spans="1:4" ht="38.25" x14ac:dyDescent="0.25">
      <c r="A3053" s="104">
        <v>92322</v>
      </c>
      <c r="B3053" s="105" t="s">
        <v>3202</v>
      </c>
      <c r="C3053" s="106" t="s">
        <v>16</v>
      </c>
      <c r="D3053" s="107">
        <v>65.62</v>
      </c>
    </row>
    <row r="3054" spans="1:4" ht="38.25" x14ac:dyDescent="0.25">
      <c r="A3054" s="104">
        <v>92323</v>
      </c>
      <c r="B3054" s="105" t="s">
        <v>3203</v>
      </c>
      <c r="C3054" s="106" t="s">
        <v>16</v>
      </c>
      <c r="D3054" s="107">
        <v>46.16</v>
      </c>
    </row>
    <row r="3055" spans="1:4" ht="38.25" x14ac:dyDescent="0.25">
      <c r="A3055" s="104">
        <v>92324</v>
      </c>
      <c r="B3055" s="105" t="s">
        <v>3204</v>
      </c>
      <c r="C3055" s="106" t="s">
        <v>16</v>
      </c>
      <c r="D3055" s="107">
        <v>122.96</v>
      </c>
    </row>
    <row r="3056" spans="1:4" ht="38.25" x14ac:dyDescent="0.25">
      <c r="A3056" s="104">
        <v>92325</v>
      </c>
      <c r="B3056" s="105" t="s">
        <v>3205</v>
      </c>
      <c r="C3056" s="106" t="s">
        <v>16</v>
      </c>
      <c r="D3056" s="107">
        <v>140.09</v>
      </c>
    </row>
    <row r="3057" spans="1:4" ht="38.25" x14ac:dyDescent="0.25">
      <c r="A3057" s="104">
        <v>92335</v>
      </c>
      <c r="B3057" s="105" t="s">
        <v>3206</v>
      </c>
      <c r="C3057" s="106" t="s">
        <v>16</v>
      </c>
      <c r="D3057" s="107">
        <v>53.61</v>
      </c>
    </row>
    <row r="3058" spans="1:4" ht="38.25" x14ac:dyDescent="0.25">
      <c r="A3058" s="104">
        <v>92336</v>
      </c>
      <c r="B3058" s="105" t="s">
        <v>3207</v>
      </c>
      <c r="C3058" s="106" t="s">
        <v>16</v>
      </c>
      <c r="D3058" s="107">
        <v>65.819999999999993</v>
      </c>
    </row>
    <row r="3059" spans="1:4" ht="38.25" x14ac:dyDescent="0.25">
      <c r="A3059" s="104">
        <v>92337</v>
      </c>
      <c r="B3059" s="105" t="s">
        <v>3208</v>
      </c>
      <c r="C3059" s="106" t="s">
        <v>16</v>
      </c>
      <c r="D3059" s="107">
        <v>86.49</v>
      </c>
    </row>
    <row r="3060" spans="1:4" ht="38.25" x14ac:dyDescent="0.25">
      <c r="A3060" s="104">
        <v>92338</v>
      </c>
      <c r="B3060" s="105" t="s">
        <v>3209</v>
      </c>
      <c r="C3060" s="106" t="s">
        <v>16</v>
      </c>
      <c r="D3060" s="107">
        <v>72.63</v>
      </c>
    </row>
    <row r="3061" spans="1:4" ht="38.25" x14ac:dyDescent="0.25">
      <c r="A3061" s="104">
        <v>92339</v>
      </c>
      <c r="B3061" s="105" t="s">
        <v>3210</v>
      </c>
      <c r="C3061" s="106" t="s">
        <v>16</v>
      </c>
      <c r="D3061" s="107">
        <v>108.08</v>
      </c>
    </row>
    <row r="3062" spans="1:4" ht="38.25" x14ac:dyDescent="0.25">
      <c r="A3062" s="104">
        <v>92341</v>
      </c>
      <c r="B3062" s="105" t="s">
        <v>3211</v>
      </c>
      <c r="C3062" s="106" t="s">
        <v>16</v>
      </c>
      <c r="D3062" s="107">
        <v>60.35</v>
      </c>
    </row>
    <row r="3063" spans="1:4" ht="38.25" x14ac:dyDescent="0.25">
      <c r="A3063" s="104">
        <v>92342</v>
      </c>
      <c r="B3063" s="105" t="s">
        <v>3212</v>
      </c>
      <c r="C3063" s="106" t="s">
        <v>16</v>
      </c>
      <c r="D3063" s="107">
        <v>72.599999999999994</v>
      </c>
    </row>
    <row r="3064" spans="1:4" ht="38.25" x14ac:dyDescent="0.25">
      <c r="A3064" s="104">
        <v>92343</v>
      </c>
      <c r="B3064" s="105" t="s">
        <v>3213</v>
      </c>
      <c r="C3064" s="106" t="s">
        <v>16</v>
      </c>
      <c r="D3064" s="107">
        <v>93.33</v>
      </c>
    </row>
    <row r="3065" spans="1:4" ht="38.25" x14ac:dyDescent="0.25">
      <c r="A3065" s="104">
        <v>92361</v>
      </c>
      <c r="B3065" s="105" t="s">
        <v>3214</v>
      </c>
      <c r="C3065" s="106" t="s">
        <v>16</v>
      </c>
      <c r="D3065" s="107">
        <v>58.82</v>
      </c>
    </row>
    <row r="3066" spans="1:4" ht="38.25" x14ac:dyDescent="0.25">
      <c r="A3066" s="104">
        <v>92362</v>
      </c>
      <c r="B3066" s="105" t="s">
        <v>3215</v>
      </c>
      <c r="C3066" s="106" t="s">
        <v>16</v>
      </c>
      <c r="D3066" s="107">
        <v>93.73</v>
      </c>
    </row>
    <row r="3067" spans="1:4" ht="38.25" x14ac:dyDescent="0.25">
      <c r="A3067" s="104">
        <v>92364</v>
      </c>
      <c r="B3067" s="105" t="s">
        <v>3216</v>
      </c>
      <c r="C3067" s="106" t="s">
        <v>16</v>
      </c>
      <c r="D3067" s="107">
        <v>32.619999999999997</v>
      </c>
    </row>
    <row r="3068" spans="1:4" ht="38.25" x14ac:dyDescent="0.25">
      <c r="A3068" s="104">
        <v>92365</v>
      </c>
      <c r="B3068" s="105" t="s">
        <v>3217</v>
      </c>
      <c r="C3068" s="106" t="s">
        <v>16</v>
      </c>
      <c r="D3068" s="107">
        <v>37.5</v>
      </c>
    </row>
    <row r="3069" spans="1:4" ht="38.25" x14ac:dyDescent="0.25">
      <c r="A3069" s="104">
        <v>92366</v>
      </c>
      <c r="B3069" s="105" t="s">
        <v>3218</v>
      </c>
      <c r="C3069" s="106" t="s">
        <v>16</v>
      </c>
      <c r="D3069" s="107">
        <v>52.03</v>
      </c>
    </row>
    <row r="3070" spans="1:4" ht="38.25" x14ac:dyDescent="0.25">
      <c r="A3070" s="104">
        <v>92367</v>
      </c>
      <c r="B3070" s="105" t="s">
        <v>323</v>
      </c>
      <c r="C3070" s="106" t="s">
        <v>16</v>
      </c>
      <c r="D3070" s="107">
        <v>63.88</v>
      </c>
    </row>
    <row r="3071" spans="1:4" ht="38.25" x14ac:dyDescent="0.25">
      <c r="A3071" s="104">
        <v>92368</v>
      </c>
      <c r="B3071" s="105" t="s">
        <v>3219</v>
      </c>
      <c r="C3071" s="106" t="s">
        <v>16</v>
      </c>
      <c r="D3071" s="107">
        <v>84.28</v>
      </c>
    </row>
    <row r="3072" spans="1:4" ht="38.25" x14ac:dyDescent="0.25">
      <c r="A3072" s="104">
        <v>92648</v>
      </c>
      <c r="B3072" s="105" t="s">
        <v>3220</v>
      </c>
      <c r="C3072" s="106" t="s">
        <v>16</v>
      </c>
      <c r="D3072" s="107">
        <v>50.34</v>
      </c>
    </row>
    <row r="3073" spans="1:4" ht="38.25" x14ac:dyDescent="0.25">
      <c r="A3073" s="104">
        <v>92649</v>
      </c>
      <c r="B3073" s="105" t="s">
        <v>3221</v>
      </c>
      <c r="C3073" s="106" t="s">
        <v>16</v>
      </c>
      <c r="D3073" s="107">
        <v>61.31</v>
      </c>
    </row>
    <row r="3074" spans="1:4" ht="38.25" x14ac:dyDescent="0.25">
      <c r="A3074" s="104">
        <v>92650</v>
      </c>
      <c r="B3074" s="105" t="s">
        <v>3222</v>
      </c>
      <c r="C3074" s="106" t="s">
        <v>16</v>
      </c>
      <c r="D3074" s="107">
        <v>96.21</v>
      </c>
    </row>
    <row r="3075" spans="1:4" ht="38.25" x14ac:dyDescent="0.25">
      <c r="A3075" s="104">
        <v>92652</v>
      </c>
      <c r="B3075" s="105" t="s">
        <v>3223</v>
      </c>
      <c r="C3075" s="106" t="s">
        <v>16</v>
      </c>
      <c r="D3075" s="107">
        <v>35.700000000000003</v>
      </c>
    </row>
    <row r="3076" spans="1:4" ht="38.25" x14ac:dyDescent="0.25">
      <c r="A3076" s="104">
        <v>92653</v>
      </c>
      <c r="B3076" s="105" t="s">
        <v>3224</v>
      </c>
      <c r="C3076" s="106" t="s">
        <v>16</v>
      </c>
      <c r="D3076" s="107">
        <v>40.6</v>
      </c>
    </row>
    <row r="3077" spans="1:4" ht="38.25" x14ac:dyDescent="0.25">
      <c r="A3077" s="104">
        <v>92654</v>
      </c>
      <c r="B3077" s="105" t="s">
        <v>3225</v>
      </c>
      <c r="C3077" s="106" t="s">
        <v>16</v>
      </c>
      <c r="D3077" s="107">
        <v>55.13</v>
      </c>
    </row>
    <row r="3078" spans="1:4" ht="38.25" x14ac:dyDescent="0.25">
      <c r="A3078" s="104">
        <v>92655</v>
      </c>
      <c r="B3078" s="105" t="s">
        <v>3226</v>
      </c>
      <c r="C3078" s="106" t="s">
        <v>16</v>
      </c>
      <c r="D3078" s="107">
        <v>67.05</v>
      </c>
    </row>
    <row r="3079" spans="1:4" ht="38.25" x14ac:dyDescent="0.25">
      <c r="A3079" s="104">
        <v>92656</v>
      </c>
      <c r="B3079" s="105" t="s">
        <v>3227</v>
      </c>
      <c r="C3079" s="106" t="s">
        <v>16</v>
      </c>
      <c r="D3079" s="107">
        <v>87.44</v>
      </c>
    </row>
    <row r="3080" spans="1:4" ht="38.25" x14ac:dyDescent="0.25">
      <c r="A3080" s="104">
        <v>92687</v>
      </c>
      <c r="B3080" s="105" t="s">
        <v>3228</v>
      </c>
      <c r="C3080" s="106" t="s">
        <v>16</v>
      </c>
      <c r="D3080" s="107">
        <v>16.86</v>
      </c>
    </row>
    <row r="3081" spans="1:4" ht="38.25" x14ac:dyDescent="0.25">
      <c r="A3081" s="104">
        <v>92688</v>
      </c>
      <c r="B3081" s="105" t="s">
        <v>243</v>
      </c>
      <c r="C3081" s="106" t="s">
        <v>16</v>
      </c>
      <c r="D3081" s="107">
        <v>23.82</v>
      </c>
    </row>
    <row r="3082" spans="1:4" ht="38.25" x14ac:dyDescent="0.25">
      <c r="A3082" s="104">
        <v>92689</v>
      </c>
      <c r="B3082" s="105" t="s">
        <v>3229</v>
      </c>
      <c r="C3082" s="106" t="s">
        <v>16</v>
      </c>
      <c r="D3082" s="107">
        <v>25.22</v>
      </c>
    </row>
    <row r="3083" spans="1:4" ht="38.25" x14ac:dyDescent="0.25">
      <c r="A3083" s="104">
        <v>92690</v>
      </c>
      <c r="B3083" s="105" t="s">
        <v>3230</v>
      </c>
      <c r="C3083" s="106" t="s">
        <v>16</v>
      </c>
      <c r="D3083" s="107">
        <v>36.42</v>
      </c>
    </row>
    <row r="3084" spans="1:4" ht="51" x14ac:dyDescent="0.25">
      <c r="A3084" s="104">
        <v>94462</v>
      </c>
      <c r="B3084" s="105" t="s">
        <v>3231</v>
      </c>
      <c r="C3084" s="106" t="s">
        <v>16</v>
      </c>
      <c r="D3084" s="107">
        <v>60.06</v>
      </c>
    </row>
    <row r="3085" spans="1:4" ht="51" x14ac:dyDescent="0.25">
      <c r="A3085" s="104">
        <v>94463</v>
      </c>
      <c r="B3085" s="105" t="s">
        <v>3232</v>
      </c>
      <c r="C3085" s="106" t="s">
        <v>16</v>
      </c>
      <c r="D3085" s="107">
        <v>70.12</v>
      </c>
    </row>
    <row r="3086" spans="1:4" ht="51" x14ac:dyDescent="0.25">
      <c r="A3086" s="104">
        <v>94464</v>
      </c>
      <c r="B3086" s="105" t="s">
        <v>3233</v>
      </c>
      <c r="C3086" s="106" t="s">
        <v>16</v>
      </c>
      <c r="D3086" s="107">
        <v>98.49</v>
      </c>
    </row>
    <row r="3087" spans="1:4" ht="51" x14ac:dyDescent="0.25">
      <c r="A3087" s="104">
        <v>94602</v>
      </c>
      <c r="B3087" s="105" t="s">
        <v>3234</v>
      </c>
      <c r="C3087" s="106" t="s">
        <v>16</v>
      </c>
      <c r="D3087" s="107">
        <v>140.26</v>
      </c>
    </row>
    <row r="3088" spans="1:4" ht="51" x14ac:dyDescent="0.25">
      <c r="A3088" s="104">
        <v>94603</v>
      </c>
      <c r="B3088" s="105" t="s">
        <v>3235</v>
      </c>
      <c r="C3088" s="106" t="s">
        <v>16</v>
      </c>
      <c r="D3088" s="107">
        <v>188.78</v>
      </c>
    </row>
    <row r="3089" spans="1:4" ht="51" x14ac:dyDescent="0.25">
      <c r="A3089" s="104">
        <v>94604</v>
      </c>
      <c r="B3089" s="105" t="s">
        <v>3236</v>
      </c>
      <c r="C3089" s="106" t="s">
        <v>16</v>
      </c>
      <c r="D3089" s="107">
        <v>258.18</v>
      </c>
    </row>
    <row r="3090" spans="1:4" ht="51" x14ac:dyDescent="0.25">
      <c r="A3090" s="104">
        <v>94605</v>
      </c>
      <c r="B3090" s="105" t="s">
        <v>3237</v>
      </c>
      <c r="C3090" s="106" t="s">
        <v>16</v>
      </c>
      <c r="D3090" s="107">
        <v>369.55</v>
      </c>
    </row>
    <row r="3091" spans="1:4" ht="38.25" x14ac:dyDescent="0.25">
      <c r="A3091" s="104">
        <v>94648</v>
      </c>
      <c r="B3091" s="105" t="s">
        <v>3238</v>
      </c>
      <c r="C3091" s="106" t="s">
        <v>16</v>
      </c>
      <c r="D3091" s="107">
        <v>7.14</v>
      </c>
    </row>
    <row r="3092" spans="1:4" ht="38.25" x14ac:dyDescent="0.25">
      <c r="A3092" s="104">
        <v>94649</v>
      </c>
      <c r="B3092" s="105" t="s">
        <v>3239</v>
      </c>
      <c r="C3092" s="106" t="s">
        <v>16</v>
      </c>
      <c r="D3092" s="107">
        <v>10.8</v>
      </c>
    </row>
    <row r="3093" spans="1:4" ht="38.25" x14ac:dyDescent="0.25">
      <c r="A3093" s="104">
        <v>94650</v>
      </c>
      <c r="B3093" s="105" t="s">
        <v>3240</v>
      </c>
      <c r="C3093" s="106" t="s">
        <v>16</v>
      </c>
      <c r="D3093" s="107">
        <v>15.46</v>
      </c>
    </row>
    <row r="3094" spans="1:4" ht="38.25" x14ac:dyDescent="0.25">
      <c r="A3094" s="104">
        <v>94651</v>
      </c>
      <c r="B3094" s="105" t="s">
        <v>3241</v>
      </c>
      <c r="C3094" s="106" t="s">
        <v>16</v>
      </c>
      <c r="D3094" s="107">
        <v>16.84</v>
      </c>
    </row>
    <row r="3095" spans="1:4" ht="38.25" x14ac:dyDescent="0.25">
      <c r="A3095" s="104">
        <v>94652</v>
      </c>
      <c r="B3095" s="105" t="s">
        <v>3242</v>
      </c>
      <c r="C3095" s="106" t="s">
        <v>16</v>
      </c>
      <c r="D3095" s="107">
        <v>27.38</v>
      </c>
    </row>
    <row r="3096" spans="1:4" ht="38.25" x14ac:dyDescent="0.25">
      <c r="A3096" s="104">
        <v>94653</v>
      </c>
      <c r="B3096" s="105" t="s">
        <v>3243</v>
      </c>
      <c r="C3096" s="106" t="s">
        <v>16</v>
      </c>
      <c r="D3096" s="107">
        <v>39.31</v>
      </c>
    </row>
    <row r="3097" spans="1:4" ht="38.25" x14ac:dyDescent="0.25">
      <c r="A3097" s="104">
        <v>94654</v>
      </c>
      <c r="B3097" s="105" t="s">
        <v>3244</v>
      </c>
      <c r="C3097" s="106" t="s">
        <v>16</v>
      </c>
      <c r="D3097" s="107">
        <v>52.2</v>
      </c>
    </row>
    <row r="3098" spans="1:4" ht="38.25" x14ac:dyDescent="0.25">
      <c r="A3098" s="104">
        <v>94655</v>
      </c>
      <c r="B3098" s="105" t="s">
        <v>3245</v>
      </c>
      <c r="C3098" s="106" t="s">
        <v>16</v>
      </c>
      <c r="D3098" s="107">
        <v>73.430000000000007</v>
      </c>
    </row>
    <row r="3099" spans="1:4" ht="38.25" x14ac:dyDescent="0.25">
      <c r="A3099" s="104">
        <v>94716</v>
      </c>
      <c r="B3099" s="105" t="s">
        <v>3246</v>
      </c>
      <c r="C3099" s="106" t="s">
        <v>16</v>
      </c>
      <c r="D3099" s="107">
        <v>22.42</v>
      </c>
    </row>
    <row r="3100" spans="1:4" ht="38.25" x14ac:dyDescent="0.25">
      <c r="A3100" s="104">
        <v>94717</v>
      </c>
      <c r="B3100" s="105" t="s">
        <v>3247</v>
      </c>
      <c r="C3100" s="106" t="s">
        <v>16</v>
      </c>
      <c r="D3100" s="107">
        <v>33.630000000000003</v>
      </c>
    </row>
    <row r="3101" spans="1:4" ht="38.25" x14ac:dyDescent="0.25">
      <c r="A3101" s="104">
        <v>94718</v>
      </c>
      <c r="B3101" s="105" t="s">
        <v>3248</v>
      </c>
      <c r="C3101" s="106" t="s">
        <v>16</v>
      </c>
      <c r="D3101" s="107">
        <v>41.48</v>
      </c>
    </row>
    <row r="3102" spans="1:4" ht="38.25" x14ac:dyDescent="0.25">
      <c r="A3102" s="104">
        <v>94719</v>
      </c>
      <c r="B3102" s="105" t="s">
        <v>3249</v>
      </c>
      <c r="C3102" s="106" t="s">
        <v>16</v>
      </c>
      <c r="D3102" s="107">
        <v>54.92</v>
      </c>
    </row>
    <row r="3103" spans="1:4" ht="38.25" x14ac:dyDescent="0.25">
      <c r="A3103" s="104">
        <v>94720</v>
      </c>
      <c r="B3103" s="105" t="s">
        <v>3250</v>
      </c>
      <c r="C3103" s="106" t="s">
        <v>16</v>
      </c>
      <c r="D3103" s="107">
        <v>82.5</v>
      </c>
    </row>
    <row r="3104" spans="1:4" ht="38.25" x14ac:dyDescent="0.25">
      <c r="A3104" s="104">
        <v>94721</v>
      </c>
      <c r="B3104" s="105" t="s">
        <v>3251</v>
      </c>
      <c r="C3104" s="106" t="s">
        <v>16</v>
      </c>
      <c r="D3104" s="107">
        <v>121.9</v>
      </c>
    </row>
    <row r="3105" spans="1:4" ht="38.25" x14ac:dyDescent="0.25">
      <c r="A3105" s="104">
        <v>94722</v>
      </c>
      <c r="B3105" s="105" t="s">
        <v>3252</v>
      </c>
      <c r="C3105" s="106" t="s">
        <v>16</v>
      </c>
      <c r="D3105" s="107">
        <v>211.52</v>
      </c>
    </row>
    <row r="3106" spans="1:4" ht="38.25" x14ac:dyDescent="0.25">
      <c r="A3106" s="104">
        <v>95697</v>
      </c>
      <c r="B3106" s="105" t="s">
        <v>3253</v>
      </c>
      <c r="C3106" s="106" t="s">
        <v>16</v>
      </c>
      <c r="D3106" s="107">
        <v>47.85</v>
      </c>
    </row>
    <row r="3107" spans="1:4" ht="25.5" x14ac:dyDescent="0.25">
      <c r="A3107" s="104">
        <v>96635</v>
      </c>
      <c r="B3107" s="105" t="s">
        <v>3254</v>
      </c>
      <c r="C3107" s="106" t="s">
        <v>16</v>
      </c>
      <c r="D3107" s="107">
        <v>20.95</v>
      </c>
    </row>
    <row r="3108" spans="1:4" ht="25.5" x14ac:dyDescent="0.25">
      <c r="A3108" s="104">
        <v>96636</v>
      </c>
      <c r="B3108" s="105" t="s">
        <v>3255</v>
      </c>
      <c r="C3108" s="106" t="s">
        <v>16</v>
      </c>
      <c r="D3108" s="107">
        <v>22.09</v>
      </c>
    </row>
    <row r="3109" spans="1:4" ht="25.5" x14ac:dyDescent="0.25">
      <c r="A3109" s="104">
        <v>96644</v>
      </c>
      <c r="B3109" s="105" t="s">
        <v>3256</v>
      </c>
      <c r="C3109" s="106" t="s">
        <v>16</v>
      </c>
      <c r="D3109" s="107">
        <v>13.95</v>
      </c>
    </row>
    <row r="3110" spans="1:4" ht="25.5" x14ac:dyDescent="0.25">
      <c r="A3110" s="104">
        <v>96645</v>
      </c>
      <c r="B3110" s="105" t="s">
        <v>3257</v>
      </c>
      <c r="C3110" s="106" t="s">
        <v>16</v>
      </c>
      <c r="D3110" s="107">
        <v>18.03</v>
      </c>
    </row>
    <row r="3111" spans="1:4" ht="25.5" x14ac:dyDescent="0.25">
      <c r="A3111" s="104">
        <v>96646</v>
      </c>
      <c r="B3111" s="105" t="s">
        <v>3258</v>
      </c>
      <c r="C3111" s="106" t="s">
        <v>16</v>
      </c>
      <c r="D3111" s="107">
        <v>27.93</v>
      </c>
    </row>
    <row r="3112" spans="1:4" ht="25.5" x14ac:dyDescent="0.25">
      <c r="A3112" s="104">
        <v>96647</v>
      </c>
      <c r="B3112" s="105" t="s">
        <v>3259</v>
      </c>
      <c r="C3112" s="106" t="s">
        <v>16</v>
      </c>
      <c r="D3112" s="107">
        <v>12.68</v>
      </c>
    </row>
    <row r="3113" spans="1:4" ht="25.5" x14ac:dyDescent="0.25">
      <c r="A3113" s="104">
        <v>96648</v>
      </c>
      <c r="B3113" s="105" t="s">
        <v>3260</v>
      </c>
      <c r="C3113" s="106" t="s">
        <v>16</v>
      </c>
      <c r="D3113" s="107">
        <v>22.97</v>
      </c>
    </row>
    <row r="3114" spans="1:4" ht="25.5" x14ac:dyDescent="0.25">
      <c r="A3114" s="104">
        <v>96649</v>
      </c>
      <c r="B3114" s="105" t="s">
        <v>3261</v>
      </c>
      <c r="C3114" s="106" t="s">
        <v>16</v>
      </c>
      <c r="D3114" s="107">
        <v>33.72</v>
      </c>
    </row>
    <row r="3115" spans="1:4" ht="25.5" x14ac:dyDescent="0.25">
      <c r="A3115" s="104">
        <v>96668</v>
      </c>
      <c r="B3115" s="105" t="s">
        <v>3262</v>
      </c>
      <c r="C3115" s="106" t="s">
        <v>16</v>
      </c>
      <c r="D3115" s="107">
        <v>9.07</v>
      </c>
    </row>
    <row r="3116" spans="1:4" ht="25.5" x14ac:dyDescent="0.25">
      <c r="A3116" s="104">
        <v>96669</v>
      </c>
      <c r="B3116" s="105" t="s">
        <v>3263</v>
      </c>
      <c r="C3116" s="106" t="s">
        <v>16</v>
      </c>
      <c r="D3116" s="107">
        <v>11.29</v>
      </c>
    </row>
    <row r="3117" spans="1:4" ht="25.5" x14ac:dyDescent="0.25">
      <c r="A3117" s="104">
        <v>96670</v>
      </c>
      <c r="B3117" s="105" t="s">
        <v>3264</v>
      </c>
      <c r="C3117" s="106" t="s">
        <v>16</v>
      </c>
      <c r="D3117" s="107">
        <v>17.14</v>
      </c>
    </row>
    <row r="3118" spans="1:4" ht="25.5" x14ac:dyDescent="0.25">
      <c r="A3118" s="104">
        <v>96671</v>
      </c>
      <c r="B3118" s="105" t="s">
        <v>3265</v>
      </c>
      <c r="C3118" s="106" t="s">
        <v>16</v>
      </c>
      <c r="D3118" s="107">
        <v>22.92</v>
      </c>
    </row>
    <row r="3119" spans="1:4" ht="25.5" x14ac:dyDescent="0.25">
      <c r="A3119" s="104">
        <v>96672</v>
      </c>
      <c r="B3119" s="105" t="s">
        <v>3266</v>
      </c>
      <c r="C3119" s="106" t="s">
        <v>16</v>
      </c>
      <c r="D3119" s="107">
        <v>33.64</v>
      </c>
    </row>
    <row r="3120" spans="1:4" ht="25.5" x14ac:dyDescent="0.25">
      <c r="A3120" s="104">
        <v>96673</v>
      </c>
      <c r="B3120" s="105" t="s">
        <v>3267</v>
      </c>
      <c r="C3120" s="106" t="s">
        <v>16</v>
      </c>
      <c r="D3120" s="107">
        <v>55.02</v>
      </c>
    </row>
    <row r="3121" spans="1:4" ht="25.5" x14ac:dyDescent="0.25">
      <c r="A3121" s="104">
        <v>96674</v>
      </c>
      <c r="B3121" s="105" t="s">
        <v>3268</v>
      </c>
      <c r="C3121" s="106" t="s">
        <v>16</v>
      </c>
      <c r="D3121" s="107">
        <v>77.290000000000006</v>
      </c>
    </row>
    <row r="3122" spans="1:4" ht="25.5" x14ac:dyDescent="0.25">
      <c r="A3122" s="104">
        <v>96675</v>
      </c>
      <c r="B3122" s="105" t="s">
        <v>3269</v>
      </c>
      <c r="C3122" s="106" t="s">
        <v>16</v>
      </c>
      <c r="D3122" s="107">
        <v>134.47</v>
      </c>
    </row>
    <row r="3123" spans="1:4" ht="25.5" x14ac:dyDescent="0.25">
      <c r="A3123" s="104">
        <v>96676</v>
      </c>
      <c r="B3123" s="105" t="s">
        <v>3270</v>
      </c>
      <c r="C3123" s="106" t="s">
        <v>16</v>
      </c>
      <c r="D3123" s="107">
        <v>9.0399999999999991</v>
      </c>
    </row>
    <row r="3124" spans="1:4" ht="25.5" x14ac:dyDescent="0.25">
      <c r="A3124" s="104">
        <v>96677</v>
      </c>
      <c r="B3124" s="105" t="s">
        <v>3271</v>
      </c>
      <c r="C3124" s="106" t="s">
        <v>16</v>
      </c>
      <c r="D3124" s="107">
        <v>14.93</v>
      </c>
    </row>
    <row r="3125" spans="1:4" ht="25.5" x14ac:dyDescent="0.25">
      <c r="A3125" s="104">
        <v>96678</v>
      </c>
      <c r="B3125" s="105" t="s">
        <v>3272</v>
      </c>
      <c r="C3125" s="106" t="s">
        <v>16</v>
      </c>
      <c r="D3125" s="107">
        <v>20.74</v>
      </c>
    </row>
    <row r="3126" spans="1:4" ht="25.5" x14ac:dyDescent="0.25">
      <c r="A3126" s="104">
        <v>96679</v>
      </c>
      <c r="B3126" s="105" t="s">
        <v>3273</v>
      </c>
      <c r="C3126" s="106" t="s">
        <v>16</v>
      </c>
      <c r="D3126" s="107">
        <v>30.26</v>
      </c>
    </row>
    <row r="3127" spans="1:4" ht="25.5" x14ac:dyDescent="0.25">
      <c r="A3127" s="104">
        <v>96680</v>
      </c>
      <c r="B3127" s="105" t="s">
        <v>3274</v>
      </c>
      <c r="C3127" s="106" t="s">
        <v>16</v>
      </c>
      <c r="D3127" s="107">
        <v>40.74</v>
      </c>
    </row>
    <row r="3128" spans="1:4" ht="25.5" x14ac:dyDescent="0.25">
      <c r="A3128" s="104">
        <v>96681</v>
      </c>
      <c r="B3128" s="105" t="s">
        <v>3275</v>
      </c>
      <c r="C3128" s="106" t="s">
        <v>16</v>
      </c>
      <c r="D3128" s="107">
        <v>76.16</v>
      </c>
    </row>
    <row r="3129" spans="1:4" ht="25.5" x14ac:dyDescent="0.25">
      <c r="A3129" s="104">
        <v>96682</v>
      </c>
      <c r="B3129" s="105" t="s">
        <v>3276</v>
      </c>
      <c r="C3129" s="106" t="s">
        <v>16</v>
      </c>
      <c r="D3129" s="107">
        <v>112.37</v>
      </c>
    </row>
    <row r="3130" spans="1:4" ht="25.5" x14ac:dyDescent="0.25">
      <c r="A3130" s="104">
        <v>96683</v>
      </c>
      <c r="B3130" s="105" t="s">
        <v>3277</v>
      </c>
      <c r="C3130" s="106" t="s">
        <v>16</v>
      </c>
      <c r="D3130" s="107">
        <v>153.75</v>
      </c>
    </row>
    <row r="3131" spans="1:4" ht="38.25" x14ac:dyDescent="0.25">
      <c r="A3131" s="104">
        <v>96718</v>
      </c>
      <c r="B3131" s="105" t="s">
        <v>3278</v>
      </c>
      <c r="C3131" s="106" t="s">
        <v>16</v>
      </c>
      <c r="D3131" s="107">
        <v>5.97</v>
      </c>
    </row>
    <row r="3132" spans="1:4" ht="38.25" x14ac:dyDescent="0.25">
      <c r="A3132" s="104">
        <v>96719</v>
      </c>
      <c r="B3132" s="105" t="s">
        <v>3279</v>
      </c>
      <c r="C3132" s="106" t="s">
        <v>16</v>
      </c>
      <c r="D3132" s="107">
        <v>11.96</v>
      </c>
    </row>
    <row r="3133" spans="1:4" ht="38.25" x14ac:dyDescent="0.25">
      <c r="A3133" s="104">
        <v>96720</v>
      </c>
      <c r="B3133" s="105" t="s">
        <v>3280</v>
      </c>
      <c r="C3133" s="106" t="s">
        <v>16</v>
      </c>
      <c r="D3133" s="107">
        <v>14.55</v>
      </c>
    </row>
    <row r="3134" spans="1:4" ht="38.25" x14ac:dyDescent="0.25">
      <c r="A3134" s="104">
        <v>96721</v>
      </c>
      <c r="B3134" s="105" t="s">
        <v>3281</v>
      </c>
      <c r="C3134" s="106" t="s">
        <v>16</v>
      </c>
      <c r="D3134" s="107">
        <v>19.63</v>
      </c>
    </row>
    <row r="3135" spans="1:4" ht="38.25" x14ac:dyDescent="0.25">
      <c r="A3135" s="104">
        <v>96722</v>
      </c>
      <c r="B3135" s="105" t="s">
        <v>3282</v>
      </c>
      <c r="C3135" s="106" t="s">
        <v>16</v>
      </c>
      <c r="D3135" s="107">
        <v>26.76</v>
      </c>
    </row>
    <row r="3136" spans="1:4" ht="38.25" x14ac:dyDescent="0.25">
      <c r="A3136" s="104">
        <v>96723</v>
      </c>
      <c r="B3136" s="105" t="s">
        <v>3283</v>
      </c>
      <c r="C3136" s="106" t="s">
        <v>16</v>
      </c>
      <c r="D3136" s="107">
        <v>35.65</v>
      </c>
    </row>
    <row r="3137" spans="1:4" ht="38.25" x14ac:dyDescent="0.25">
      <c r="A3137" s="104">
        <v>96724</v>
      </c>
      <c r="B3137" s="105" t="s">
        <v>3284</v>
      </c>
      <c r="C3137" s="106" t="s">
        <v>16</v>
      </c>
      <c r="D3137" s="107">
        <v>58.2</v>
      </c>
    </row>
    <row r="3138" spans="1:4" ht="38.25" x14ac:dyDescent="0.25">
      <c r="A3138" s="104">
        <v>96725</v>
      </c>
      <c r="B3138" s="105" t="s">
        <v>3285</v>
      </c>
      <c r="C3138" s="106" t="s">
        <v>16</v>
      </c>
      <c r="D3138" s="107">
        <v>76.739999999999995</v>
      </c>
    </row>
    <row r="3139" spans="1:4" ht="38.25" x14ac:dyDescent="0.25">
      <c r="A3139" s="104">
        <v>96726</v>
      </c>
      <c r="B3139" s="105" t="s">
        <v>3286</v>
      </c>
      <c r="C3139" s="106" t="s">
        <v>16</v>
      </c>
      <c r="D3139" s="107">
        <v>125.16</v>
      </c>
    </row>
    <row r="3140" spans="1:4" ht="38.25" x14ac:dyDescent="0.25">
      <c r="A3140" s="104">
        <v>96727</v>
      </c>
      <c r="B3140" s="105" t="s">
        <v>3287</v>
      </c>
      <c r="C3140" s="106" t="s">
        <v>16</v>
      </c>
      <c r="D3140" s="107">
        <v>10.28</v>
      </c>
    </row>
    <row r="3141" spans="1:4" ht="38.25" x14ac:dyDescent="0.25">
      <c r="A3141" s="104">
        <v>96728</v>
      </c>
      <c r="B3141" s="105" t="s">
        <v>3288</v>
      </c>
      <c r="C3141" s="106" t="s">
        <v>16</v>
      </c>
      <c r="D3141" s="107">
        <v>12.34</v>
      </c>
    </row>
    <row r="3142" spans="1:4" ht="38.25" x14ac:dyDescent="0.25">
      <c r="A3142" s="104">
        <v>96729</v>
      </c>
      <c r="B3142" s="105" t="s">
        <v>3289</v>
      </c>
      <c r="C3142" s="106" t="s">
        <v>16</v>
      </c>
      <c r="D3142" s="107">
        <v>18.72</v>
      </c>
    </row>
    <row r="3143" spans="1:4" ht="38.25" x14ac:dyDescent="0.25">
      <c r="A3143" s="104">
        <v>96730</v>
      </c>
      <c r="B3143" s="105" t="s">
        <v>3290</v>
      </c>
      <c r="C3143" s="106" t="s">
        <v>16</v>
      </c>
      <c r="D3143" s="107">
        <v>23.7</v>
      </c>
    </row>
    <row r="3144" spans="1:4" ht="38.25" x14ac:dyDescent="0.25">
      <c r="A3144" s="104">
        <v>96731</v>
      </c>
      <c r="B3144" s="105" t="s">
        <v>3291</v>
      </c>
      <c r="C3144" s="106" t="s">
        <v>16</v>
      </c>
      <c r="D3144" s="107">
        <v>34.68</v>
      </c>
    </row>
    <row r="3145" spans="1:4" ht="38.25" x14ac:dyDescent="0.25">
      <c r="A3145" s="104">
        <v>96732</v>
      </c>
      <c r="B3145" s="105" t="s">
        <v>3292</v>
      </c>
      <c r="C3145" s="106" t="s">
        <v>16</v>
      </c>
      <c r="D3145" s="107">
        <v>43.11</v>
      </c>
    </row>
    <row r="3146" spans="1:4" ht="38.25" x14ac:dyDescent="0.25">
      <c r="A3146" s="104">
        <v>96733</v>
      </c>
      <c r="B3146" s="105" t="s">
        <v>3293</v>
      </c>
      <c r="C3146" s="106" t="s">
        <v>16</v>
      </c>
      <c r="D3146" s="107">
        <v>79.22</v>
      </c>
    </row>
    <row r="3147" spans="1:4" ht="38.25" x14ac:dyDescent="0.25">
      <c r="A3147" s="104">
        <v>96734</v>
      </c>
      <c r="B3147" s="105" t="s">
        <v>3294</v>
      </c>
      <c r="C3147" s="106" t="s">
        <v>16</v>
      </c>
      <c r="D3147" s="107">
        <v>110.28</v>
      </c>
    </row>
    <row r="3148" spans="1:4" ht="38.25" x14ac:dyDescent="0.25">
      <c r="A3148" s="104">
        <v>96735</v>
      </c>
      <c r="B3148" s="105" t="s">
        <v>3295</v>
      </c>
      <c r="C3148" s="106" t="s">
        <v>16</v>
      </c>
      <c r="D3148" s="107">
        <v>143.63999999999999</v>
      </c>
    </row>
    <row r="3149" spans="1:4" ht="25.5" x14ac:dyDescent="0.25">
      <c r="A3149" s="104">
        <v>96794</v>
      </c>
      <c r="B3149" s="105" t="s">
        <v>3296</v>
      </c>
      <c r="C3149" s="106" t="s">
        <v>16</v>
      </c>
      <c r="D3149" s="107">
        <v>6.38</v>
      </c>
    </row>
    <row r="3150" spans="1:4" ht="25.5" x14ac:dyDescent="0.25">
      <c r="A3150" s="104">
        <v>96795</v>
      </c>
      <c r="B3150" s="105" t="s">
        <v>3297</v>
      </c>
      <c r="C3150" s="106" t="s">
        <v>16</v>
      </c>
      <c r="D3150" s="107">
        <v>8.11</v>
      </c>
    </row>
    <row r="3151" spans="1:4" ht="25.5" x14ac:dyDescent="0.25">
      <c r="A3151" s="104">
        <v>96796</v>
      </c>
      <c r="B3151" s="105" t="s">
        <v>3298</v>
      </c>
      <c r="C3151" s="106" t="s">
        <v>16</v>
      </c>
      <c r="D3151" s="107">
        <v>11.37</v>
      </c>
    </row>
    <row r="3152" spans="1:4" ht="25.5" x14ac:dyDescent="0.25">
      <c r="A3152" s="104">
        <v>96797</v>
      </c>
      <c r="B3152" s="105" t="s">
        <v>3299</v>
      </c>
      <c r="C3152" s="106" t="s">
        <v>16</v>
      </c>
      <c r="D3152" s="107">
        <v>17.2</v>
      </c>
    </row>
    <row r="3153" spans="1:4" ht="25.5" x14ac:dyDescent="0.25">
      <c r="A3153" s="104">
        <v>96798</v>
      </c>
      <c r="B3153" s="105" t="s">
        <v>3300</v>
      </c>
      <c r="C3153" s="106" t="s">
        <v>16</v>
      </c>
      <c r="D3153" s="107">
        <v>6.47</v>
      </c>
    </row>
    <row r="3154" spans="1:4" ht="25.5" x14ac:dyDescent="0.25">
      <c r="A3154" s="104">
        <v>96799</v>
      </c>
      <c r="B3154" s="105" t="s">
        <v>3301</v>
      </c>
      <c r="C3154" s="106" t="s">
        <v>16</v>
      </c>
      <c r="D3154" s="107">
        <v>8.66</v>
      </c>
    </row>
    <row r="3155" spans="1:4" ht="25.5" x14ac:dyDescent="0.25">
      <c r="A3155" s="104">
        <v>96800</v>
      </c>
      <c r="B3155" s="105" t="s">
        <v>3302</v>
      </c>
      <c r="C3155" s="106" t="s">
        <v>16</v>
      </c>
      <c r="D3155" s="107">
        <v>12.51</v>
      </c>
    </row>
    <row r="3156" spans="1:4" ht="25.5" x14ac:dyDescent="0.25">
      <c r="A3156" s="104">
        <v>96801</v>
      </c>
      <c r="B3156" s="105" t="s">
        <v>3303</v>
      </c>
      <c r="C3156" s="106" t="s">
        <v>16</v>
      </c>
      <c r="D3156" s="107">
        <v>19.16</v>
      </c>
    </row>
    <row r="3157" spans="1:4" ht="51" x14ac:dyDescent="0.25">
      <c r="A3157" s="104">
        <v>97327</v>
      </c>
      <c r="B3157" s="105" t="s">
        <v>3304</v>
      </c>
      <c r="C3157" s="106" t="s">
        <v>16</v>
      </c>
      <c r="D3157" s="107">
        <v>19.77</v>
      </c>
    </row>
    <row r="3158" spans="1:4" ht="51" x14ac:dyDescent="0.25">
      <c r="A3158" s="104">
        <v>97328</v>
      </c>
      <c r="B3158" s="105" t="s">
        <v>3305</v>
      </c>
      <c r="C3158" s="106" t="s">
        <v>16</v>
      </c>
      <c r="D3158" s="107">
        <v>34.78</v>
      </c>
    </row>
    <row r="3159" spans="1:4" ht="51" x14ac:dyDescent="0.25">
      <c r="A3159" s="104">
        <v>97329</v>
      </c>
      <c r="B3159" s="105" t="s">
        <v>3306</v>
      </c>
      <c r="C3159" s="106" t="s">
        <v>16</v>
      </c>
      <c r="D3159" s="107">
        <v>43.28</v>
      </c>
    </row>
    <row r="3160" spans="1:4" ht="51" x14ac:dyDescent="0.25">
      <c r="A3160" s="104">
        <v>97330</v>
      </c>
      <c r="B3160" s="105" t="s">
        <v>3307</v>
      </c>
      <c r="C3160" s="106" t="s">
        <v>16</v>
      </c>
      <c r="D3160" s="107">
        <v>52.76</v>
      </c>
    </row>
    <row r="3161" spans="1:4" ht="51" x14ac:dyDescent="0.25">
      <c r="A3161" s="104">
        <v>97331</v>
      </c>
      <c r="B3161" s="105" t="s">
        <v>3308</v>
      </c>
      <c r="C3161" s="106" t="s">
        <v>16</v>
      </c>
      <c r="D3161" s="107">
        <v>19.98</v>
      </c>
    </row>
    <row r="3162" spans="1:4" ht="51" x14ac:dyDescent="0.25">
      <c r="A3162" s="104">
        <v>97332</v>
      </c>
      <c r="B3162" s="105" t="s">
        <v>3309</v>
      </c>
      <c r="C3162" s="106" t="s">
        <v>16</v>
      </c>
      <c r="D3162" s="107">
        <v>35.03</v>
      </c>
    </row>
    <row r="3163" spans="1:4" ht="51" x14ac:dyDescent="0.25">
      <c r="A3163" s="104">
        <v>97333</v>
      </c>
      <c r="B3163" s="105" t="s">
        <v>3310</v>
      </c>
      <c r="C3163" s="106" t="s">
        <v>16</v>
      </c>
      <c r="D3163" s="107">
        <v>43.6</v>
      </c>
    </row>
    <row r="3164" spans="1:4" ht="51" x14ac:dyDescent="0.25">
      <c r="A3164" s="104">
        <v>97334</v>
      </c>
      <c r="B3164" s="105" t="s">
        <v>3311</v>
      </c>
      <c r="C3164" s="106" t="s">
        <v>16</v>
      </c>
      <c r="D3164" s="107">
        <v>53.12</v>
      </c>
    </row>
    <row r="3165" spans="1:4" ht="25.5" x14ac:dyDescent="0.25">
      <c r="A3165" s="104">
        <v>97335</v>
      </c>
      <c r="B3165" s="105" t="s">
        <v>3312</v>
      </c>
      <c r="C3165" s="106" t="s">
        <v>16</v>
      </c>
      <c r="D3165" s="107">
        <v>52.84</v>
      </c>
    </row>
    <row r="3166" spans="1:4" ht="25.5" x14ac:dyDescent="0.25">
      <c r="A3166" s="104">
        <v>97336</v>
      </c>
      <c r="B3166" s="105" t="s">
        <v>3313</v>
      </c>
      <c r="C3166" s="106" t="s">
        <v>16</v>
      </c>
      <c r="D3166" s="107">
        <v>67.099999999999994</v>
      </c>
    </row>
    <row r="3167" spans="1:4" ht="25.5" x14ac:dyDescent="0.25">
      <c r="A3167" s="104">
        <v>97337</v>
      </c>
      <c r="B3167" s="105" t="s">
        <v>3314</v>
      </c>
      <c r="C3167" s="106" t="s">
        <v>16</v>
      </c>
      <c r="D3167" s="107">
        <v>100.76</v>
      </c>
    </row>
    <row r="3168" spans="1:4" ht="25.5" x14ac:dyDescent="0.25">
      <c r="A3168" s="104">
        <v>97338</v>
      </c>
      <c r="B3168" s="105" t="s">
        <v>3315</v>
      </c>
      <c r="C3168" s="106" t="s">
        <v>16</v>
      </c>
      <c r="D3168" s="107">
        <v>121.13</v>
      </c>
    </row>
    <row r="3169" spans="1:4" ht="25.5" x14ac:dyDescent="0.25">
      <c r="A3169" s="104">
        <v>97339</v>
      </c>
      <c r="B3169" s="105" t="s">
        <v>3316</v>
      </c>
      <c r="C3169" s="106" t="s">
        <v>16</v>
      </c>
      <c r="D3169" s="107">
        <v>130.27000000000001</v>
      </c>
    </row>
    <row r="3170" spans="1:4" ht="25.5" x14ac:dyDescent="0.25">
      <c r="A3170" s="104">
        <v>97340</v>
      </c>
      <c r="B3170" s="105" t="s">
        <v>3317</v>
      </c>
      <c r="C3170" s="106" t="s">
        <v>16</v>
      </c>
      <c r="D3170" s="107">
        <v>130.80000000000001</v>
      </c>
    </row>
    <row r="3171" spans="1:4" ht="38.25" x14ac:dyDescent="0.25">
      <c r="A3171" s="104">
        <v>97341</v>
      </c>
      <c r="B3171" s="105" t="s">
        <v>3318</v>
      </c>
      <c r="C3171" s="106" t="s">
        <v>16</v>
      </c>
      <c r="D3171" s="107">
        <v>35.69</v>
      </c>
    </row>
    <row r="3172" spans="1:4" ht="38.25" x14ac:dyDescent="0.25">
      <c r="A3172" s="104">
        <v>97342</v>
      </c>
      <c r="B3172" s="105" t="s">
        <v>3319</v>
      </c>
      <c r="C3172" s="106" t="s">
        <v>16</v>
      </c>
      <c r="D3172" s="107">
        <v>55.91</v>
      </c>
    </row>
    <row r="3173" spans="1:4" ht="38.25" x14ac:dyDescent="0.25">
      <c r="A3173" s="104">
        <v>97343</v>
      </c>
      <c r="B3173" s="105" t="s">
        <v>3320</v>
      </c>
      <c r="C3173" s="106" t="s">
        <v>16</v>
      </c>
      <c r="D3173" s="107">
        <v>70.39</v>
      </c>
    </row>
    <row r="3174" spans="1:4" ht="38.25" x14ac:dyDescent="0.25">
      <c r="A3174" s="104">
        <v>97344</v>
      </c>
      <c r="B3174" s="105" t="s">
        <v>3321</v>
      </c>
      <c r="C3174" s="106" t="s">
        <v>16</v>
      </c>
      <c r="D3174" s="107">
        <v>42.43</v>
      </c>
    </row>
    <row r="3175" spans="1:4" ht="38.25" x14ac:dyDescent="0.25">
      <c r="A3175" s="104">
        <v>97345</v>
      </c>
      <c r="B3175" s="105" t="s">
        <v>3322</v>
      </c>
      <c r="C3175" s="106" t="s">
        <v>16</v>
      </c>
      <c r="D3175" s="107">
        <v>67.5</v>
      </c>
    </row>
    <row r="3176" spans="1:4" ht="38.25" x14ac:dyDescent="0.25">
      <c r="A3176" s="104">
        <v>97346</v>
      </c>
      <c r="B3176" s="105" t="s">
        <v>3323</v>
      </c>
      <c r="C3176" s="106" t="s">
        <v>16</v>
      </c>
      <c r="D3176" s="107">
        <v>86.2</v>
      </c>
    </row>
    <row r="3177" spans="1:4" ht="25.5" x14ac:dyDescent="0.25">
      <c r="A3177" s="104">
        <v>97347</v>
      </c>
      <c r="B3177" s="105" t="s">
        <v>3324</v>
      </c>
      <c r="C3177" s="106" t="s">
        <v>16</v>
      </c>
      <c r="D3177" s="107">
        <v>63.63</v>
      </c>
    </row>
    <row r="3178" spans="1:4" ht="25.5" x14ac:dyDescent="0.25">
      <c r="A3178" s="104">
        <v>97348</v>
      </c>
      <c r="B3178" s="105" t="s">
        <v>3325</v>
      </c>
      <c r="C3178" s="106" t="s">
        <v>16</v>
      </c>
      <c r="D3178" s="107">
        <v>87.86</v>
      </c>
    </row>
    <row r="3179" spans="1:4" ht="25.5" x14ac:dyDescent="0.25">
      <c r="A3179" s="104">
        <v>97349</v>
      </c>
      <c r="B3179" s="105" t="s">
        <v>3326</v>
      </c>
      <c r="C3179" s="106" t="s">
        <v>16</v>
      </c>
      <c r="D3179" s="107">
        <v>126.62</v>
      </c>
    </row>
    <row r="3180" spans="1:4" ht="25.5" x14ac:dyDescent="0.25">
      <c r="A3180" s="104">
        <v>97350</v>
      </c>
      <c r="B3180" s="105" t="s">
        <v>3327</v>
      </c>
      <c r="C3180" s="106" t="s">
        <v>16</v>
      </c>
      <c r="D3180" s="107">
        <v>153.74</v>
      </c>
    </row>
    <row r="3181" spans="1:4" ht="25.5" x14ac:dyDescent="0.25">
      <c r="A3181" s="104">
        <v>97351</v>
      </c>
      <c r="B3181" s="105" t="s">
        <v>3328</v>
      </c>
      <c r="C3181" s="106" t="s">
        <v>16</v>
      </c>
      <c r="D3181" s="107">
        <v>212.56</v>
      </c>
    </row>
    <row r="3182" spans="1:4" ht="25.5" x14ac:dyDescent="0.25">
      <c r="A3182" s="104">
        <v>97352</v>
      </c>
      <c r="B3182" s="105" t="s">
        <v>3329</v>
      </c>
      <c r="C3182" s="106" t="s">
        <v>16</v>
      </c>
      <c r="D3182" s="107">
        <v>275.42</v>
      </c>
    </row>
    <row r="3183" spans="1:4" ht="38.25" x14ac:dyDescent="0.25">
      <c r="A3183" s="104">
        <v>97353</v>
      </c>
      <c r="B3183" s="105" t="s">
        <v>3330</v>
      </c>
      <c r="C3183" s="106" t="s">
        <v>16</v>
      </c>
      <c r="D3183" s="107">
        <v>42.07</v>
      </c>
    </row>
    <row r="3184" spans="1:4" ht="38.25" x14ac:dyDescent="0.25">
      <c r="A3184" s="104">
        <v>97354</v>
      </c>
      <c r="B3184" s="105" t="s">
        <v>3331</v>
      </c>
      <c r="C3184" s="106" t="s">
        <v>16</v>
      </c>
      <c r="D3184" s="107">
        <v>66.7</v>
      </c>
    </row>
    <row r="3185" spans="1:4" ht="38.25" x14ac:dyDescent="0.25">
      <c r="A3185" s="104">
        <v>97355</v>
      </c>
      <c r="B3185" s="105" t="s">
        <v>3332</v>
      </c>
      <c r="C3185" s="106" t="s">
        <v>16</v>
      </c>
      <c r="D3185" s="107">
        <v>91.15</v>
      </c>
    </row>
    <row r="3186" spans="1:4" ht="38.25" x14ac:dyDescent="0.25">
      <c r="A3186" s="104">
        <v>97356</v>
      </c>
      <c r="B3186" s="105" t="s">
        <v>3333</v>
      </c>
      <c r="C3186" s="106" t="s">
        <v>16</v>
      </c>
      <c r="D3186" s="107">
        <v>48.81</v>
      </c>
    </row>
    <row r="3187" spans="1:4" ht="38.25" x14ac:dyDescent="0.25">
      <c r="A3187" s="104">
        <v>97357</v>
      </c>
      <c r="B3187" s="105" t="s">
        <v>3334</v>
      </c>
      <c r="C3187" s="106" t="s">
        <v>16</v>
      </c>
      <c r="D3187" s="107">
        <v>78.290000000000006</v>
      </c>
    </row>
    <row r="3188" spans="1:4" ht="38.25" x14ac:dyDescent="0.25">
      <c r="A3188" s="104">
        <v>97358</v>
      </c>
      <c r="B3188" s="105" t="s">
        <v>3335</v>
      </c>
      <c r="C3188" s="106" t="s">
        <v>16</v>
      </c>
      <c r="D3188" s="107">
        <v>106.96</v>
      </c>
    </row>
    <row r="3189" spans="1:4" ht="38.25" x14ac:dyDescent="0.25">
      <c r="A3189" s="104">
        <v>97498</v>
      </c>
      <c r="B3189" s="105" t="s">
        <v>3336</v>
      </c>
      <c r="C3189" s="106" t="s">
        <v>16</v>
      </c>
      <c r="D3189" s="107">
        <v>26.56</v>
      </c>
    </row>
    <row r="3190" spans="1:4" ht="38.25" x14ac:dyDescent="0.25">
      <c r="A3190" s="104">
        <v>97535</v>
      </c>
      <c r="B3190" s="105" t="s">
        <v>3337</v>
      </c>
      <c r="C3190" s="106" t="s">
        <v>16</v>
      </c>
      <c r="D3190" s="107">
        <v>29.63</v>
      </c>
    </row>
    <row r="3191" spans="1:4" ht="38.25" x14ac:dyDescent="0.25">
      <c r="A3191" s="104">
        <v>97536</v>
      </c>
      <c r="B3191" s="105" t="s">
        <v>3338</v>
      </c>
      <c r="C3191" s="106" t="s">
        <v>16</v>
      </c>
      <c r="D3191" s="107">
        <v>36.69</v>
      </c>
    </row>
    <row r="3192" spans="1:4" ht="38.25" x14ac:dyDescent="0.25">
      <c r="A3192" s="104">
        <v>100788</v>
      </c>
      <c r="B3192" s="105" t="s">
        <v>11289</v>
      </c>
      <c r="C3192" s="106" t="s">
        <v>801</v>
      </c>
      <c r="D3192" s="107">
        <v>416.93</v>
      </c>
    </row>
    <row r="3193" spans="1:4" ht="25.5" x14ac:dyDescent="0.25">
      <c r="A3193" s="104">
        <v>100791</v>
      </c>
      <c r="B3193" s="105" t="s">
        <v>11290</v>
      </c>
      <c r="C3193" s="106" t="s">
        <v>16</v>
      </c>
      <c r="D3193" s="107">
        <v>13.27</v>
      </c>
    </row>
    <row r="3194" spans="1:4" ht="25.5" x14ac:dyDescent="0.25">
      <c r="A3194" s="104">
        <v>100792</v>
      </c>
      <c r="B3194" s="105" t="s">
        <v>11291</v>
      </c>
      <c r="C3194" s="106" t="s">
        <v>16</v>
      </c>
      <c r="D3194" s="107">
        <v>19.489999999999998</v>
      </c>
    </row>
    <row r="3195" spans="1:4" ht="25.5" x14ac:dyDescent="0.25">
      <c r="A3195" s="104">
        <v>100793</v>
      </c>
      <c r="B3195" s="105" t="s">
        <v>11292</v>
      </c>
      <c r="C3195" s="106" t="s">
        <v>16</v>
      </c>
      <c r="D3195" s="107">
        <v>25.87</v>
      </c>
    </row>
    <row r="3196" spans="1:4" ht="25.5" x14ac:dyDescent="0.25">
      <c r="A3196" s="104">
        <v>100794</v>
      </c>
      <c r="B3196" s="105" t="s">
        <v>11293</v>
      </c>
      <c r="C3196" s="106" t="s">
        <v>16</v>
      </c>
      <c r="D3196" s="107">
        <v>34.909999999999997</v>
      </c>
    </row>
    <row r="3197" spans="1:4" ht="25.5" x14ac:dyDescent="0.25">
      <c r="A3197" s="104">
        <v>100803</v>
      </c>
      <c r="B3197" s="105" t="s">
        <v>11294</v>
      </c>
      <c r="C3197" s="106" t="s">
        <v>16</v>
      </c>
      <c r="D3197" s="107">
        <v>12.63</v>
      </c>
    </row>
    <row r="3198" spans="1:4" ht="25.5" x14ac:dyDescent="0.25">
      <c r="A3198" s="104">
        <v>100804</v>
      </c>
      <c r="B3198" s="105" t="s">
        <v>11295</v>
      </c>
      <c r="C3198" s="106" t="s">
        <v>16</v>
      </c>
      <c r="D3198" s="107">
        <v>18.71</v>
      </c>
    </row>
    <row r="3199" spans="1:4" ht="25.5" x14ac:dyDescent="0.25">
      <c r="A3199" s="104">
        <v>100805</v>
      </c>
      <c r="B3199" s="105" t="s">
        <v>11296</v>
      </c>
      <c r="C3199" s="106" t="s">
        <v>16</v>
      </c>
      <c r="D3199" s="107">
        <v>24.95</v>
      </c>
    </row>
    <row r="3200" spans="1:4" ht="25.5" x14ac:dyDescent="0.25">
      <c r="A3200" s="104">
        <v>100806</v>
      </c>
      <c r="B3200" s="105" t="s">
        <v>11297</v>
      </c>
      <c r="C3200" s="106" t="s">
        <v>16</v>
      </c>
      <c r="D3200" s="107">
        <v>33.78</v>
      </c>
    </row>
    <row r="3201" spans="1:4" x14ac:dyDescent="0.25">
      <c r="A3201" s="104">
        <v>72306</v>
      </c>
      <c r="B3201" s="105" t="s">
        <v>3339</v>
      </c>
      <c r="C3201" s="106" t="s">
        <v>801</v>
      </c>
      <c r="D3201" s="107">
        <v>158.11000000000001</v>
      </c>
    </row>
    <row r="3202" spans="1:4" x14ac:dyDescent="0.25">
      <c r="A3202" s="104">
        <v>72307</v>
      </c>
      <c r="B3202" s="105" t="s">
        <v>3340</v>
      </c>
      <c r="C3202" s="106" t="s">
        <v>801</v>
      </c>
      <c r="D3202" s="107">
        <v>221.49</v>
      </c>
    </row>
    <row r="3203" spans="1:4" x14ac:dyDescent="0.25">
      <c r="A3203" s="104">
        <v>72313</v>
      </c>
      <c r="B3203" s="105" t="s">
        <v>3341</v>
      </c>
      <c r="C3203" s="106" t="s">
        <v>801</v>
      </c>
      <c r="D3203" s="107">
        <v>515.91999999999996</v>
      </c>
    </row>
    <row r="3204" spans="1:4" x14ac:dyDescent="0.25">
      <c r="A3204" s="104">
        <v>72482</v>
      </c>
      <c r="B3204" s="105" t="s">
        <v>3342</v>
      </c>
      <c r="C3204" s="106" t="s">
        <v>801</v>
      </c>
      <c r="D3204" s="107">
        <v>221.98</v>
      </c>
    </row>
    <row r="3205" spans="1:4" x14ac:dyDescent="0.25">
      <c r="A3205" s="104">
        <v>72619</v>
      </c>
      <c r="B3205" s="105" t="s">
        <v>3343</v>
      </c>
      <c r="C3205" s="106" t="s">
        <v>801</v>
      </c>
      <c r="D3205" s="107">
        <v>92.68</v>
      </c>
    </row>
    <row r="3206" spans="1:4" x14ac:dyDescent="0.25">
      <c r="A3206" s="104">
        <v>72620</v>
      </c>
      <c r="B3206" s="105" t="s">
        <v>3344</v>
      </c>
      <c r="C3206" s="106" t="s">
        <v>801</v>
      </c>
      <c r="D3206" s="107">
        <v>161.5</v>
      </c>
    </row>
    <row r="3207" spans="1:4" x14ac:dyDescent="0.25">
      <c r="A3207" s="104">
        <v>72621</v>
      </c>
      <c r="B3207" s="105" t="s">
        <v>3345</v>
      </c>
      <c r="C3207" s="106" t="s">
        <v>801</v>
      </c>
      <c r="D3207" s="107">
        <v>259.16000000000003</v>
      </c>
    </row>
    <row r="3208" spans="1:4" ht="25.5" x14ac:dyDescent="0.25">
      <c r="A3208" s="104">
        <v>72667</v>
      </c>
      <c r="B3208" s="105" t="s">
        <v>3346</v>
      </c>
      <c r="C3208" s="106" t="s">
        <v>801</v>
      </c>
      <c r="D3208" s="107">
        <v>127.96</v>
      </c>
    </row>
    <row r="3209" spans="1:4" ht="25.5" x14ac:dyDescent="0.25">
      <c r="A3209" s="104">
        <v>72668</v>
      </c>
      <c r="B3209" s="105" t="s">
        <v>3347</v>
      </c>
      <c r="C3209" s="106" t="s">
        <v>801</v>
      </c>
      <c r="D3209" s="107">
        <v>127.27</v>
      </c>
    </row>
    <row r="3210" spans="1:4" ht="25.5" x14ac:dyDescent="0.25">
      <c r="A3210" s="104">
        <v>72669</v>
      </c>
      <c r="B3210" s="105" t="s">
        <v>3348</v>
      </c>
      <c r="C3210" s="106" t="s">
        <v>801</v>
      </c>
      <c r="D3210" s="107">
        <v>131.22999999999999</v>
      </c>
    </row>
    <row r="3211" spans="1:4" x14ac:dyDescent="0.25">
      <c r="A3211" s="104">
        <v>72681</v>
      </c>
      <c r="B3211" s="105" t="s">
        <v>3349</v>
      </c>
      <c r="C3211" s="106" t="s">
        <v>801</v>
      </c>
      <c r="D3211" s="107">
        <v>89.86</v>
      </c>
    </row>
    <row r="3212" spans="1:4" x14ac:dyDescent="0.25">
      <c r="A3212" s="104">
        <v>72682</v>
      </c>
      <c r="B3212" s="105" t="s">
        <v>3350</v>
      </c>
      <c r="C3212" s="106" t="s">
        <v>801</v>
      </c>
      <c r="D3212" s="107">
        <v>180.56</v>
      </c>
    </row>
    <row r="3213" spans="1:4" x14ac:dyDescent="0.25">
      <c r="A3213" s="104">
        <v>72683</v>
      </c>
      <c r="B3213" s="105" t="s">
        <v>3351</v>
      </c>
      <c r="C3213" s="106" t="s">
        <v>801</v>
      </c>
      <c r="D3213" s="107">
        <v>289.92</v>
      </c>
    </row>
    <row r="3214" spans="1:4" x14ac:dyDescent="0.25">
      <c r="A3214" s="104">
        <v>72719</v>
      </c>
      <c r="B3214" s="105" t="s">
        <v>3352</v>
      </c>
      <c r="C3214" s="106" t="s">
        <v>801</v>
      </c>
      <c r="D3214" s="107">
        <v>198.25</v>
      </c>
    </row>
    <row r="3215" spans="1:4" x14ac:dyDescent="0.25">
      <c r="A3215" s="104">
        <v>72720</v>
      </c>
      <c r="B3215" s="105" t="s">
        <v>3353</v>
      </c>
      <c r="C3215" s="106" t="s">
        <v>801</v>
      </c>
      <c r="D3215" s="107">
        <v>272.86</v>
      </c>
    </row>
    <row r="3216" spans="1:4" x14ac:dyDescent="0.25">
      <c r="A3216" s="104">
        <v>72721</v>
      </c>
      <c r="B3216" s="105" t="s">
        <v>3354</v>
      </c>
      <c r="C3216" s="106" t="s">
        <v>801</v>
      </c>
      <c r="D3216" s="107">
        <v>590.38</v>
      </c>
    </row>
    <row r="3217" spans="1:4" ht="25.5" x14ac:dyDescent="0.25">
      <c r="A3217" s="104">
        <v>89358</v>
      </c>
      <c r="B3217" s="105" t="s">
        <v>3355</v>
      </c>
      <c r="C3217" s="106" t="s">
        <v>801</v>
      </c>
      <c r="D3217" s="107">
        <v>5.46</v>
      </c>
    </row>
    <row r="3218" spans="1:4" ht="25.5" x14ac:dyDescent="0.25">
      <c r="A3218" s="104">
        <v>89359</v>
      </c>
      <c r="B3218" s="105" t="s">
        <v>3356</v>
      </c>
      <c r="C3218" s="106" t="s">
        <v>801</v>
      </c>
      <c r="D3218" s="107">
        <v>5.73</v>
      </c>
    </row>
    <row r="3219" spans="1:4" ht="25.5" x14ac:dyDescent="0.25">
      <c r="A3219" s="104">
        <v>89360</v>
      </c>
      <c r="B3219" s="105" t="s">
        <v>3357</v>
      </c>
      <c r="C3219" s="106" t="s">
        <v>801</v>
      </c>
      <c r="D3219" s="107">
        <v>6.87</v>
      </c>
    </row>
    <row r="3220" spans="1:4" ht="25.5" x14ac:dyDescent="0.25">
      <c r="A3220" s="104">
        <v>89361</v>
      </c>
      <c r="B3220" s="105" t="s">
        <v>3358</v>
      </c>
      <c r="C3220" s="106" t="s">
        <v>801</v>
      </c>
      <c r="D3220" s="107">
        <v>6.42</v>
      </c>
    </row>
    <row r="3221" spans="1:4" ht="25.5" x14ac:dyDescent="0.25">
      <c r="A3221" s="104">
        <v>89362</v>
      </c>
      <c r="B3221" s="105" t="s">
        <v>251</v>
      </c>
      <c r="C3221" s="106" t="s">
        <v>801</v>
      </c>
      <c r="D3221" s="107">
        <v>6.52</v>
      </c>
    </row>
    <row r="3222" spans="1:4" ht="25.5" x14ac:dyDescent="0.25">
      <c r="A3222" s="104">
        <v>89363</v>
      </c>
      <c r="B3222" s="105" t="s">
        <v>247</v>
      </c>
      <c r="C3222" s="106" t="s">
        <v>801</v>
      </c>
      <c r="D3222" s="107">
        <v>7.1</v>
      </c>
    </row>
    <row r="3223" spans="1:4" ht="25.5" x14ac:dyDescent="0.25">
      <c r="A3223" s="104">
        <v>89364</v>
      </c>
      <c r="B3223" s="105" t="s">
        <v>3359</v>
      </c>
      <c r="C3223" s="106" t="s">
        <v>801</v>
      </c>
      <c r="D3223" s="107">
        <v>8.3000000000000007</v>
      </c>
    </row>
    <row r="3224" spans="1:4" ht="25.5" x14ac:dyDescent="0.25">
      <c r="A3224" s="104">
        <v>89365</v>
      </c>
      <c r="B3224" s="105" t="s">
        <v>3360</v>
      </c>
      <c r="C3224" s="106" t="s">
        <v>801</v>
      </c>
      <c r="D3224" s="107">
        <v>7.77</v>
      </c>
    </row>
    <row r="3225" spans="1:4" ht="38.25" x14ac:dyDescent="0.25">
      <c r="A3225" s="104">
        <v>89366</v>
      </c>
      <c r="B3225" s="105" t="s">
        <v>265</v>
      </c>
      <c r="C3225" s="106" t="s">
        <v>801</v>
      </c>
      <c r="D3225" s="107">
        <v>11.47</v>
      </c>
    </row>
    <row r="3226" spans="1:4" ht="25.5" x14ac:dyDescent="0.25">
      <c r="A3226" s="104">
        <v>89367</v>
      </c>
      <c r="B3226" s="105" t="s">
        <v>3361</v>
      </c>
      <c r="C3226" s="106" t="s">
        <v>801</v>
      </c>
      <c r="D3226" s="107">
        <v>8.9499999999999993</v>
      </c>
    </row>
    <row r="3227" spans="1:4" ht="25.5" x14ac:dyDescent="0.25">
      <c r="A3227" s="104">
        <v>89368</v>
      </c>
      <c r="B3227" s="105" t="s">
        <v>3362</v>
      </c>
      <c r="C3227" s="106" t="s">
        <v>801</v>
      </c>
      <c r="D3227" s="107">
        <v>10.58</v>
      </c>
    </row>
    <row r="3228" spans="1:4" ht="25.5" x14ac:dyDescent="0.25">
      <c r="A3228" s="104">
        <v>89369</v>
      </c>
      <c r="B3228" s="105" t="s">
        <v>3363</v>
      </c>
      <c r="C3228" s="106" t="s">
        <v>801</v>
      </c>
      <c r="D3228" s="107">
        <v>12.59</v>
      </c>
    </row>
    <row r="3229" spans="1:4" ht="25.5" x14ac:dyDescent="0.25">
      <c r="A3229" s="104">
        <v>89370</v>
      </c>
      <c r="B3229" s="105" t="s">
        <v>3364</v>
      </c>
      <c r="C3229" s="106" t="s">
        <v>801</v>
      </c>
      <c r="D3229" s="107">
        <v>10.23</v>
      </c>
    </row>
    <row r="3230" spans="1:4" ht="25.5" x14ac:dyDescent="0.25">
      <c r="A3230" s="104">
        <v>89371</v>
      </c>
      <c r="B3230" s="105" t="s">
        <v>3365</v>
      </c>
      <c r="C3230" s="106" t="s">
        <v>801</v>
      </c>
      <c r="D3230" s="107">
        <v>4.1900000000000004</v>
      </c>
    </row>
    <row r="3231" spans="1:4" ht="25.5" x14ac:dyDescent="0.25">
      <c r="A3231" s="104">
        <v>89372</v>
      </c>
      <c r="B3231" s="105" t="s">
        <v>3366</v>
      </c>
      <c r="C3231" s="106" t="s">
        <v>801</v>
      </c>
      <c r="D3231" s="107">
        <v>9.56</v>
      </c>
    </row>
    <row r="3232" spans="1:4" ht="38.25" x14ac:dyDescent="0.25">
      <c r="A3232" s="104">
        <v>89373</v>
      </c>
      <c r="B3232" s="105" t="s">
        <v>3367</v>
      </c>
      <c r="C3232" s="106" t="s">
        <v>801</v>
      </c>
      <c r="D3232" s="107">
        <v>4.67</v>
      </c>
    </row>
    <row r="3233" spans="1:4" ht="38.25" x14ac:dyDescent="0.25">
      <c r="A3233" s="104">
        <v>89374</v>
      </c>
      <c r="B3233" s="105" t="s">
        <v>3368</v>
      </c>
      <c r="C3233" s="106" t="s">
        <v>801</v>
      </c>
      <c r="D3233" s="107">
        <v>7.59</v>
      </c>
    </row>
    <row r="3234" spans="1:4" ht="25.5" x14ac:dyDescent="0.25">
      <c r="A3234" s="104">
        <v>89375</v>
      </c>
      <c r="B3234" s="105" t="s">
        <v>3369</v>
      </c>
      <c r="C3234" s="106" t="s">
        <v>801</v>
      </c>
      <c r="D3234" s="107">
        <v>9.34</v>
      </c>
    </row>
    <row r="3235" spans="1:4" ht="38.25" x14ac:dyDescent="0.25">
      <c r="A3235" s="104">
        <v>89376</v>
      </c>
      <c r="B3235" s="105" t="s">
        <v>3370</v>
      </c>
      <c r="C3235" s="106" t="s">
        <v>801</v>
      </c>
      <c r="D3235" s="107">
        <v>4.24</v>
      </c>
    </row>
    <row r="3236" spans="1:4" ht="38.25" x14ac:dyDescent="0.25">
      <c r="A3236" s="104">
        <v>89377</v>
      </c>
      <c r="B3236" s="105" t="s">
        <v>3371</v>
      </c>
      <c r="C3236" s="106" t="s">
        <v>801</v>
      </c>
      <c r="D3236" s="107">
        <v>6.84</v>
      </c>
    </row>
    <row r="3237" spans="1:4" ht="25.5" x14ac:dyDescent="0.25">
      <c r="A3237" s="104">
        <v>89378</v>
      </c>
      <c r="B3237" s="105" t="s">
        <v>3372</v>
      </c>
      <c r="C3237" s="106" t="s">
        <v>801</v>
      </c>
      <c r="D3237" s="107">
        <v>4.97</v>
      </c>
    </row>
    <row r="3238" spans="1:4" ht="25.5" x14ac:dyDescent="0.25">
      <c r="A3238" s="104">
        <v>89379</v>
      </c>
      <c r="B3238" s="105" t="s">
        <v>3373</v>
      </c>
      <c r="C3238" s="106" t="s">
        <v>801</v>
      </c>
      <c r="D3238" s="107">
        <v>12.13</v>
      </c>
    </row>
    <row r="3239" spans="1:4" ht="38.25" x14ac:dyDescent="0.25">
      <c r="A3239" s="104">
        <v>89380</v>
      </c>
      <c r="B3239" s="105" t="s">
        <v>3374</v>
      </c>
      <c r="C3239" s="106" t="s">
        <v>801</v>
      </c>
      <c r="D3239" s="107">
        <v>7.17</v>
      </c>
    </row>
    <row r="3240" spans="1:4" ht="38.25" x14ac:dyDescent="0.25">
      <c r="A3240" s="104">
        <v>89381</v>
      </c>
      <c r="B3240" s="105" t="s">
        <v>3375</v>
      </c>
      <c r="C3240" s="106" t="s">
        <v>801</v>
      </c>
      <c r="D3240" s="107">
        <v>9.5</v>
      </c>
    </row>
    <row r="3241" spans="1:4" ht="25.5" x14ac:dyDescent="0.25">
      <c r="A3241" s="104">
        <v>89382</v>
      </c>
      <c r="B3241" s="105" t="s">
        <v>3376</v>
      </c>
      <c r="C3241" s="106" t="s">
        <v>801</v>
      </c>
      <c r="D3241" s="107">
        <v>11.14</v>
      </c>
    </row>
    <row r="3242" spans="1:4" ht="38.25" x14ac:dyDescent="0.25">
      <c r="A3242" s="104">
        <v>89383</v>
      </c>
      <c r="B3242" s="105" t="s">
        <v>3377</v>
      </c>
      <c r="C3242" s="106" t="s">
        <v>801</v>
      </c>
      <c r="D3242" s="107">
        <v>5.05</v>
      </c>
    </row>
    <row r="3243" spans="1:4" ht="38.25" x14ac:dyDescent="0.25">
      <c r="A3243" s="104">
        <v>89384</v>
      </c>
      <c r="B3243" s="105" t="s">
        <v>3378</v>
      </c>
      <c r="C3243" s="106" t="s">
        <v>801</v>
      </c>
      <c r="D3243" s="107">
        <v>9.6199999999999992</v>
      </c>
    </row>
    <row r="3244" spans="1:4" ht="38.25" x14ac:dyDescent="0.25">
      <c r="A3244" s="104">
        <v>89385</v>
      </c>
      <c r="B3244" s="105" t="s">
        <v>246</v>
      </c>
      <c r="C3244" s="106" t="s">
        <v>801</v>
      </c>
      <c r="D3244" s="107">
        <v>5.61</v>
      </c>
    </row>
    <row r="3245" spans="1:4" ht="25.5" x14ac:dyDescent="0.25">
      <c r="A3245" s="104">
        <v>89386</v>
      </c>
      <c r="B3245" s="105" t="s">
        <v>3379</v>
      </c>
      <c r="C3245" s="106" t="s">
        <v>801</v>
      </c>
      <c r="D3245" s="107">
        <v>6.85</v>
      </c>
    </row>
    <row r="3246" spans="1:4" ht="25.5" x14ac:dyDescent="0.25">
      <c r="A3246" s="104">
        <v>89387</v>
      </c>
      <c r="B3246" s="105" t="s">
        <v>3380</v>
      </c>
      <c r="C3246" s="106" t="s">
        <v>801</v>
      </c>
      <c r="D3246" s="107">
        <v>23.93</v>
      </c>
    </row>
    <row r="3247" spans="1:4" ht="38.25" x14ac:dyDescent="0.25">
      <c r="A3247" s="104">
        <v>89388</v>
      </c>
      <c r="B3247" s="105" t="s">
        <v>3381</v>
      </c>
      <c r="C3247" s="106" t="s">
        <v>801</v>
      </c>
      <c r="D3247" s="107">
        <v>8.7799999999999994</v>
      </c>
    </row>
    <row r="3248" spans="1:4" ht="38.25" x14ac:dyDescent="0.25">
      <c r="A3248" s="104">
        <v>89389</v>
      </c>
      <c r="B3248" s="105" t="s">
        <v>3382</v>
      </c>
      <c r="C3248" s="106" t="s">
        <v>801</v>
      </c>
      <c r="D3248" s="107">
        <v>9.44</v>
      </c>
    </row>
    <row r="3249" spans="1:4" ht="25.5" x14ac:dyDescent="0.25">
      <c r="A3249" s="104">
        <v>89390</v>
      </c>
      <c r="B3249" s="105" t="s">
        <v>3383</v>
      </c>
      <c r="C3249" s="106" t="s">
        <v>801</v>
      </c>
      <c r="D3249" s="107">
        <v>16.48</v>
      </c>
    </row>
    <row r="3250" spans="1:4" ht="38.25" x14ac:dyDescent="0.25">
      <c r="A3250" s="104">
        <v>89391</v>
      </c>
      <c r="B3250" s="105" t="s">
        <v>3384</v>
      </c>
      <c r="C3250" s="106" t="s">
        <v>801</v>
      </c>
      <c r="D3250" s="107">
        <v>6.77</v>
      </c>
    </row>
    <row r="3251" spans="1:4" ht="38.25" x14ac:dyDescent="0.25">
      <c r="A3251" s="104">
        <v>89392</v>
      </c>
      <c r="B3251" s="105" t="s">
        <v>3385</v>
      </c>
      <c r="C3251" s="106" t="s">
        <v>801</v>
      </c>
      <c r="D3251" s="107">
        <v>19.43</v>
      </c>
    </row>
    <row r="3252" spans="1:4" ht="25.5" x14ac:dyDescent="0.25">
      <c r="A3252" s="104">
        <v>89393</v>
      </c>
      <c r="B3252" s="105" t="s">
        <v>3386</v>
      </c>
      <c r="C3252" s="106" t="s">
        <v>801</v>
      </c>
      <c r="D3252" s="107">
        <v>7.65</v>
      </c>
    </row>
    <row r="3253" spans="1:4" ht="38.25" x14ac:dyDescent="0.25">
      <c r="A3253" s="104">
        <v>89394</v>
      </c>
      <c r="B3253" s="105" t="s">
        <v>3387</v>
      </c>
      <c r="C3253" s="106" t="s">
        <v>801</v>
      </c>
      <c r="D3253" s="107">
        <v>14.35</v>
      </c>
    </row>
    <row r="3254" spans="1:4" ht="25.5" x14ac:dyDescent="0.25">
      <c r="A3254" s="104">
        <v>89395</v>
      </c>
      <c r="B3254" s="105" t="s">
        <v>259</v>
      </c>
      <c r="C3254" s="106" t="s">
        <v>801</v>
      </c>
      <c r="D3254" s="107">
        <v>9.15</v>
      </c>
    </row>
    <row r="3255" spans="1:4" ht="38.25" x14ac:dyDescent="0.25">
      <c r="A3255" s="104">
        <v>89396</v>
      </c>
      <c r="B3255" s="105" t="s">
        <v>267</v>
      </c>
      <c r="C3255" s="106" t="s">
        <v>801</v>
      </c>
      <c r="D3255" s="107">
        <v>14.89</v>
      </c>
    </row>
    <row r="3256" spans="1:4" ht="38.25" x14ac:dyDescent="0.25">
      <c r="A3256" s="104">
        <v>89397</v>
      </c>
      <c r="B3256" s="105" t="s">
        <v>3388</v>
      </c>
      <c r="C3256" s="106" t="s">
        <v>801</v>
      </c>
      <c r="D3256" s="107">
        <v>10.68</v>
      </c>
    </row>
    <row r="3257" spans="1:4" ht="25.5" x14ac:dyDescent="0.25">
      <c r="A3257" s="104">
        <v>89398</v>
      </c>
      <c r="B3257" s="105" t="s">
        <v>3389</v>
      </c>
      <c r="C3257" s="106" t="s">
        <v>801</v>
      </c>
      <c r="D3257" s="107">
        <v>13.2</v>
      </c>
    </row>
    <row r="3258" spans="1:4" ht="38.25" x14ac:dyDescent="0.25">
      <c r="A3258" s="104">
        <v>89399</v>
      </c>
      <c r="B3258" s="105" t="s">
        <v>3390</v>
      </c>
      <c r="C3258" s="106" t="s">
        <v>801</v>
      </c>
      <c r="D3258" s="107">
        <v>22.93</v>
      </c>
    </row>
    <row r="3259" spans="1:4" ht="38.25" x14ac:dyDescent="0.25">
      <c r="A3259" s="104">
        <v>89400</v>
      </c>
      <c r="B3259" s="105" t="s">
        <v>3391</v>
      </c>
      <c r="C3259" s="106" t="s">
        <v>801</v>
      </c>
      <c r="D3259" s="107">
        <v>14.71</v>
      </c>
    </row>
    <row r="3260" spans="1:4" ht="38.25" x14ac:dyDescent="0.25">
      <c r="A3260" s="104">
        <v>89404</v>
      </c>
      <c r="B3260" s="105" t="s">
        <v>3392</v>
      </c>
      <c r="C3260" s="106" t="s">
        <v>801</v>
      </c>
      <c r="D3260" s="107">
        <v>3.78</v>
      </c>
    </row>
    <row r="3261" spans="1:4" ht="38.25" x14ac:dyDescent="0.25">
      <c r="A3261" s="104">
        <v>89405</v>
      </c>
      <c r="B3261" s="105" t="s">
        <v>3393</v>
      </c>
      <c r="C3261" s="106" t="s">
        <v>801</v>
      </c>
      <c r="D3261" s="107">
        <v>4.05</v>
      </c>
    </row>
    <row r="3262" spans="1:4" ht="38.25" x14ac:dyDescent="0.25">
      <c r="A3262" s="104">
        <v>89406</v>
      </c>
      <c r="B3262" s="105" t="s">
        <v>3394</v>
      </c>
      <c r="C3262" s="106" t="s">
        <v>801</v>
      </c>
      <c r="D3262" s="107">
        <v>5.19</v>
      </c>
    </row>
    <row r="3263" spans="1:4" ht="38.25" x14ac:dyDescent="0.25">
      <c r="A3263" s="104">
        <v>89407</v>
      </c>
      <c r="B3263" s="105" t="s">
        <v>3395</v>
      </c>
      <c r="C3263" s="106" t="s">
        <v>801</v>
      </c>
      <c r="D3263" s="107">
        <v>4.74</v>
      </c>
    </row>
    <row r="3264" spans="1:4" ht="38.25" x14ac:dyDescent="0.25">
      <c r="A3264" s="104">
        <v>89408</v>
      </c>
      <c r="B3264" s="105" t="s">
        <v>381</v>
      </c>
      <c r="C3264" s="106" t="s">
        <v>801</v>
      </c>
      <c r="D3264" s="107">
        <v>4.58</v>
      </c>
    </row>
    <row r="3265" spans="1:4" ht="38.25" x14ac:dyDescent="0.25">
      <c r="A3265" s="104">
        <v>89409</v>
      </c>
      <c r="B3265" s="105" t="s">
        <v>3396</v>
      </c>
      <c r="C3265" s="106" t="s">
        <v>801</v>
      </c>
      <c r="D3265" s="107">
        <v>5.16</v>
      </c>
    </row>
    <row r="3266" spans="1:4" ht="38.25" x14ac:dyDescent="0.25">
      <c r="A3266" s="104">
        <v>89410</v>
      </c>
      <c r="B3266" s="105" t="s">
        <v>3397</v>
      </c>
      <c r="C3266" s="106" t="s">
        <v>801</v>
      </c>
      <c r="D3266" s="107">
        <v>6.36</v>
      </c>
    </row>
    <row r="3267" spans="1:4" ht="38.25" x14ac:dyDescent="0.25">
      <c r="A3267" s="104">
        <v>89411</v>
      </c>
      <c r="B3267" s="105" t="s">
        <v>3398</v>
      </c>
      <c r="C3267" s="106" t="s">
        <v>801</v>
      </c>
      <c r="D3267" s="107">
        <v>5.83</v>
      </c>
    </row>
    <row r="3268" spans="1:4" ht="38.25" x14ac:dyDescent="0.25">
      <c r="A3268" s="104">
        <v>89412</v>
      </c>
      <c r="B3268" s="105" t="s">
        <v>3399</v>
      </c>
      <c r="C3268" s="106" t="s">
        <v>801</v>
      </c>
      <c r="D3268" s="107">
        <v>6.56</v>
      </c>
    </row>
    <row r="3269" spans="1:4" ht="38.25" x14ac:dyDescent="0.25">
      <c r="A3269" s="104">
        <v>89413</v>
      </c>
      <c r="B3269" s="105" t="s">
        <v>3400</v>
      </c>
      <c r="C3269" s="106" t="s">
        <v>801</v>
      </c>
      <c r="D3269" s="107">
        <v>6.63</v>
      </c>
    </row>
    <row r="3270" spans="1:4" ht="38.25" x14ac:dyDescent="0.25">
      <c r="A3270" s="104">
        <v>89414</v>
      </c>
      <c r="B3270" s="105" t="s">
        <v>378</v>
      </c>
      <c r="C3270" s="106" t="s">
        <v>801</v>
      </c>
      <c r="D3270" s="107">
        <v>8.26</v>
      </c>
    </row>
    <row r="3271" spans="1:4" ht="38.25" x14ac:dyDescent="0.25">
      <c r="A3271" s="104">
        <v>89415</v>
      </c>
      <c r="B3271" s="105" t="s">
        <v>3401</v>
      </c>
      <c r="C3271" s="106" t="s">
        <v>801</v>
      </c>
      <c r="D3271" s="107">
        <v>10.27</v>
      </c>
    </row>
    <row r="3272" spans="1:4" ht="38.25" x14ac:dyDescent="0.25">
      <c r="A3272" s="104">
        <v>89416</v>
      </c>
      <c r="B3272" s="105" t="s">
        <v>3402</v>
      </c>
      <c r="C3272" s="106" t="s">
        <v>801</v>
      </c>
      <c r="D3272" s="107">
        <v>7.91</v>
      </c>
    </row>
    <row r="3273" spans="1:4" ht="25.5" x14ac:dyDescent="0.25">
      <c r="A3273" s="104">
        <v>89417</v>
      </c>
      <c r="B3273" s="105" t="s">
        <v>3403</v>
      </c>
      <c r="C3273" s="106" t="s">
        <v>801</v>
      </c>
      <c r="D3273" s="107">
        <v>3.09</v>
      </c>
    </row>
    <row r="3274" spans="1:4" ht="25.5" x14ac:dyDescent="0.25">
      <c r="A3274" s="104">
        <v>89418</v>
      </c>
      <c r="B3274" s="105" t="s">
        <v>3404</v>
      </c>
      <c r="C3274" s="106" t="s">
        <v>801</v>
      </c>
      <c r="D3274" s="107">
        <v>8.4600000000000009</v>
      </c>
    </row>
    <row r="3275" spans="1:4" ht="38.25" x14ac:dyDescent="0.25">
      <c r="A3275" s="104">
        <v>89419</v>
      </c>
      <c r="B3275" s="105" t="s">
        <v>3405</v>
      </c>
      <c r="C3275" s="106" t="s">
        <v>801</v>
      </c>
      <c r="D3275" s="107">
        <v>3.57</v>
      </c>
    </row>
    <row r="3276" spans="1:4" ht="38.25" x14ac:dyDescent="0.25">
      <c r="A3276" s="104">
        <v>89420</v>
      </c>
      <c r="B3276" s="105" t="s">
        <v>3406</v>
      </c>
      <c r="C3276" s="106" t="s">
        <v>801</v>
      </c>
      <c r="D3276" s="107">
        <v>6.49</v>
      </c>
    </row>
    <row r="3277" spans="1:4" ht="25.5" x14ac:dyDescent="0.25">
      <c r="A3277" s="104">
        <v>89421</v>
      </c>
      <c r="B3277" s="105" t="s">
        <v>3407</v>
      </c>
      <c r="C3277" s="106" t="s">
        <v>801</v>
      </c>
      <c r="D3277" s="107">
        <v>8.24</v>
      </c>
    </row>
    <row r="3278" spans="1:4" ht="38.25" x14ac:dyDescent="0.25">
      <c r="A3278" s="104">
        <v>89422</v>
      </c>
      <c r="B3278" s="105" t="s">
        <v>3408</v>
      </c>
      <c r="C3278" s="106" t="s">
        <v>801</v>
      </c>
      <c r="D3278" s="107">
        <v>3.14</v>
      </c>
    </row>
    <row r="3279" spans="1:4" ht="38.25" x14ac:dyDescent="0.25">
      <c r="A3279" s="104">
        <v>89423</v>
      </c>
      <c r="B3279" s="105" t="s">
        <v>3409</v>
      </c>
      <c r="C3279" s="106" t="s">
        <v>801</v>
      </c>
      <c r="D3279" s="107">
        <v>6.2</v>
      </c>
    </row>
    <row r="3280" spans="1:4" ht="25.5" x14ac:dyDescent="0.25">
      <c r="A3280" s="104">
        <v>89424</v>
      </c>
      <c r="B3280" s="105" t="s">
        <v>3410</v>
      </c>
      <c r="C3280" s="106" t="s">
        <v>801</v>
      </c>
      <c r="D3280" s="107">
        <v>3.67</v>
      </c>
    </row>
    <row r="3281" spans="1:4" ht="25.5" x14ac:dyDescent="0.25">
      <c r="A3281" s="104">
        <v>89425</v>
      </c>
      <c r="B3281" s="105" t="s">
        <v>3411</v>
      </c>
      <c r="C3281" s="106" t="s">
        <v>801</v>
      </c>
      <c r="D3281" s="107">
        <v>10.83</v>
      </c>
    </row>
    <row r="3282" spans="1:4" ht="38.25" x14ac:dyDescent="0.25">
      <c r="A3282" s="104">
        <v>89426</v>
      </c>
      <c r="B3282" s="105" t="s">
        <v>3412</v>
      </c>
      <c r="C3282" s="106" t="s">
        <v>801</v>
      </c>
      <c r="D3282" s="107">
        <v>5.87</v>
      </c>
    </row>
    <row r="3283" spans="1:4" ht="38.25" x14ac:dyDescent="0.25">
      <c r="A3283" s="104">
        <v>89427</v>
      </c>
      <c r="B3283" s="105" t="s">
        <v>3413</v>
      </c>
      <c r="C3283" s="106" t="s">
        <v>801</v>
      </c>
      <c r="D3283" s="107">
        <v>8.1999999999999993</v>
      </c>
    </row>
    <row r="3284" spans="1:4" ht="25.5" x14ac:dyDescent="0.25">
      <c r="A3284" s="104">
        <v>89428</v>
      </c>
      <c r="B3284" s="105" t="s">
        <v>3414</v>
      </c>
      <c r="C3284" s="106" t="s">
        <v>801</v>
      </c>
      <c r="D3284" s="107">
        <v>9.84</v>
      </c>
    </row>
    <row r="3285" spans="1:4" ht="38.25" x14ac:dyDescent="0.25">
      <c r="A3285" s="104">
        <v>89429</v>
      </c>
      <c r="B3285" s="105" t="s">
        <v>371</v>
      </c>
      <c r="C3285" s="106" t="s">
        <v>801</v>
      </c>
      <c r="D3285" s="107">
        <v>3.75</v>
      </c>
    </row>
    <row r="3286" spans="1:4" ht="38.25" x14ac:dyDescent="0.25">
      <c r="A3286" s="104">
        <v>89430</v>
      </c>
      <c r="B3286" s="105" t="s">
        <v>3415</v>
      </c>
      <c r="C3286" s="106" t="s">
        <v>801</v>
      </c>
      <c r="D3286" s="107">
        <v>8.32</v>
      </c>
    </row>
    <row r="3287" spans="1:4" ht="25.5" x14ac:dyDescent="0.25">
      <c r="A3287" s="104">
        <v>89431</v>
      </c>
      <c r="B3287" s="105" t="s">
        <v>3416</v>
      </c>
      <c r="C3287" s="106" t="s">
        <v>801</v>
      </c>
      <c r="D3287" s="107">
        <v>5.29</v>
      </c>
    </row>
    <row r="3288" spans="1:4" ht="25.5" x14ac:dyDescent="0.25">
      <c r="A3288" s="104">
        <v>89432</v>
      </c>
      <c r="B3288" s="105" t="s">
        <v>3417</v>
      </c>
      <c r="C3288" s="106" t="s">
        <v>801</v>
      </c>
      <c r="D3288" s="107">
        <v>22.37</v>
      </c>
    </row>
    <row r="3289" spans="1:4" ht="38.25" x14ac:dyDescent="0.25">
      <c r="A3289" s="104">
        <v>89433</v>
      </c>
      <c r="B3289" s="105" t="s">
        <v>3418</v>
      </c>
      <c r="C3289" s="106" t="s">
        <v>801</v>
      </c>
      <c r="D3289" s="107">
        <v>7.22</v>
      </c>
    </row>
    <row r="3290" spans="1:4" ht="38.25" x14ac:dyDescent="0.25">
      <c r="A3290" s="104">
        <v>89434</v>
      </c>
      <c r="B3290" s="105" t="s">
        <v>3419</v>
      </c>
      <c r="C3290" s="106" t="s">
        <v>801</v>
      </c>
      <c r="D3290" s="107">
        <v>7.88</v>
      </c>
    </row>
    <row r="3291" spans="1:4" ht="25.5" x14ac:dyDescent="0.25">
      <c r="A3291" s="104">
        <v>89435</v>
      </c>
      <c r="B3291" s="105" t="s">
        <v>380</v>
      </c>
      <c r="C3291" s="106" t="s">
        <v>801</v>
      </c>
      <c r="D3291" s="107">
        <v>14.92</v>
      </c>
    </row>
    <row r="3292" spans="1:4" ht="38.25" x14ac:dyDescent="0.25">
      <c r="A3292" s="104">
        <v>89436</v>
      </c>
      <c r="B3292" s="105" t="s">
        <v>3420</v>
      </c>
      <c r="C3292" s="106" t="s">
        <v>801</v>
      </c>
      <c r="D3292" s="107">
        <v>5.21</v>
      </c>
    </row>
    <row r="3293" spans="1:4" ht="38.25" x14ac:dyDescent="0.25">
      <c r="A3293" s="104">
        <v>89437</v>
      </c>
      <c r="B3293" s="105" t="s">
        <v>3421</v>
      </c>
      <c r="C3293" s="106" t="s">
        <v>801</v>
      </c>
      <c r="D3293" s="107">
        <v>17.87</v>
      </c>
    </row>
    <row r="3294" spans="1:4" ht="25.5" x14ac:dyDescent="0.25">
      <c r="A3294" s="104">
        <v>89438</v>
      </c>
      <c r="B3294" s="105" t="s">
        <v>3422</v>
      </c>
      <c r="C3294" s="106" t="s">
        <v>801</v>
      </c>
      <c r="D3294" s="107">
        <v>5.42</v>
      </c>
    </row>
    <row r="3295" spans="1:4" ht="38.25" x14ac:dyDescent="0.25">
      <c r="A3295" s="104">
        <v>89439</v>
      </c>
      <c r="B3295" s="105" t="s">
        <v>3423</v>
      </c>
      <c r="C3295" s="106" t="s">
        <v>801</v>
      </c>
      <c r="D3295" s="107">
        <v>6.95</v>
      </c>
    </row>
    <row r="3296" spans="1:4" ht="25.5" x14ac:dyDescent="0.25">
      <c r="A3296" s="104">
        <v>89440</v>
      </c>
      <c r="B3296" s="105" t="s">
        <v>3424</v>
      </c>
      <c r="C3296" s="106" t="s">
        <v>801</v>
      </c>
      <c r="D3296" s="107">
        <v>6.56</v>
      </c>
    </row>
    <row r="3297" spans="1:4" ht="38.25" x14ac:dyDescent="0.25">
      <c r="A3297" s="104">
        <v>89441</v>
      </c>
      <c r="B3297" s="105" t="s">
        <v>3425</v>
      </c>
      <c r="C3297" s="106" t="s">
        <v>801</v>
      </c>
      <c r="D3297" s="107">
        <v>12.3</v>
      </c>
    </row>
    <row r="3298" spans="1:4" ht="38.25" x14ac:dyDescent="0.25">
      <c r="A3298" s="104">
        <v>89442</v>
      </c>
      <c r="B3298" s="105" t="s">
        <v>3426</v>
      </c>
      <c r="C3298" s="106" t="s">
        <v>801</v>
      </c>
      <c r="D3298" s="107">
        <v>8.09</v>
      </c>
    </row>
    <row r="3299" spans="1:4" ht="25.5" x14ac:dyDescent="0.25">
      <c r="A3299" s="104">
        <v>89443</v>
      </c>
      <c r="B3299" s="105" t="s">
        <v>379</v>
      </c>
      <c r="C3299" s="106" t="s">
        <v>801</v>
      </c>
      <c r="D3299" s="107">
        <v>10.119999999999999</v>
      </c>
    </row>
    <row r="3300" spans="1:4" ht="38.25" x14ac:dyDescent="0.25">
      <c r="A3300" s="104">
        <v>89444</v>
      </c>
      <c r="B3300" s="105" t="s">
        <v>3427</v>
      </c>
      <c r="C3300" s="106" t="s">
        <v>801</v>
      </c>
      <c r="D3300" s="107">
        <v>19.850000000000001</v>
      </c>
    </row>
    <row r="3301" spans="1:4" ht="38.25" x14ac:dyDescent="0.25">
      <c r="A3301" s="104">
        <v>89445</v>
      </c>
      <c r="B3301" s="105" t="s">
        <v>3428</v>
      </c>
      <c r="C3301" s="106" t="s">
        <v>801</v>
      </c>
      <c r="D3301" s="107">
        <v>11.63</v>
      </c>
    </row>
    <row r="3302" spans="1:4" ht="25.5" x14ac:dyDescent="0.25">
      <c r="A3302" s="104">
        <v>89481</v>
      </c>
      <c r="B3302" s="105" t="s">
        <v>3429</v>
      </c>
      <c r="C3302" s="106" t="s">
        <v>801</v>
      </c>
      <c r="D3302" s="107">
        <v>3.6</v>
      </c>
    </row>
    <row r="3303" spans="1:4" ht="25.5" x14ac:dyDescent="0.25">
      <c r="A3303" s="104">
        <v>89485</v>
      </c>
      <c r="B3303" s="105" t="s">
        <v>3430</v>
      </c>
      <c r="C3303" s="106" t="s">
        <v>801</v>
      </c>
      <c r="D3303" s="107">
        <v>4.18</v>
      </c>
    </row>
    <row r="3304" spans="1:4" ht="25.5" x14ac:dyDescent="0.25">
      <c r="A3304" s="104">
        <v>89489</v>
      </c>
      <c r="B3304" s="105" t="s">
        <v>3431</v>
      </c>
      <c r="C3304" s="106" t="s">
        <v>801</v>
      </c>
      <c r="D3304" s="107">
        <v>5.38</v>
      </c>
    </row>
    <row r="3305" spans="1:4" ht="25.5" x14ac:dyDescent="0.25">
      <c r="A3305" s="104">
        <v>89490</v>
      </c>
      <c r="B3305" s="105" t="s">
        <v>3432</v>
      </c>
      <c r="C3305" s="106" t="s">
        <v>801</v>
      </c>
      <c r="D3305" s="107">
        <v>4.8499999999999996</v>
      </c>
    </row>
    <row r="3306" spans="1:4" ht="25.5" x14ac:dyDescent="0.25">
      <c r="A3306" s="104">
        <v>89492</v>
      </c>
      <c r="B3306" s="105" t="s">
        <v>3433</v>
      </c>
      <c r="C3306" s="106" t="s">
        <v>801</v>
      </c>
      <c r="D3306" s="107">
        <v>5.51</v>
      </c>
    </row>
    <row r="3307" spans="1:4" ht="25.5" x14ac:dyDescent="0.25">
      <c r="A3307" s="104">
        <v>89493</v>
      </c>
      <c r="B3307" s="105" t="s">
        <v>3434</v>
      </c>
      <c r="C3307" s="106" t="s">
        <v>801</v>
      </c>
      <c r="D3307" s="107">
        <v>7.14</v>
      </c>
    </row>
    <row r="3308" spans="1:4" ht="25.5" x14ac:dyDescent="0.25">
      <c r="A3308" s="104">
        <v>89494</v>
      </c>
      <c r="B3308" s="105" t="s">
        <v>3435</v>
      </c>
      <c r="C3308" s="106" t="s">
        <v>801</v>
      </c>
      <c r="D3308" s="107">
        <v>9.15</v>
      </c>
    </row>
    <row r="3309" spans="1:4" ht="25.5" x14ac:dyDescent="0.25">
      <c r="A3309" s="104">
        <v>89496</v>
      </c>
      <c r="B3309" s="105" t="s">
        <v>3436</v>
      </c>
      <c r="C3309" s="106" t="s">
        <v>801</v>
      </c>
      <c r="D3309" s="107">
        <v>6.79</v>
      </c>
    </row>
    <row r="3310" spans="1:4" ht="25.5" x14ac:dyDescent="0.25">
      <c r="A3310" s="104">
        <v>89497</v>
      </c>
      <c r="B3310" s="105" t="s">
        <v>3437</v>
      </c>
      <c r="C3310" s="106" t="s">
        <v>801</v>
      </c>
      <c r="D3310" s="107">
        <v>8.76</v>
      </c>
    </row>
    <row r="3311" spans="1:4" ht="25.5" x14ac:dyDescent="0.25">
      <c r="A3311" s="104">
        <v>89498</v>
      </c>
      <c r="B3311" s="105" t="s">
        <v>248</v>
      </c>
      <c r="C3311" s="106" t="s">
        <v>801</v>
      </c>
      <c r="D3311" s="107">
        <v>9.5</v>
      </c>
    </row>
    <row r="3312" spans="1:4" ht="25.5" x14ac:dyDescent="0.25">
      <c r="A3312" s="104">
        <v>89499</v>
      </c>
      <c r="B3312" s="105" t="s">
        <v>3438</v>
      </c>
      <c r="C3312" s="106" t="s">
        <v>801</v>
      </c>
      <c r="D3312" s="107">
        <v>14.24</v>
      </c>
    </row>
    <row r="3313" spans="1:4" ht="25.5" x14ac:dyDescent="0.25">
      <c r="A3313" s="104">
        <v>89500</v>
      </c>
      <c r="B3313" s="105" t="s">
        <v>3439</v>
      </c>
      <c r="C3313" s="106" t="s">
        <v>801</v>
      </c>
      <c r="D3313" s="107">
        <v>9.64</v>
      </c>
    </row>
    <row r="3314" spans="1:4" ht="25.5" x14ac:dyDescent="0.25">
      <c r="A3314" s="104">
        <v>89501</v>
      </c>
      <c r="B3314" s="105" t="s">
        <v>252</v>
      </c>
      <c r="C3314" s="106" t="s">
        <v>801</v>
      </c>
      <c r="D3314" s="107">
        <v>10.76</v>
      </c>
    </row>
    <row r="3315" spans="1:4" ht="25.5" x14ac:dyDescent="0.25">
      <c r="A3315" s="104">
        <v>89502</v>
      </c>
      <c r="B3315" s="105" t="s">
        <v>249</v>
      </c>
      <c r="C3315" s="106" t="s">
        <v>801</v>
      </c>
      <c r="D3315" s="107">
        <v>12.1</v>
      </c>
    </row>
    <row r="3316" spans="1:4" ht="25.5" x14ac:dyDescent="0.25">
      <c r="A3316" s="104">
        <v>89503</v>
      </c>
      <c r="B3316" s="105" t="s">
        <v>3440</v>
      </c>
      <c r="C3316" s="106" t="s">
        <v>801</v>
      </c>
      <c r="D3316" s="107">
        <v>17.98</v>
      </c>
    </row>
    <row r="3317" spans="1:4" ht="25.5" x14ac:dyDescent="0.25">
      <c r="A3317" s="104">
        <v>89504</v>
      </c>
      <c r="B3317" s="105" t="s">
        <v>3441</v>
      </c>
      <c r="C3317" s="106" t="s">
        <v>801</v>
      </c>
      <c r="D3317" s="107">
        <v>15.85</v>
      </c>
    </row>
    <row r="3318" spans="1:4" ht="25.5" x14ac:dyDescent="0.25">
      <c r="A3318" s="104">
        <v>89505</v>
      </c>
      <c r="B3318" s="105" t="s">
        <v>3442</v>
      </c>
      <c r="C3318" s="106" t="s">
        <v>801</v>
      </c>
      <c r="D3318" s="107">
        <v>26.69</v>
      </c>
    </row>
    <row r="3319" spans="1:4" ht="25.5" x14ac:dyDescent="0.25">
      <c r="A3319" s="104">
        <v>89506</v>
      </c>
      <c r="B3319" s="105" t="s">
        <v>250</v>
      </c>
      <c r="C3319" s="106" t="s">
        <v>801</v>
      </c>
      <c r="D3319" s="107">
        <v>29.9</v>
      </c>
    </row>
    <row r="3320" spans="1:4" ht="25.5" x14ac:dyDescent="0.25">
      <c r="A3320" s="104">
        <v>89507</v>
      </c>
      <c r="B3320" s="105" t="s">
        <v>3443</v>
      </c>
      <c r="C3320" s="106" t="s">
        <v>801</v>
      </c>
      <c r="D3320" s="107">
        <v>36.590000000000003</v>
      </c>
    </row>
    <row r="3321" spans="1:4" ht="25.5" x14ac:dyDescent="0.25">
      <c r="A3321" s="104">
        <v>89510</v>
      </c>
      <c r="B3321" s="105" t="s">
        <v>3444</v>
      </c>
      <c r="C3321" s="106" t="s">
        <v>801</v>
      </c>
      <c r="D3321" s="107">
        <v>24.32</v>
      </c>
    </row>
    <row r="3322" spans="1:4" ht="25.5" x14ac:dyDescent="0.25">
      <c r="A3322" s="104">
        <v>89513</v>
      </c>
      <c r="B3322" s="105" t="s">
        <v>328</v>
      </c>
      <c r="C3322" s="106" t="s">
        <v>801</v>
      </c>
      <c r="D3322" s="107">
        <v>81.459999999999994</v>
      </c>
    </row>
    <row r="3323" spans="1:4" ht="38.25" x14ac:dyDescent="0.25">
      <c r="A3323" s="104">
        <v>89514</v>
      </c>
      <c r="B3323" s="105" t="s">
        <v>3445</v>
      </c>
      <c r="C3323" s="106" t="s">
        <v>801</v>
      </c>
      <c r="D3323" s="107">
        <v>7.62</v>
      </c>
    </row>
    <row r="3324" spans="1:4" ht="25.5" x14ac:dyDescent="0.25">
      <c r="A3324" s="104">
        <v>89515</v>
      </c>
      <c r="B3324" s="105" t="s">
        <v>3446</v>
      </c>
      <c r="C3324" s="106" t="s">
        <v>801</v>
      </c>
      <c r="D3324" s="107">
        <v>61.9</v>
      </c>
    </row>
    <row r="3325" spans="1:4" ht="38.25" x14ac:dyDescent="0.25">
      <c r="A3325" s="104">
        <v>89516</v>
      </c>
      <c r="B3325" s="105" t="s">
        <v>3447</v>
      </c>
      <c r="C3325" s="106" t="s">
        <v>801</v>
      </c>
      <c r="D3325" s="107">
        <v>6.7</v>
      </c>
    </row>
    <row r="3326" spans="1:4" ht="25.5" x14ac:dyDescent="0.25">
      <c r="A3326" s="104">
        <v>89517</v>
      </c>
      <c r="B3326" s="105" t="s">
        <v>3448</v>
      </c>
      <c r="C3326" s="106" t="s">
        <v>801</v>
      </c>
      <c r="D3326" s="107">
        <v>52.39</v>
      </c>
    </row>
    <row r="3327" spans="1:4" ht="38.25" x14ac:dyDescent="0.25">
      <c r="A3327" s="104">
        <v>89518</v>
      </c>
      <c r="B3327" s="105" t="s">
        <v>301</v>
      </c>
      <c r="C3327" s="106" t="s">
        <v>801</v>
      </c>
      <c r="D3327" s="107">
        <v>10.49</v>
      </c>
    </row>
    <row r="3328" spans="1:4" ht="25.5" x14ac:dyDescent="0.25">
      <c r="A3328" s="104">
        <v>89519</v>
      </c>
      <c r="B3328" s="105" t="s">
        <v>3449</v>
      </c>
      <c r="C3328" s="106" t="s">
        <v>801</v>
      </c>
      <c r="D3328" s="107">
        <v>35.979999999999997</v>
      </c>
    </row>
    <row r="3329" spans="1:4" ht="38.25" x14ac:dyDescent="0.25">
      <c r="A3329" s="104">
        <v>89520</v>
      </c>
      <c r="B3329" s="105" t="s">
        <v>3450</v>
      </c>
      <c r="C3329" s="106" t="s">
        <v>801</v>
      </c>
      <c r="D3329" s="107">
        <v>9.2799999999999994</v>
      </c>
    </row>
    <row r="3330" spans="1:4" ht="25.5" x14ac:dyDescent="0.25">
      <c r="A3330" s="104">
        <v>89521</v>
      </c>
      <c r="B3330" s="105" t="s">
        <v>367</v>
      </c>
      <c r="C3330" s="106" t="s">
        <v>801</v>
      </c>
      <c r="D3330" s="107">
        <v>95.99</v>
      </c>
    </row>
    <row r="3331" spans="1:4" ht="38.25" x14ac:dyDescent="0.25">
      <c r="A3331" s="104">
        <v>89522</v>
      </c>
      <c r="B3331" s="105" t="s">
        <v>300</v>
      </c>
      <c r="C3331" s="106" t="s">
        <v>801</v>
      </c>
      <c r="D3331" s="107">
        <v>20.97</v>
      </c>
    </row>
    <row r="3332" spans="1:4" ht="25.5" x14ac:dyDescent="0.25">
      <c r="A3332" s="104">
        <v>89523</v>
      </c>
      <c r="B3332" s="105" t="s">
        <v>3451</v>
      </c>
      <c r="C3332" s="106" t="s">
        <v>801</v>
      </c>
      <c r="D3332" s="107">
        <v>72.97</v>
      </c>
    </row>
    <row r="3333" spans="1:4" ht="38.25" x14ac:dyDescent="0.25">
      <c r="A3333" s="104">
        <v>89524</v>
      </c>
      <c r="B3333" s="105" t="s">
        <v>312</v>
      </c>
      <c r="C3333" s="106" t="s">
        <v>801</v>
      </c>
      <c r="D3333" s="107">
        <v>18.649999999999999</v>
      </c>
    </row>
    <row r="3334" spans="1:4" ht="25.5" x14ac:dyDescent="0.25">
      <c r="A3334" s="104">
        <v>89525</v>
      </c>
      <c r="B3334" s="105" t="s">
        <v>3452</v>
      </c>
      <c r="C3334" s="106" t="s">
        <v>801</v>
      </c>
      <c r="D3334" s="107">
        <v>71.8</v>
      </c>
    </row>
    <row r="3335" spans="1:4" ht="38.25" x14ac:dyDescent="0.25">
      <c r="A3335" s="104">
        <v>89526</v>
      </c>
      <c r="B3335" s="105" t="s">
        <v>3453</v>
      </c>
      <c r="C3335" s="106" t="s">
        <v>801</v>
      </c>
      <c r="D3335" s="107">
        <v>27.1</v>
      </c>
    </row>
    <row r="3336" spans="1:4" ht="25.5" x14ac:dyDescent="0.25">
      <c r="A3336" s="104">
        <v>89527</v>
      </c>
      <c r="B3336" s="105" t="s">
        <v>3454</v>
      </c>
      <c r="C3336" s="106" t="s">
        <v>801</v>
      </c>
      <c r="D3336" s="107">
        <v>55.65</v>
      </c>
    </row>
    <row r="3337" spans="1:4" ht="25.5" x14ac:dyDescent="0.25">
      <c r="A3337" s="104">
        <v>89528</v>
      </c>
      <c r="B3337" s="105" t="s">
        <v>3455</v>
      </c>
      <c r="C3337" s="106" t="s">
        <v>801</v>
      </c>
      <c r="D3337" s="107">
        <v>3.01</v>
      </c>
    </row>
    <row r="3338" spans="1:4" ht="38.25" x14ac:dyDescent="0.25">
      <c r="A3338" s="104">
        <v>89529</v>
      </c>
      <c r="B3338" s="105" t="s">
        <v>298</v>
      </c>
      <c r="C3338" s="106" t="s">
        <v>801</v>
      </c>
      <c r="D3338" s="107">
        <v>30.9</v>
      </c>
    </row>
    <row r="3339" spans="1:4" ht="25.5" x14ac:dyDescent="0.25">
      <c r="A3339" s="104">
        <v>89530</v>
      </c>
      <c r="B3339" s="105" t="s">
        <v>3456</v>
      </c>
      <c r="C3339" s="106" t="s">
        <v>801</v>
      </c>
      <c r="D3339" s="107">
        <v>10.17</v>
      </c>
    </row>
    <row r="3340" spans="1:4" ht="38.25" x14ac:dyDescent="0.25">
      <c r="A3340" s="104">
        <v>89531</v>
      </c>
      <c r="B3340" s="105" t="s">
        <v>3457</v>
      </c>
      <c r="C3340" s="106" t="s">
        <v>801</v>
      </c>
      <c r="D3340" s="107">
        <v>25.26</v>
      </c>
    </row>
    <row r="3341" spans="1:4" ht="25.5" x14ac:dyDescent="0.25">
      <c r="A3341" s="104">
        <v>89532</v>
      </c>
      <c r="B3341" s="105" t="s">
        <v>3458</v>
      </c>
      <c r="C3341" s="106" t="s">
        <v>801</v>
      </c>
      <c r="D3341" s="107">
        <v>5.21</v>
      </c>
    </row>
    <row r="3342" spans="1:4" ht="38.25" x14ac:dyDescent="0.25">
      <c r="A3342" s="104">
        <v>89533</v>
      </c>
      <c r="B3342" s="105" t="s">
        <v>3459</v>
      </c>
      <c r="C3342" s="106" t="s">
        <v>801</v>
      </c>
      <c r="D3342" s="107">
        <v>25.26</v>
      </c>
    </row>
    <row r="3343" spans="1:4" ht="38.25" x14ac:dyDescent="0.25">
      <c r="A3343" s="104">
        <v>89534</v>
      </c>
      <c r="B3343" s="105" t="s">
        <v>3460</v>
      </c>
      <c r="C3343" s="106" t="s">
        <v>801</v>
      </c>
      <c r="D3343" s="107">
        <v>3.65</v>
      </c>
    </row>
    <row r="3344" spans="1:4" ht="38.25" x14ac:dyDescent="0.25">
      <c r="A3344" s="104">
        <v>89535</v>
      </c>
      <c r="B3344" s="105" t="s">
        <v>3461</v>
      </c>
      <c r="C3344" s="106" t="s">
        <v>801</v>
      </c>
      <c r="D3344" s="107">
        <v>39.75</v>
      </c>
    </row>
    <row r="3345" spans="1:4" ht="25.5" x14ac:dyDescent="0.25">
      <c r="A3345" s="104">
        <v>89536</v>
      </c>
      <c r="B3345" s="105" t="s">
        <v>3462</v>
      </c>
      <c r="C3345" s="106" t="s">
        <v>801</v>
      </c>
      <c r="D3345" s="107">
        <v>9.18</v>
      </c>
    </row>
    <row r="3346" spans="1:4" ht="38.25" x14ac:dyDescent="0.25">
      <c r="A3346" s="104">
        <v>89538</v>
      </c>
      <c r="B3346" s="105" t="s">
        <v>3463</v>
      </c>
      <c r="C3346" s="106" t="s">
        <v>801</v>
      </c>
      <c r="D3346" s="107">
        <v>3.09</v>
      </c>
    </row>
    <row r="3347" spans="1:4" ht="25.5" x14ac:dyDescent="0.25">
      <c r="A3347" s="104">
        <v>89540</v>
      </c>
      <c r="B3347" s="105" t="s">
        <v>3464</v>
      </c>
      <c r="C3347" s="106" t="s">
        <v>801</v>
      </c>
      <c r="D3347" s="107">
        <v>7.66</v>
      </c>
    </row>
    <row r="3348" spans="1:4" ht="25.5" x14ac:dyDescent="0.25">
      <c r="A3348" s="104">
        <v>89541</v>
      </c>
      <c r="B3348" s="105" t="s">
        <v>3465</v>
      </c>
      <c r="C3348" s="106" t="s">
        <v>801</v>
      </c>
      <c r="D3348" s="107">
        <v>4.55</v>
      </c>
    </row>
    <row r="3349" spans="1:4" ht="25.5" x14ac:dyDescent="0.25">
      <c r="A3349" s="104">
        <v>89542</v>
      </c>
      <c r="B3349" s="105" t="s">
        <v>3466</v>
      </c>
      <c r="C3349" s="106" t="s">
        <v>801</v>
      </c>
      <c r="D3349" s="107">
        <v>21.63</v>
      </c>
    </row>
    <row r="3350" spans="1:4" ht="38.25" x14ac:dyDescent="0.25">
      <c r="A3350" s="104">
        <v>89544</v>
      </c>
      <c r="B3350" s="105" t="s">
        <v>3467</v>
      </c>
      <c r="C3350" s="106" t="s">
        <v>801</v>
      </c>
      <c r="D3350" s="107">
        <v>6.79</v>
      </c>
    </row>
    <row r="3351" spans="1:4" ht="38.25" x14ac:dyDescent="0.25">
      <c r="A3351" s="104">
        <v>89545</v>
      </c>
      <c r="B3351" s="105" t="s">
        <v>306</v>
      </c>
      <c r="C3351" s="106" t="s">
        <v>801</v>
      </c>
      <c r="D3351" s="107">
        <v>9.6</v>
      </c>
    </row>
    <row r="3352" spans="1:4" ht="38.25" x14ac:dyDescent="0.25">
      <c r="A3352" s="104">
        <v>89546</v>
      </c>
      <c r="B3352" s="105" t="s">
        <v>3468</v>
      </c>
      <c r="C3352" s="106" t="s">
        <v>801</v>
      </c>
      <c r="D3352" s="107">
        <v>8.3800000000000008</v>
      </c>
    </row>
    <row r="3353" spans="1:4" ht="38.25" x14ac:dyDescent="0.25">
      <c r="A3353" s="104">
        <v>89547</v>
      </c>
      <c r="B3353" s="105" t="s">
        <v>307</v>
      </c>
      <c r="C3353" s="106" t="s">
        <v>801</v>
      </c>
      <c r="D3353" s="107">
        <v>14.5</v>
      </c>
    </row>
    <row r="3354" spans="1:4" ht="38.25" x14ac:dyDescent="0.25">
      <c r="A3354" s="104">
        <v>89548</v>
      </c>
      <c r="B3354" s="105" t="s">
        <v>3469</v>
      </c>
      <c r="C3354" s="106" t="s">
        <v>801</v>
      </c>
      <c r="D3354" s="107">
        <v>15.65</v>
      </c>
    </row>
    <row r="3355" spans="1:4" ht="38.25" x14ac:dyDescent="0.25">
      <c r="A3355" s="104">
        <v>89549</v>
      </c>
      <c r="B3355" s="105" t="s">
        <v>3470</v>
      </c>
      <c r="C3355" s="106" t="s">
        <v>801</v>
      </c>
      <c r="D3355" s="107">
        <v>11.41</v>
      </c>
    </row>
    <row r="3356" spans="1:4" ht="38.25" x14ac:dyDescent="0.25">
      <c r="A3356" s="104">
        <v>89550</v>
      </c>
      <c r="B3356" s="105" t="s">
        <v>3471</v>
      </c>
      <c r="C3356" s="106" t="s">
        <v>801</v>
      </c>
      <c r="D3356" s="107">
        <v>27.16</v>
      </c>
    </row>
    <row r="3357" spans="1:4" ht="38.25" x14ac:dyDescent="0.25">
      <c r="A3357" s="104">
        <v>89551</v>
      </c>
      <c r="B3357" s="105" t="s">
        <v>3472</v>
      </c>
      <c r="C3357" s="106" t="s">
        <v>801</v>
      </c>
      <c r="D3357" s="107">
        <v>7.14</v>
      </c>
    </row>
    <row r="3358" spans="1:4" ht="25.5" x14ac:dyDescent="0.25">
      <c r="A3358" s="104">
        <v>89552</v>
      </c>
      <c r="B3358" s="105" t="s">
        <v>3473</v>
      </c>
      <c r="C3358" s="106" t="s">
        <v>801</v>
      </c>
      <c r="D3358" s="107">
        <v>14.18</v>
      </c>
    </row>
    <row r="3359" spans="1:4" ht="38.25" x14ac:dyDescent="0.25">
      <c r="A3359" s="104">
        <v>89553</v>
      </c>
      <c r="B3359" s="105" t="s">
        <v>3474</v>
      </c>
      <c r="C3359" s="106" t="s">
        <v>801</v>
      </c>
      <c r="D3359" s="107">
        <v>4.47</v>
      </c>
    </row>
    <row r="3360" spans="1:4" ht="38.25" x14ac:dyDescent="0.25">
      <c r="A3360" s="104">
        <v>89554</v>
      </c>
      <c r="B3360" s="105" t="s">
        <v>305</v>
      </c>
      <c r="C3360" s="106" t="s">
        <v>801</v>
      </c>
      <c r="D3360" s="107">
        <v>17.84</v>
      </c>
    </row>
    <row r="3361" spans="1:4" ht="25.5" x14ac:dyDescent="0.25">
      <c r="A3361" s="104">
        <v>89555</v>
      </c>
      <c r="B3361" s="105" t="s">
        <v>3475</v>
      </c>
      <c r="C3361" s="106" t="s">
        <v>801</v>
      </c>
      <c r="D3361" s="107">
        <v>17.13</v>
      </c>
    </row>
    <row r="3362" spans="1:4" ht="38.25" x14ac:dyDescent="0.25">
      <c r="A3362" s="104">
        <v>89556</v>
      </c>
      <c r="B3362" s="105" t="s">
        <v>3476</v>
      </c>
      <c r="C3362" s="106" t="s">
        <v>801</v>
      </c>
      <c r="D3362" s="107">
        <v>25.73</v>
      </c>
    </row>
    <row r="3363" spans="1:4" ht="38.25" x14ac:dyDescent="0.25">
      <c r="A3363" s="104">
        <v>89557</v>
      </c>
      <c r="B3363" s="105" t="s">
        <v>313</v>
      </c>
      <c r="C3363" s="106" t="s">
        <v>801</v>
      </c>
      <c r="D3363" s="107">
        <v>20.55</v>
      </c>
    </row>
    <row r="3364" spans="1:4" ht="25.5" x14ac:dyDescent="0.25">
      <c r="A3364" s="104">
        <v>89558</v>
      </c>
      <c r="B3364" s="105" t="s">
        <v>3477</v>
      </c>
      <c r="C3364" s="106" t="s">
        <v>801</v>
      </c>
      <c r="D3364" s="107">
        <v>6.83</v>
      </c>
    </row>
    <row r="3365" spans="1:4" ht="38.25" x14ac:dyDescent="0.25">
      <c r="A3365" s="104">
        <v>89559</v>
      </c>
      <c r="B3365" s="105" t="s">
        <v>3478</v>
      </c>
      <c r="C3365" s="106" t="s">
        <v>801</v>
      </c>
      <c r="D3365" s="107">
        <v>44.54</v>
      </c>
    </row>
    <row r="3366" spans="1:4" ht="38.25" x14ac:dyDescent="0.25">
      <c r="A3366" s="104">
        <v>89561</v>
      </c>
      <c r="B3366" s="105" t="s">
        <v>3479</v>
      </c>
      <c r="C3366" s="106" t="s">
        <v>801</v>
      </c>
      <c r="D3366" s="107">
        <v>9.99</v>
      </c>
    </row>
    <row r="3367" spans="1:4" ht="25.5" x14ac:dyDescent="0.25">
      <c r="A3367" s="104">
        <v>89562</v>
      </c>
      <c r="B3367" s="105" t="s">
        <v>3480</v>
      </c>
      <c r="C3367" s="106" t="s">
        <v>801</v>
      </c>
      <c r="D3367" s="107">
        <v>7.25</v>
      </c>
    </row>
    <row r="3368" spans="1:4" ht="38.25" x14ac:dyDescent="0.25">
      <c r="A3368" s="104">
        <v>89563</v>
      </c>
      <c r="B3368" s="105" t="s">
        <v>3481</v>
      </c>
      <c r="C3368" s="106" t="s">
        <v>801</v>
      </c>
      <c r="D3368" s="107">
        <v>15.93</v>
      </c>
    </row>
    <row r="3369" spans="1:4" ht="25.5" x14ac:dyDescent="0.25">
      <c r="A3369" s="104">
        <v>89564</v>
      </c>
      <c r="B3369" s="105" t="s">
        <v>3482</v>
      </c>
      <c r="C3369" s="106" t="s">
        <v>801</v>
      </c>
      <c r="D3369" s="107">
        <v>12.83</v>
      </c>
    </row>
    <row r="3370" spans="1:4" ht="38.25" x14ac:dyDescent="0.25">
      <c r="A3370" s="104">
        <v>89565</v>
      </c>
      <c r="B3370" s="105" t="s">
        <v>3483</v>
      </c>
      <c r="C3370" s="106" t="s">
        <v>801</v>
      </c>
      <c r="D3370" s="107">
        <v>38.340000000000003</v>
      </c>
    </row>
    <row r="3371" spans="1:4" ht="38.25" x14ac:dyDescent="0.25">
      <c r="A3371" s="104">
        <v>89566</v>
      </c>
      <c r="B3371" s="105" t="s">
        <v>3484</v>
      </c>
      <c r="C3371" s="106" t="s">
        <v>801</v>
      </c>
      <c r="D3371" s="107">
        <v>33.340000000000003</v>
      </c>
    </row>
    <row r="3372" spans="1:4" ht="38.25" x14ac:dyDescent="0.25">
      <c r="A3372" s="104">
        <v>89567</v>
      </c>
      <c r="B3372" s="105" t="s">
        <v>3485</v>
      </c>
      <c r="C3372" s="106" t="s">
        <v>801</v>
      </c>
      <c r="D3372" s="107">
        <v>56.28</v>
      </c>
    </row>
    <row r="3373" spans="1:4" ht="25.5" x14ac:dyDescent="0.25">
      <c r="A3373" s="104">
        <v>89568</v>
      </c>
      <c r="B3373" s="105" t="s">
        <v>264</v>
      </c>
      <c r="C3373" s="106" t="s">
        <v>801</v>
      </c>
      <c r="D3373" s="107">
        <v>25.48</v>
      </c>
    </row>
    <row r="3374" spans="1:4" ht="38.25" x14ac:dyDescent="0.25">
      <c r="A3374" s="104">
        <v>89569</v>
      </c>
      <c r="B3374" s="105" t="s">
        <v>3486</v>
      </c>
      <c r="C3374" s="106" t="s">
        <v>801</v>
      </c>
      <c r="D3374" s="107">
        <v>53.28</v>
      </c>
    </row>
    <row r="3375" spans="1:4" ht="38.25" x14ac:dyDescent="0.25">
      <c r="A3375" s="104">
        <v>89570</v>
      </c>
      <c r="B3375" s="105" t="s">
        <v>3487</v>
      </c>
      <c r="C3375" s="106" t="s">
        <v>801</v>
      </c>
      <c r="D3375" s="107">
        <v>9.1999999999999993</v>
      </c>
    </row>
    <row r="3376" spans="1:4" ht="38.25" x14ac:dyDescent="0.25">
      <c r="A3376" s="104">
        <v>89571</v>
      </c>
      <c r="B3376" s="105" t="s">
        <v>314</v>
      </c>
      <c r="C3376" s="106" t="s">
        <v>801</v>
      </c>
      <c r="D3376" s="107">
        <v>51.9</v>
      </c>
    </row>
    <row r="3377" spans="1:4" ht="38.25" x14ac:dyDescent="0.25">
      <c r="A3377" s="104">
        <v>89572</v>
      </c>
      <c r="B3377" s="105" t="s">
        <v>3488</v>
      </c>
      <c r="C3377" s="106" t="s">
        <v>801</v>
      </c>
      <c r="D3377" s="107">
        <v>6.49</v>
      </c>
    </row>
    <row r="3378" spans="1:4" ht="38.25" x14ac:dyDescent="0.25">
      <c r="A3378" s="104">
        <v>89573</v>
      </c>
      <c r="B3378" s="105" t="s">
        <v>315</v>
      </c>
      <c r="C3378" s="106" t="s">
        <v>801</v>
      </c>
      <c r="D3378" s="107">
        <v>47.34</v>
      </c>
    </row>
    <row r="3379" spans="1:4" ht="38.25" x14ac:dyDescent="0.25">
      <c r="A3379" s="104">
        <v>89574</v>
      </c>
      <c r="B3379" s="105" t="s">
        <v>3489</v>
      </c>
      <c r="C3379" s="106" t="s">
        <v>801</v>
      </c>
      <c r="D3379" s="107">
        <v>91.28</v>
      </c>
    </row>
    <row r="3380" spans="1:4" ht="25.5" x14ac:dyDescent="0.25">
      <c r="A3380" s="104">
        <v>89575</v>
      </c>
      <c r="B3380" s="105" t="s">
        <v>253</v>
      </c>
      <c r="C3380" s="106" t="s">
        <v>801</v>
      </c>
      <c r="D3380" s="107">
        <v>8.85</v>
      </c>
    </row>
    <row r="3381" spans="1:4" ht="25.5" x14ac:dyDescent="0.25">
      <c r="A3381" s="104">
        <v>89577</v>
      </c>
      <c r="B3381" s="105" t="s">
        <v>3490</v>
      </c>
      <c r="C3381" s="106" t="s">
        <v>801</v>
      </c>
      <c r="D3381" s="107">
        <v>26.41</v>
      </c>
    </row>
    <row r="3382" spans="1:4" ht="25.5" x14ac:dyDescent="0.25">
      <c r="A3382" s="104">
        <v>89579</v>
      </c>
      <c r="B3382" s="105" t="s">
        <v>3491</v>
      </c>
      <c r="C3382" s="106" t="s">
        <v>801</v>
      </c>
      <c r="D3382" s="107">
        <v>9.0500000000000007</v>
      </c>
    </row>
    <row r="3383" spans="1:4" ht="38.25" x14ac:dyDescent="0.25">
      <c r="A3383" s="104">
        <v>89581</v>
      </c>
      <c r="B3383" s="105" t="s">
        <v>3492</v>
      </c>
      <c r="C3383" s="106" t="s">
        <v>801</v>
      </c>
      <c r="D3383" s="107">
        <v>19.71</v>
      </c>
    </row>
    <row r="3384" spans="1:4" ht="38.25" x14ac:dyDescent="0.25">
      <c r="A3384" s="104">
        <v>89582</v>
      </c>
      <c r="B3384" s="105" t="s">
        <v>3493</v>
      </c>
      <c r="C3384" s="106" t="s">
        <v>801</v>
      </c>
      <c r="D3384" s="107">
        <v>17.39</v>
      </c>
    </row>
    <row r="3385" spans="1:4" ht="38.25" x14ac:dyDescent="0.25">
      <c r="A3385" s="104">
        <v>89583</v>
      </c>
      <c r="B3385" s="105" t="s">
        <v>3494</v>
      </c>
      <c r="C3385" s="106" t="s">
        <v>801</v>
      </c>
      <c r="D3385" s="107">
        <v>25.84</v>
      </c>
    </row>
    <row r="3386" spans="1:4" ht="38.25" x14ac:dyDescent="0.25">
      <c r="A3386" s="104">
        <v>89584</v>
      </c>
      <c r="B3386" s="105" t="s">
        <v>3495</v>
      </c>
      <c r="C3386" s="106" t="s">
        <v>801</v>
      </c>
      <c r="D3386" s="107">
        <v>29.62</v>
      </c>
    </row>
    <row r="3387" spans="1:4" ht="38.25" x14ac:dyDescent="0.25">
      <c r="A3387" s="104">
        <v>89585</v>
      </c>
      <c r="B3387" s="105" t="s">
        <v>3496</v>
      </c>
      <c r="C3387" s="106" t="s">
        <v>801</v>
      </c>
      <c r="D3387" s="107">
        <v>23.98</v>
      </c>
    </row>
    <row r="3388" spans="1:4" ht="38.25" x14ac:dyDescent="0.25">
      <c r="A3388" s="104">
        <v>89586</v>
      </c>
      <c r="B3388" s="105" t="s">
        <v>3497</v>
      </c>
      <c r="C3388" s="106" t="s">
        <v>801</v>
      </c>
      <c r="D3388" s="107">
        <v>23.98</v>
      </c>
    </row>
    <row r="3389" spans="1:4" ht="38.25" x14ac:dyDescent="0.25">
      <c r="A3389" s="104">
        <v>89587</v>
      </c>
      <c r="B3389" s="105" t="s">
        <v>3498</v>
      </c>
      <c r="C3389" s="106" t="s">
        <v>801</v>
      </c>
      <c r="D3389" s="107">
        <v>38.47</v>
      </c>
    </row>
    <row r="3390" spans="1:4" ht="38.25" x14ac:dyDescent="0.25">
      <c r="A3390" s="104">
        <v>89590</v>
      </c>
      <c r="B3390" s="105" t="s">
        <v>299</v>
      </c>
      <c r="C3390" s="106" t="s">
        <v>801</v>
      </c>
      <c r="D3390" s="107">
        <v>93.74</v>
      </c>
    </row>
    <row r="3391" spans="1:4" ht="38.25" x14ac:dyDescent="0.25">
      <c r="A3391" s="104">
        <v>89591</v>
      </c>
      <c r="B3391" s="105" t="s">
        <v>297</v>
      </c>
      <c r="C3391" s="106" t="s">
        <v>801</v>
      </c>
      <c r="D3391" s="107">
        <v>77.540000000000006</v>
      </c>
    </row>
    <row r="3392" spans="1:4" ht="38.25" x14ac:dyDescent="0.25">
      <c r="A3392" s="104">
        <v>89592</v>
      </c>
      <c r="B3392" s="105" t="s">
        <v>3499</v>
      </c>
      <c r="C3392" s="106" t="s">
        <v>801</v>
      </c>
      <c r="D3392" s="107">
        <v>124.64</v>
      </c>
    </row>
    <row r="3393" spans="1:4" ht="25.5" x14ac:dyDescent="0.25">
      <c r="A3393" s="104">
        <v>89593</v>
      </c>
      <c r="B3393" s="105" t="s">
        <v>3500</v>
      </c>
      <c r="C3393" s="106" t="s">
        <v>801</v>
      </c>
      <c r="D3393" s="107">
        <v>23.98</v>
      </c>
    </row>
    <row r="3394" spans="1:4" ht="25.5" x14ac:dyDescent="0.25">
      <c r="A3394" s="104">
        <v>89594</v>
      </c>
      <c r="B3394" s="105" t="s">
        <v>3501</v>
      </c>
      <c r="C3394" s="106" t="s">
        <v>801</v>
      </c>
      <c r="D3394" s="107">
        <v>28.77</v>
      </c>
    </row>
    <row r="3395" spans="1:4" ht="38.25" x14ac:dyDescent="0.25">
      <c r="A3395" s="104">
        <v>89595</v>
      </c>
      <c r="B3395" s="105" t="s">
        <v>3502</v>
      </c>
      <c r="C3395" s="106" t="s">
        <v>801</v>
      </c>
      <c r="D3395" s="107">
        <v>11.52</v>
      </c>
    </row>
    <row r="3396" spans="1:4" ht="38.25" x14ac:dyDescent="0.25">
      <c r="A3396" s="104">
        <v>89596</v>
      </c>
      <c r="B3396" s="105" t="s">
        <v>3503</v>
      </c>
      <c r="C3396" s="106" t="s">
        <v>801</v>
      </c>
      <c r="D3396" s="107">
        <v>8.7100000000000009</v>
      </c>
    </row>
    <row r="3397" spans="1:4" ht="25.5" x14ac:dyDescent="0.25">
      <c r="A3397" s="104">
        <v>89597</v>
      </c>
      <c r="B3397" s="105" t="s">
        <v>3504</v>
      </c>
      <c r="C3397" s="106" t="s">
        <v>801</v>
      </c>
      <c r="D3397" s="107">
        <v>15.93</v>
      </c>
    </row>
    <row r="3398" spans="1:4" ht="25.5" x14ac:dyDescent="0.25">
      <c r="A3398" s="104">
        <v>89598</v>
      </c>
      <c r="B3398" s="105" t="s">
        <v>3505</v>
      </c>
      <c r="C3398" s="106" t="s">
        <v>801</v>
      </c>
      <c r="D3398" s="107">
        <v>39.72</v>
      </c>
    </row>
    <row r="3399" spans="1:4" ht="38.25" x14ac:dyDescent="0.25">
      <c r="A3399" s="104">
        <v>89599</v>
      </c>
      <c r="B3399" s="105" t="s">
        <v>3506</v>
      </c>
      <c r="C3399" s="106" t="s">
        <v>801</v>
      </c>
      <c r="D3399" s="107">
        <v>13.55</v>
      </c>
    </row>
    <row r="3400" spans="1:4" ht="38.25" x14ac:dyDescent="0.25">
      <c r="A3400" s="104">
        <v>89600</v>
      </c>
      <c r="B3400" s="105" t="s">
        <v>3507</v>
      </c>
      <c r="C3400" s="106" t="s">
        <v>801</v>
      </c>
      <c r="D3400" s="107">
        <v>14.7</v>
      </c>
    </row>
    <row r="3401" spans="1:4" ht="25.5" x14ac:dyDescent="0.25">
      <c r="A3401" s="104">
        <v>89605</v>
      </c>
      <c r="B3401" s="105" t="s">
        <v>3508</v>
      </c>
      <c r="C3401" s="106" t="s">
        <v>801</v>
      </c>
      <c r="D3401" s="107">
        <v>15.58</v>
      </c>
    </row>
    <row r="3402" spans="1:4" ht="25.5" x14ac:dyDescent="0.25">
      <c r="A3402" s="104">
        <v>89609</v>
      </c>
      <c r="B3402" s="105" t="s">
        <v>3509</v>
      </c>
      <c r="C3402" s="106" t="s">
        <v>801</v>
      </c>
      <c r="D3402" s="107">
        <v>65.760000000000005</v>
      </c>
    </row>
    <row r="3403" spans="1:4" ht="38.25" x14ac:dyDescent="0.25">
      <c r="A3403" s="104">
        <v>89610</v>
      </c>
      <c r="B3403" s="105" t="s">
        <v>3510</v>
      </c>
      <c r="C3403" s="106" t="s">
        <v>801</v>
      </c>
      <c r="D3403" s="107">
        <v>15.94</v>
      </c>
    </row>
    <row r="3404" spans="1:4" ht="25.5" x14ac:dyDescent="0.25">
      <c r="A3404" s="104">
        <v>89611</v>
      </c>
      <c r="B3404" s="105" t="s">
        <v>3511</v>
      </c>
      <c r="C3404" s="106" t="s">
        <v>801</v>
      </c>
      <c r="D3404" s="107">
        <v>26.18</v>
      </c>
    </row>
    <row r="3405" spans="1:4" ht="25.5" x14ac:dyDescent="0.25">
      <c r="A3405" s="104">
        <v>89612</v>
      </c>
      <c r="B3405" s="105" t="s">
        <v>3512</v>
      </c>
      <c r="C3405" s="106" t="s">
        <v>801</v>
      </c>
      <c r="D3405" s="107">
        <v>129.25</v>
      </c>
    </row>
    <row r="3406" spans="1:4" ht="38.25" x14ac:dyDescent="0.25">
      <c r="A3406" s="104">
        <v>89613</v>
      </c>
      <c r="B3406" s="105" t="s">
        <v>3513</v>
      </c>
      <c r="C3406" s="106" t="s">
        <v>801</v>
      </c>
      <c r="D3406" s="107">
        <v>23.6</v>
      </c>
    </row>
    <row r="3407" spans="1:4" ht="25.5" x14ac:dyDescent="0.25">
      <c r="A3407" s="104">
        <v>89614</v>
      </c>
      <c r="B3407" s="105" t="s">
        <v>368</v>
      </c>
      <c r="C3407" s="106" t="s">
        <v>801</v>
      </c>
      <c r="D3407" s="107">
        <v>48.14</v>
      </c>
    </row>
    <row r="3408" spans="1:4" ht="25.5" x14ac:dyDescent="0.25">
      <c r="A3408" s="104">
        <v>89615</v>
      </c>
      <c r="B3408" s="105" t="s">
        <v>3514</v>
      </c>
      <c r="C3408" s="106" t="s">
        <v>801</v>
      </c>
      <c r="D3408" s="107">
        <v>194.74</v>
      </c>
    </row>
    <row r="3409" spans="1:4" ht="38.25" x14ac:dyDescent="0.25">
      <c r="A3409" s="104">
        <v>89616</v>
      </c>
      <c r="B3409" s="105" t="s">
        <v>3515</v>
      </c>
      <c r="C3409" s="106" t="s">
        <v>801</v>
      </c>
      <c r="D3409" s="107">
        <v>33.67</v>
      </c>
    </row>
    <row r="3410" spans="1:4" ht="25.5" x14ac:dyDescent="0.25">
      <c r="A3410" s="104">
        <v>89617</v>
      </c>
      <c r="B3410" s="105" t="s">
        <v>3516</v>
      </c>
      <c r="C3410" s="106" t="s">
        <v>801</v>
      </c>
      <c r="D3410" s="107">
        <v>5.24</v>
      </c>
    </row>
    <row r="3411" spans="1:4" ht="38.25" x14ac:dyDescent="0.25">
      <c r="A3411" s="104">
        <v>89618</v>
      </c>
      <c r="B3411" s="105" t="s">
        <v>3517</v>
      </c>
      <c r="C3411" s="106" t="s">
        <v>801</v>
      </c>
      <c r="D3411" s="107">
        <v>10.98</v>
      </c>
    </row>
    <row r="3412" spans="1:4" ht="25.5" x14ac:dyDescent="0.25">
      <c r="A3412" s="104">
        <v>89619</v>
      </c>
      <c r="B3412" s="105" t="s">
        <v>369</v>
      </c>
      <c r="C3412" s="106" t="s">
        <v>801</v>
      </c>
      <c r="D3412" s="107">
        <v>6.77</v>
      </c>
    </row>
    <row r="3413" spans="1:4" ht="25.5" x14ac:dyDescent="0.25">
      <c r="A3413" s="104">
        <v>89620</v>
      </c>
      <c r="B3413" s="105" t="s">
        <v>3518</v>
      </c>
      <c r="C3413" s="106" t="s">
        <v>801</v>
      </c>
      <c r="D3413" s="107">
        <v>8.6300000000000008</v>
      </c>
    </row>
    <row r="3414" spans="1:4" ht="38.25" x14ac:dyDescent="0.25">
      <c r="A3414" s="104">
        <v>89621</v>
      </c>
      <c r="B3414" s="105" t="s">
        <v>3519</v>
      </c>
      <c r="C3414" s="106" t="s">
        <v>801</v>
      </c>
      <c r="D3414" s="107">
        <v>18.36</v>
      </c>
    </row>
    <row r="3415" spans="1:4" ht="25.5" x14ac:dyDescent="0.25">
      <c r="A3415" s="104">
        <v>89622</v>
      </c>
      <c r="B3415" s="105" t="s">
        <v>3520</v>
      </c>
      <c r="C3415" s="106" t="s">
        <v>801</v>
      </c>
      <c r="D3415" s="107">
        <v>10.14</v>
      </c>
    </row>
    <row r="3416" spans="1:4" ht="25.5" x14ac:dyDescent="0.25">
      <c r="A3416" s="104">
        <v>89623</v>
      </c>
      <c r="B3416" s="105" t="s">
        <v>3521</v>
      </c>
      <c r="C3416" s="106" t="s">
        <v>801</v>
      </c>
      <c r="D3416" s="107">
        <v>13.65</v>
      </c>
    </row>
    <row r="3417" spans="1:4" ht="25.5" x14ac:dyDescent="0.25">
      <c r="A3417" s="104">
        <v>89624</v>
      </c>
      <c r="B3417" s="105" t="s">
        <v>3522</v>
      </c>
      <c r="C3417" s="106" t="s">
        <v>801</v>
      </c>
      <c r="D3417" s="107">
        <v>14.42</v>
      </c>
    </row>
    <row r="3418" spans="1:4" ht="25.5" x14ac:dyDescent="0.25">
      <c r="A3418" s="104">
        <v>89625</v>
      </c>
      <c r="B3418" s="105" t="s">
        <v>260</v>
      </c>
      <c r="C3418" s="106" t="s">
        <v>801</v>
      </c>
      <c r="D3418" s="107">
        <v>16.79</v>
      </c>
    </row>
    <row r="3419" spans="1:4" ht="25.5" x14ac:dyDescent="0.25">
      <c r="A3419" s="104">
        <v>89626</v>
      </c>
      <c r="B3419" s="105" t="s">
        <v>3523</v>
      </c>
      <c r="C3419" s="106" t="s">
        <v>801</v>
      </c>
      <c r="D3419" s="107">
        <v>22.7</v>
      </c>
    </row>
    <row r="3420" spans="1:4" ht="25.5" x14ac:dyDescent="0.25">
      <c r="A3420" s="104">
        <v>89627</v>
      </c>
      <c r="B3420" s="105" t="s">
        <v>262</v>
      </c>
      <c r="C3420" s="106" t="s">
        <v>801</v>
      </c>
      <c r="D3420" s="107">
        <v>15.9</v>
      </c>
    </row>
    <row r="3421" spans="1:4" ht="25.5" x14ac:dyDescent="0.25">
      <c r="A3421" s="104">
        <v>89628</v>
      </c>
      <c r="B3421" s="105" t="s">
        <v>3524</v>
      </c>
      <c r="C3421" s="106" t="s">
        <v>801</v>
      </c>
      <c r="D3421" s="107">
        <v>34.409999999999997</v>
      </c>
    </row>
    <row r="3422" spans="1:4" ht="25.5" x14ac:dyDescent="0.25">
      <c r="A3422" s="104">
        <v>89629</v>
      </c>
      <c r="B3422" s="105" t="s">
        <v>329</v>
      </c>
      <c r="C3422" s="106" t="s">
        <v>801</v>
      </c>
      <c r="D3422" s="107">
        <v>62.96</v>
      </c>
    </row>
    <row r="3423" spans="1:4" ht="25.5" x14ac:dyDescent="0.25">
      <c r="A3423" s="104">
        <v>89630</v>
      </c>
      <c r="B3423" s="105" t="s">
        <v>263</v>
      </c>
      <c r="C3423" s="106" t="s">
        <v>801</v>
      </c>
      <c r="D3423" s="107">
        <v>54.92</v>
      </c>
    </row>
    <row r="3424" spans="1:4" ht="25.5" x14ac:dyDescent="0.25">
      <c r="A3424" s="104">
        <v>89631</v>
      </c>
      <c r="B3424" s="105" t="s">
        <v>261</v>
      </c>
      <c r="C3424" s="106" t="s">
        <v>801</v>
      </c>
      <c r="D3424" s="107">
        <v>94.84</v>
      </c>
    </row>
    <row r="3425" spans="1:4" ht="25.5" x14ac:dyDescent="0.25">
      <c r="A3425" s="104">
        <v>89632</v>
      </c>
      <c r="B3425" s="105" t="s">
        <v>3525</v>
      </c>
      <c r="C3425" s="106" t="s">
        <v>801</v>
      </c>
      <c r="D3425" s="107">
        <v>78.38</v>
      </c>
    </row>
    <row r="3426" spans="1:4" ht="25.5" x14ac:dyDescent="0.25">
      <c r="A3426" s="104">
        <v>89637</v>
      </c>
      <c r="B3426" s="105" t="s">
        <v>3526</v>
      </c>
      <c r="C3426" s="106" t="s">
        <v>801</v>
      </c>
      <c r="D3426" s="107">
        <v>8.15</v>
      </c>
    </row>
    <row r="3427" spans="1:4" ht="25.5" x14ac:dyDescent="0.25">
      <c r="A3427" s="104">
        <v>89638</v>
      </c>
      <c r="B3427" s="105" t="s">
        <v>3527</v>
      </c>
      <c r="C3427" s="106" t="s">
        <v>801</v>
      </c>
      <c r="D3427" s="107">
        <v>9.2799999999999994</v>
      </c>
    </row>
    <row r="3428" spans="1:4" ht="25.5" x14ac:dyDescent="0.25">
      <c r="A3428" s="104">
        <v>89639</v>
      </c>
      <c r="B3428" s="105" t="s">
        <v>3528</v>
      </c>
      <c r="C3428" s="106" t="s">
        <v>801</v>
      </c>
      <c r="D3428" s="107">
        <v>9.7200000000000006</v>
      </c>
    </row>
    <row r="3429" spans="1:4" ht="38.25" x14ac:dyDescent="0.25">
      <c r="A3429" s="104">
        <v>89640</v>
      </c>
      <c r="B3429" s="105" t="s">
        <v>3529</v>
      </c>
      <c r="C3429" s="106" t="s">
        <v>801</v>
      </c>
      <c r="D3429" s="107">
        <v>16.45</v>
      </c>
    </row>
    <row r="3430" spans="1:4" ht="25.5" x14ac:dyDescent="0.25">
      <c r="A3430" s="104">
        <v>89641</v>
      </c>
      <c r="B3430" s="105" t="s">
        <v>3530</v>
      </c>
      <c r="C3430" s="106" t="s">
        <v>801</v>
      </c>
      <c r="D3430" s="107">
        <v>11.74</v>
      </c>
    </row>
    <row r="3431" spans="1:4" ht="25.5" x14ac:dyDescent="0.25">
      <c r="A3431" s="104">
        <v>89642</v>
      </c>
      <c r="B3431" s="105" t="s">
        <v>3531</v>
      </c>
      <c r="C3431" s="106" t="s">
        <v>801</v>
      </c>
      <c r="D3431" s="107">
        <v>13.91</v>
      </c>
    </row>
    <row r="3432" spans="1:4" ht="25.5" x14ac:dyDescent="0.25">
      <c r="A3432" s="104">
        <v>89643</v>
      </c>
      <c r="B3432" s="105" t="s">
        <v>3532</v>
      </c>
      <c r="C3432" s="106" t="s">
        <v>801</v>
      </c>
      <c r="D3432" s="107">
        <v>14.63</v>
      </c>
    </row>
    <row r="3433" spans="1:4" ht="38.25" x14ac:dyDescent="0.25">
      <c r="A3433" s="104">
        <v>89644</v>
      </c>
      <c r="B3433" s="105" t="s">
        <v>3533</v>
      </c>
      <c r="C3433" s="106" t="s">
        <v>801</v>
      </c>
      <c r="D3433" s="107">
        <v>24.88</v>
      </c>
    </row>
    <row r="3434" spans="1:4" ht="38.25" x14ac:dyDescent="0.25">
      <c r="A3434" s="104">
        <v>89645</v>
      </c>
      <c r="B3434" s="105" t="s">
        <v>3534</v>
      </c>
      <c r="C3434" s="106" t="s">
        <v>801</v>
      </c>
      <c r="D3434" s="107">
        <v>28.52</v>
      </c>
    </row>
    <row r="3435" spans="1:4" ht="25.5" x14ac:dyDescent="0.25">
      <c r="A3435" s="104">
        <v>89646</v>
      </c>
      <c r="B3435" s="105" t="s">
        <v>3535</v>
      </c>
      <c r="C3435" s="106" t="s">
        <v>801</v>
      </c>
      <c r="D3435" s="107">
        <v>19.25</v>
      </c>
    </row>
    <row r="3436" spans="1:4" ht="25.5" x14ac:dyDescent="0.25">
      <c r="A3436" s="104">
        <v>89647</v>
      </c>
      <c r="B3436" s="105" t="s">
        <v>3536</v>
      </c>
      <c r="C3436" s="106" t="s">
        <v>801</v>
      </c>
      <c r="D3436" s="107">
        <v>18.75</v>
      </c>
    </row>
    <row r="3437" spans="1:4" ht="25.5" x14ac:dyDescent="0.25">
      <c r="A3437" s="104">
        <v>89648</v>
      </c>
      <c r="B3437" s="105" t="s">
        <v>3537</v>
      </c>
      <c r="C3437" s="106" t="s">
        <v>801</v>
      </c>
      <c r="D3437" s="107">
        <v>21.07</v>
      </c>
    </row>
    <row r="3438" spans="1:4" ht="25.5" x14ac:dyDescent="0.25">
      <c r="A3438" s="104">
        <v>89649</v>
      </c>
      <c r="B3438" s="105" t="s">
        <v>3538</v>
      </c>
      <c r="C3438" s="106" t="s">
        <v>801</v>
      </c>
      <c r="D3438" s="107">
        <v>29.31</v>
      </c>
    </row>
    <row r="3439" spans="1:4" ht="25.5" x14ac:dyDescent="0.25">
      <c r="A3439" s="104">
        <v>89650</v>
      </c>
      <c r="B3439" s="105" t="s">
        <v>3539</v>
      </c>
      <c r="C3439" s="106" t="s">
        <v>801</v>
      </c>
      <c r="D3439" s="107">
        <v>29.31</v>
      </c>
    </row>
    <row r="3440" spans="1:4" ht="25.5" x14ac:dyDescent="0.25">
      <c r="A3440" s="104">
        <v>89651</v>
      </c>
      <c r="B3440" s="105" t="s">
        <v>3540</v>
      </c>
      <c r="C3440" s="106" t="s">
        <v>801</v>
      </c>
      <c r="D3440" s="107">
        <v>5.59</v>
      </c>
    </row>
    <row r="3441" spans="1:4" ht="25.5" x14ac:dyDescent="0.25">
      <c r="A3441" s="104">
        <v>89652</v>
      </c>
      <c r="B3441" s="105" t="s">
        <v>3541</v>
      </c>
      <c r="C3441" s="106" t="s">
        <v>801</v>
      </c>
      <c r="D3441" s="107">
        <v>10.56</v>
      </c>
    </row>
    <row r="3442" spans="1:4" ht="38.25" x14ac:dyDescent="0.25">
      <c r="A3442" s="104">
        <v>89653</v>
      </c>
      <c r="B3442" s="105" t="s">
        <v>3542</v>
      </c>
      <c r="C3442" s="106" t="s">
        <v>801</v>
      </c>
      <c r="D3442" s="107">
        <v>18.2</v>
      </c>
    </row>
    <row r="3443" spans="1:4" ht="25.5" x14ac:dyDescent="0.25">
      <c r="A3443" s="104">
        <v>89654</v>
      </c>
      <c r="B3443" s="105" t="s">
        <v>3543</v>
      </c>
      <c r="C3443" s="106" t="s">
        <v>801</v>
      </c>
      <c r="D3443" s="107">
        <v>17.7</v>
      </c>
    </row>
    <row r="3444" spans="1:4" ht="25.5" x14ac:dyDescent="0.25">
      <c r="A3444" s="104">
        <v>89655</v>
      </c>
      <c r="B3444" s="105" t="s">
        <v>3544</v>
      </c>
      <c r="C3444" s="106" t="s">
        <v>801</v>
      </c>
      <c r="D3444" s="107">
        <v>27.03</v>
      </c>
    </row>
    <row r="3445" spans="1:4" ht="25.5" x14ac:dyDescent="0.25">
      <c r="A3445" s="104">
        <v>89656</v>
      </c>
      <c r="B3445" s="105" t="s">
        <v>3545</v>
      </c>
      <c r="C3445" s="106" t="s">
        <v>801</v>
      </c>
      <c r="D3445" s="107">
        <v>11.34</v>
      </c>
    </row>
    <row r="3446" spans="1:4" ht="38.25" x14ac:dyDescent="0.25">
      <c r="A3446" s="104">
        <v>89657</v>
      </c>
      <c r="B3446" s="105" t="s">
        <v>3546</v>
      </c>
      <c r="C3446" s="106" t="s">
        <v>801</v>
      </c>
      <c r="D3446" s="107">
        <v>11.6</v>
      </c>
    </row>
    <row r="3447" spans="1:4" ht="25.5" x14ac:dyDescent="0.25">
      <c r="A3447" s="104">
        <v>89658</v>
      </c>
      <c r="B3447" s="105" t="s">
        <v>3547</v>
      </c>
      <c r="C3447" s="106" t="s">
        <v>801</v>
      </c>
      <c r="D3447" s="107">
        <v>7.83</v>
      </c>
    </row>
    <row r="3448" spans="1:4" ht="25.5" x14ac:dyDescent="0.25">
      <c r="A3448" s="104">
        <v>89659</v>
      </c>
      <c r="B3448" s="105" t="s">
        <v>3548</v>
      </c>
      <c r="C3448" s="106" t="s">
        <v>801</v>
      </c>
      <c r="D3448" s="107">
        <v>15.44</v>
      </c>
    </row>
    <row r="3449" spans="1:4" ht="38.25" x14ac:dyDescent="0.25">
      <c r="A3449" s="104">
        <v>89660</v>
      </c>
      <c r="B3449" s="105" t="s">
        <v>3549</v>
      </c>
      <c r="C3449" s="106" t="s">
        <v>801</v>
      </c>
      <c r="D3449" s="107">
        <v>7.17</v>
      </c>
    </row>
    <row r="3450" spans="1:4" ht="25.5" x14ac:dyDescent="0.25">
      <c r="A3450" s="104">
        <v>89661</v>
      </c>
      <c r="B3450" s="105" t="s">
        <v>3550</v>
      </c>
      <c r="C3450" s="106" t="s">
        <v>801</v>
      </c>
      <c r="D3450" s="107">
        <v>21.22</v>
      </c>
    </row>
    <row r="3451" spans="1:4" ht="25.5" x14ac:dyDescent="0.25">
      <c r="A3451" s="104">
        <v>89662</v>
      </c>
      <c r="B3451" s="105" t="s">
        <v>3551</v>
      </c>
      <c r="C3451" s="106" t="s">
        <v>801</v>
      </c>
      <c r="D3451" s="107">
        <v>33.61</v>
      </c>
    </row>
    <row r="3452" spans="1:4" ht="25.5" x14ac:dyDescent="0.25">
      <c r="A3452" s="104">
        <v>89663</v>
      </c>
      <c r="B3452" s="105" t="s">
        <v>3552</v>
      </c>
      <c r="C3452" s="106" t="s">
        <v>801</v>
      </c>
      <c r="D3452" s="107">
        <v>12.86</v>
      </c>
    </row>
    <row r="3453" spans="1:4" ht="38.25" x14ac:dyDescent="0.25">
      <c r="A3453" s="104">
        <v>89664</v>
      </c>
      <c r="B3453" s="105" t="s">
        <v>3553</v>
      </c>
      <c r="C3453" s="106" t="s">
        <v>801</v>
      </c>
      <c r="D3453" s="107">
        <v>15.44</v>
      </c>
    </row>
    <row r="3454" spans="1:4" ht="38.25" x14ac:dyDescent="0.25">
      <c r="A3454" s="104">
        <v>89665</v>
      </c>
      <c r="B3454" s="105" t="s">
        <v>3554</v>
      </c>
      <c r="C3454" s="106" t="s">
        <v>801</v>
      </c>
      <c r="D3454" s="107">
        <v>10.46</v>
      </c>
    </row>
    <row r="3455" spans="1:4" ht="38.25" x14ac:dyDescent="0.25">
      <c r="A3455" s="104">
        <v>89666</v>
      </c>
      <c r="B3455" s="105" t="s">
        <v>3555</v>
      </c>
      <c r="C3455" s="106" t="s">
        <v>801</v>
      </c>
      <c r="D3455" s="107">
        <v>6.03</v>
      </c>
    </row>
    <row r="3456" spans="1:4" ht="38.25" x14ac:dyDescent="0.25">
      <c r="A3456" s="104">
        <v>89667</v>
      </c>
      <c r="B3456" s="105" t="s">
        <v>3556</v>
      </c>
      <c r="C3456" s="106" t="s">
        <v>801</v>
      </c>
      <c r="D3456" s="107">
        <v>26.21</v>
      </c>
    </row>
    <row r="3457" spans="1:4" ht="25.5" x14ac:dyDescent="0.25">
      <c r="A3457" s="104">
        <v>89668</v>
      </c>
      <c r="B3457" s="105" t="s">
        <v>3557</v>
      </c>
      <c r="C3457" s="106" t="s">
        <v>801</v>
      </c>
      <c r="D3457" s="107">
        <v>31.78</v>
      </c>
    </row>
    <row r="3458" spans="1:4" ht="38.25" x14ac:dyDescent="0.25">
      <c r="A3458" s="104">
        <v>89669</v>
      </c>
      <c r="B3458" s="105" t="s">
        <v>3558</v>
      </c>
      <c r="C3458" s="106" t="s">
        <v>801</v>
      </c>
      <c r="D3458" s="107">
        <v>17.05</v>
      </c>
    </row>
    <row r="3459" spans="1:4" ht="25.5" x14ac:dyDescent="0.25">
      <c r="A3459" s="104">
        <v>89670</v>
      </c>
      <c r="B3459" s="105" t="s">
        <v>3559</v>
      </c>
      <c r="C3459" s="106" t="s">
        <v>801</v>
      </c>
      <c r="D3459" s="107">
        <v>12.13</v>
      </c>
    </row>
    <row r="3460" spans="1:4" ht="38.25" x14ac:dyDescent="0.25">
      <c r="A3460" s="104">
        <v>89671</v>
      </c>
      <c r="B3460" s="105" t="s">
        <v>3560</v>
      </c>
      <c r="C3460" s="106" t="s">
        <v>801</v>
      </c>
      <c r="D3460" s="107">
        <v>24.94</v>
      </c>
    </row>
    <row r="3461" spans="1:4" ht="25.5" x14ac:dyDescent="0.25">
      <c r="A3461" s="104">
        <v>89672</v>
      </c>
      <c r="B3461" s="105" t="s">
        <v>3561</v>
      </c>
      <c r="C3461" s="106" t="s">
        <v>801</v>
      </c>
      <c r="D3461" s="107">
        <v>20.84</v>
      </c>
    </row>
    <row r="3462" spans="1:4" ht="38.25" x14ac:dyDescent="0.25">
      <c r="A3462" s="104">
        <v>89673</v>
      </c>
      <c r="B3462" s="105" t="s">
        <v>3562</v>
      </c>
      <c r="C3462" s="106" t="s">
        <v>801</v>
      </c>
      <c r="D3462" s="107">
        <v>19.760000000000002</v>
      </c>
    </row>
    <row r="3463" spans="1:4" ht="25.5" x14ac:dyDescent="0.25">
      <c r="A3463" s="104">
        <v>89674</v>
      </c>
      <c r="B3463" s="105" t="s">
        <v>3563</v>
      </c>
      <c r="C3463" s="106" t="s">
        <v>801</v>
      </c>
      <c r="D3463" s="107">
        <v>31.94</v>
      </c>
    </row>
    <row r="3464" spans="1:4" ht="38.25" x14ac:dyDescent="0.25">
      <c r="A3464" s="104">
        <v>89675</v>
      </c>
      <c r="B3464" s="105" t="s">
        <v>3564</v>
      </c>
      <c r="C3464" s="106" t="s">
        <v>801</v>
      </c>
      <c r="D3464" s="107">
        <v>43.75</v>
      </c>
    </row>
    <row r="3465" spans="1:4" ht="25.5" x14ac:dyDescent="0.25">
      <c r="A3465" s="104">
        <v>89676</v>
      </c>
      <c r="B3465" s="105" t="s">
        <v>3565</v>
      </c>
      <c r="C3465" s="106" t="s">
        <v>801</v>
      </c>
      <c r="D3465" s="107">
        <v>50.05</v>
      </c>
    </row>
    <row r="3466" spans="1:4" ht="38.25" x14ac:dyDescent="0.25">
      <c r="A3466" s="104">
        <v>89677</v>
      </c>
      <c r="B3466" s="105" t="s">
        <v>304</v>
      </c>
      <c r="C3466" s="106" t="s">
        <v>801</v>
      </c>
      <c r="D3466" s="107">
        <v>49.63</v>
      </c>
    </row>
    <row r="3467" spans="1:4" ht="38.25" x14ac:dyDescent="0.25">
      <c r="A3467" s="104">
        <v>89678</v>
      </c>
      <c r="B3467" s="105" t="s">
        <v>3566</v>
      </c>
      <c r="C3467" s="106" t="s">
        <v>801</v>
      </c>
      <c r="D3467" s="107">
        <v>8.26</v>
      </c>
    </row>
    <row r="3468" spans="1:4" ht="38.25" x14ac:dyDescent="0.25">
      <c r="A3468" s="104">
        <v>89679</v>
      </c>
      <c r="B3468" s="105" t="s">
        <v>3567</v>
      </c>
      <c r="C3468" s="106" t="s">
        <v>801</v>
      </c>
      <c r="D3468" s="107">
        <v>77.790000000000006</v>
      </c>
    </row>
    <row r="3469" spans="1:4" ht="25.5" x14ac:dyDescent="0.25">
      <c r="A3469" s="104">
        <v>89680</v>
      </c>
      <c r="B3469" s="105" t="s">
        <v>3568</v>
      </c>
      <c r="C3469" s="106" t="s">
        <v>801</v>
      </c>
      <c r="D3469" s="107">
        <v>19.899999999999999</v>
      </c>
    </row>
    <row r="3470" spans="1:4" ht="38.25" x14ac:dyDescent="0.25">
      <c r="A3470" s="104">
        <v>89681</v>
      </c>
      <c r="B3470" s="105" t="s">
        <v>3569</v>
      </c>
      <c r="C3470" s="106" t="s">
        <v>801</v>
      </c>
      <c r="D3470" s="107">
        <v>54.61</v>
      </c>
    </row>
    <row r="3471" spans="1:4" ht="25.5" x14ac:dyDescent="0.25">
      <c r="A3471" s="104">
        <v>89682</v>
      </c>
      <c r="B3471" s="105" t="s">
        <v>3570</v>
      </c>
      <c r="C3471" s="106" t="s">
        <v>801</v>
      </c>
      <c r="D3471" s="107">
        <v>32.92</v>
      </c>
    </row>
    <row r="3472" spans="1:4" ht="25.5" x14ac:dyDescent="0.25">
      <c r="A3472" s="104">
        <v>89684</v>
      </c>
      <c r="B3472" s="105" t="s">
        <v>3571</v>
      </c>
      <c r="C3472" s="106" t="s">
        <v>801</v>
      </c>
      <c r="D3472" s="107">
        <v>46.88</v>
      </c>
    </row>
    <row r="3473" spans="1:4" ht="38.25" x14ac:dyDescent="0.25">
      <c r="A3473" s="104">
        <v>89685</v>
      </c>
      <c r="B3473" s="105" t="s">
        <v>3572</v>
      </c>
      <c r="C3473" s="106" t="s">
        <v>801</v>
      </c>
      <c r="D3473" s="107">
        <v>36.590000000000003</v>
      </c>
    </row>
    <row r="3474" spans="1:4" ht="25.5" x14ac:dyDescent="0.25">
      <c r="A3474" s="104">
        <v>89686</v>
      </c>
      <c r="B3474" s="105" t="s">
        <v>3573</v>
      </c>
      <c r="C3474" s="106" t="s">
        <v>801</v>
      </c>
      <c r="D3474" s="107">
        <v>184.97</v>
      </c>
    </row>
    <row r="3475" spans="1:4" ht="38.25" x14ac:dyDescent="0.25">
      <c r="A3475" s="104">
        <v>89687</v>
      </c>
      <c r="B3475" s="105" t="s">
        <v>316</v>
      </c>
      <c r="C3475" s="106" t="s">
        <v>801</v>
      </c>
      <c r="D3475" s="107">
        <v>31.59</v>
      </c>
    </row>
    <row r="3476" spans="1:4" ht="38.25" x14ac:dyDescent="0.25">
      <c r="A3476" s="104">
        <v>89689</v>
      </c>
      <c r="B3476" s="105" t="s">
        <v>3574</v>
      </c>
      <c r="C3476" s="106" t="s">
        <v>801</v>
      </c>
      <c r="D3476" s="107">
        <v>35.72</v>
      </c>
    </row>
    <row r="3477" spans="1:4" ht="38.25" x14ac:dyDescent="0.25">
      <c r="A3477" s="104">
        <v>89690</v>
      </c>
      <c r="B3477" s="105" t="s">
        <v>3575</v>
      </c>
      <c r="C3477" s="106" t="s">
        <v>801</v>
      </c>
      <c r="D3477" s="107">
        <v>54.54</v>
      </c>
    </row>
    <row r="3478" spans="1:4" ht="25.5" x14ac:dyDescent="0.25">
      <c r="A3478" s="104">
        <v>89691</v>
      </c>
      <c r="B3478" s="105" t="s">
        <v>3576</v>
      </c>
      <c r="C3478" s="106" t="s">
        <v>801</v>
      </c>
      <c r="D3478" s="107">
        <v>10.39</v>
      </c>
    </row>
    <row r="3479" spans="1:4" ht="38.25" x14ac:dyDescent="0.25">
      <c r="A3479" s="104">
        <v>89692</v>
      </c>
      <c r="B3479" s="105" t="s">
        <v>3577</v>
      </c>
      <c r="C3479" s="106" t="s">
        <v>801</v>
      </c>
      <c r="D3479" s="107">
        <v>51.54</v>
      </c>
    </row>
    <row r="3480" spans="1:4" ht="38.25" x14ac:dyDescent="0.25">
      <c r="A3480" s="104">
        <v>89693</v>
      </c>
      <c r="B3480" s="105" t="s">
        <v>3578</v>
      </c>
      <c r="C3480" s="106" t="s">
        <v>801</v>
      </c>
      <c r="D3480" s="107">
        <v>50.16</v>
      </c>
    </row>
    <row r="3481" spans="1:4" ht="38.25" x14ac:dyDescent="0.25">
      <c r="A3481" s="104">
        <v>89694</v>
      </c>
      <c r="B3481" s="105" t="s">
        <v>3579</v>
      </c>
      <c r="C3481" s="106" t="s">
        <v>801</v>
      </c>
      <c r="D3481" s="107">
        <v>18.91</v>
      </c>
    </row>
    <row r="3482" spans="1:4" ht="25.5" x14ac:dyDescent="0.25">
      <c r="A3482" s="104">
        <v>89695</v>
      </c>
      <c r="B3482" s="105" t="s">
        <v>3580</v>
      </c>
      <c r="C3482" s="106" t="s">
        <v>801</v>
      </c>
      <c r="D3482" s="107">
        <v>17.3</v>
      </c>
    </row>
    <row r="3483" spans="1:4" ht="38.25" x14ac:dyDescent="0.25">
      <c r="A3483" s="104">
        <v>89696</v>
      </c>
      <c r="B3483" s="105" t="s">
        <v>3581</v>
      </c>
      <c r="C3483" s="106" t="s">
        <v>801</v>
      </c>
      <c r="D3483" s="107">
        <v>45.6</v>
      </c>
    </row>
    <row r="3484" spans="1:4" ht="25.5" x14ac:dyDescent="0.25">
      <c r="A3484" s="104">
        <v>89697</v>
      </c>
      <c r="B3484" s="105" t="s">
        <v>3582</v>
      </c>
      <c r="C3484" s="106" t="s">
        <v>801</v>
      </c>
      <c r="D3484" s="107">
        <v>12.52</v>
      </c>
    </row>
    <row r="3485" spans="1:4" ht="38.25" x14ac:dyDescent="0.25">
      <c r="A3485" s="104">
        <v>89698</v>
      </c>
      <c r="B3485" s="105" t="s">
        <v>302</v>
      </c>
      <c r="C3485" s="106" t="s">
        <v>801</v>
      </c>
      <c r="D3485" s="107">
        <v>161.94</v>
      </c>
    </row>
    <row r="3486" spans="1:4" ht="38.25" x14ac:dyDescent="0.25">
      <c r="A3486" s="104">
        <v>89699</v>
      </c>
      <c r="B3486" s="105" t="s">
        <v>303</v>
      </c>
      <c r="C3486" s="106" t="s">
        <v>801</v>
      </c>
      <c r="D3486" s="107">
        <v>137.49</v>
      </c>
    </row>
    <row r="3487" spans="1:4" ht="38.25" x14ac:dyDescent="0.25">
      <c r="A3487" s="104">
        <v>89700</v>
      </c>
      <c r="B3487" s="105" t="s">
        <v>3583</v>
      </c>
      <c r="C3487" s="106" t="s">
        <v>801</v>
      </c>
      <c r="D3487" s="107">
        <v>19.82</v>
      </c>
    </row>
    <row r="3488" spans="1:4" ht="38.25" x14ac:dyDescent="0.25">
      <c r="A3488" s="104">
        <v>89701</v>
      </c>
      <c r="B3488" s="105" t="s">
        <v>3584</v>
      </c>
      <c r="C3488" s="106" t="s">
        <v>801</v>
      </c>
      <c r="D3488" s="107">
        <v>127.58</v>
      </c>
    </row>
    <row r="3489" spans="1:4" ht="25.5" x14ac:dyDescent="0.25">
      <c r="A3489" s="104">
        <v>89702</v>
      </c>
      <c r="B3489" s="105" t="s">
        <v>3585</v>
      </c>
      <c r="C3489" s="106" t="s">
        <v>801</v>
      </c>
      <c r="D3489" s="107">
        <v>19.82</v>
      </c>
    </row>
    <row r="3490" spans="1:4" ht="38.25" x14ac:dyDescent="0.25">
      <c r="A3490" s="104">
        <v>89703</v>
      </c>
      <c r="B3490" s="105" t="s">
        <v>3586</v>
      </c>
      <c r="C3490" s="106" t="s">
        <v>801</v>
      </c>
      <c r="D3490" s="107">
        <v>49.43</v>
      </c>
    </row>
    <row r="3491" spans="1:4" ht="38.25" x14ac:dyDescent="0.25">
      <c r="A3491" s="104">
        <v>89704</v>
      </c>
      <c r="B3491" s="105" t="s">
        <v>3587</v>
      </c>
      <c r="C3491" s="106" t="s">
        <v>801</v>
      </c>
      <c r="D3491" s="107">
        <v>88.22</v>
      </c>
    </row>
    <row r="3492" spans="1:4" ht="25.5" x14ac:dyDescent="0.25">
      <c r="A3492" s="104">
        <v>89705</v>
      </c>
      <c r="B3492" s="105" t="s">
        <v>3588</v>
      </c>
      <c r="C3492" s="106" t="s">
        <v>801</v>
      </c>
      <c r="D3492" s="107">
        <v>22.47</v>
      </c>
    </row>
    <row r="3493" spans="1:4" ht="25.5" x14ac:dyDescent="0.25">
      <c r="A3493" s="104">
        <v>89706</v>
      </c>
      <c r="B3493" s="105" t="s">
        <v>3589</v>
      </c>
      <c r="C3493" s="106" t="s">
        <v>801</v>
      </c>
      <c r="D3493" s="107">
        <v>53.49</v>
      </c>
    </row>
    <row r="3494" spans="1:4" ht="25.5" x14ac:dyDescent="0.25">
      <c r="A3494" s="104">
        <v>89718</v>
      </c>
      <c r="B3494" s="105" t="s">
        <v>3590</v>
      </c>
      <c r="C3494" s="106" t="s">
        <v>16</v>
      </c>
      <c r="D3494" s="107">
        <v>42.57</v>
      </c>
    </row>
    <row r="3495" spans="1:4" ht="38.25" x14ac:dyDescent="0.25">
      <c r="A3495" s="104">
        <v>89719</v>
      </c>
      <c r="B3495" s="105" t="s">
        <v>3591</v>
      </c>
      <c r="C3495" s="106" t="s">
        <v>801</v>
      </c>
      <c r="D3495" s="107">
        <v>9.9600000000000009</v>
      </c>
    </row>
    <row r="3496" spans="1:4" ht="38.25" x14ac:dyDescent="0.25">
      <c r="A3496" s="104">
        <v>89720</v>
      </c>
      <c r="B3496" s="105" t="s">
        <v>3592</v>
      </c>
      <c r="C3496" s="106" t="s">
        <v>801</v>
      </c>
      <c r="D3496" s="107">
        <v>12.13</v>
      </c>
    </row>
    <row r="3497" spans="1:4" ht="38.25" x14ac:dyDescent="0.25">
      <c r="A3497" s="104">
        <v>89721</v>
      </c>
      <c r="B3497" s="105" t="s">
        <v>3593</v>
      </c>
      <c r="C3497" s="106" t="s">
        <v>801</v>
      </c>
      <c r="D3497" s="107">
        <v>12.85</v>
      </c>
    </row>
    <row r="3498" spans="1:4" ht="38.25" x14ac:dyDescent="0.25">
      <c r="A3498" s="104">
        <v>89722</v>
      </c>
      <c r="B3498" s="105" t="s">
        <v>3594</v>
      </c>
      <c r="C3498" s="106" t="s">
        <v>801</v>
      </c>
      <c r="D3498" s="107">
        <v>23.1</v>
      </c>
    </row>
    <row r="3499" spans="1:4" ht="38.25" x14ac:dyDescent="0.25">
      <c r="A3499" s="104">
        <v>89723</v>
      </c>
      <c r="B3499" s="105" t="s">
        <v>3595</v>
      </c>
      <c r="C3499" s="106" t="s">
        <v>801</v>
      </c>
      <c r="D3499" s="107">
        <v>17.190000000000001</v>
      </c>
    </row>
    <row r="3500" spans="1:4" ht="38.25" x14ac:dyDescent="0.25">
      <c r="A3500" s="104">
        <v>89724</v>
      </c>
      <c r="B3500" s="105" t="s">
        <v>281</v>
      </c>
      <c r="C3500" s="106" t="s">
        <v>801</v>
      </c>
      <c r="D3500" s="107">
        <v>7.63</v>
      </c>
    </row>
    <row r="3501" spans="1:4" ht="38.25" x14ac:dyDescent="0.25">
      <c r="A3501" s="104">
        <v>89725</v>
      </c>
      <c r="B3501" s="105" t="s">
        <v>3596</v>
      </c>
      <c r="C3501" s="106" t="s">
        <v>801</v>
      </c>
      <c r="D3501" s="107">
        <v>16.690000000000001</v>
      </c>
    </row>
    <row r="3502" spans="1:4" ht="38.25" x14ac:dyDescent="0.25">
      <c r="A3502" s="104">
        <v>89726</v>
      </c>
      <c r="B3502" s="105" t="s">
        <v>277</v>
      </c>
      <c r="C3502" s="106" t="s">
        <v>801</v>
      </c>
      <c r="D3502" s="107">
        <v>5.8</v>
      </c>
    </row>
    <row r="3503" spans="1:4" ht="38.25" x14ac:dyDescent="0.25">
      <c r="A3503" s="104">
        <v>89727</v>
      </c>
      <c r="B3503" s="105" t="s">
        <v>3597</v>
      </c>
      <c r="C3503" s="106" t="s">
        <v>801</v>
      </c>
      <c r="D3503" s="107">
        <v>19.010000000000002</v>
      </c>
    </row>
    <row r="3504" spans="1:4" ht="38.25" x14ac:dyDescent="0.25">
      <c r="A3504" s="104">
        <v>89728</v>
      </c>
      <c r="B3504" s="105" t="s">
        <v>3598</v>
      </c>
      <c r="C3504" s="106" t="s">
        <v>801</v>
      </c>
      <c r="D3504" s="107">
        <v>8.08</v>
      </c>
    </row>
    <row r="3505" spans="1:4" ht="38.25" x14ac:dyDescent="0.25">
      <c r="A3505" s="104">
        <v>89729</v>
      </c>
      <c r="B3505" s="105" t="s">
        <v>3599</v>
      </c>
      <c r="C3505" s="106" t="s">
        <v>801</v>
      </c>
      <c r="D3505" s="107">
        <v>26.88</v>
      </c>
    </row>
    <row r="3506" spans="1:4" ht="38.25" x14ac:dyDescent="0.25">
      <c r="A3506" s="104">
        <v>89730</v>
      </c>
      <c r="B3506" s="105" t="s">
        <v>3600</v>
      </c>
      <c r="C3506" s="106" t="s">
        <v>801</v>
      </c>
      <c r="D3506" s="107">
        <v>8.68</v>
      </c>
    </row>
    <row r="3507" spans="1:4" ht="38.25" x14ac:dyDescent="0.25">
      <c r="A3507" s="104">
        <v>89731</v>
      </c>
      <c r="B3507" s="105" t="s">
        <v>282</v>
      </c>
      <c r="C3507" s="106" t="s">
        <v>801</v>
      </c>
      <c r="D3507" s="107">
        <v>8.33</v>
      </c>
    </row>
    <row r="3508" spans="1:4" ht="38.25" x14ac:dyDescent="0.25">
      <c r="A3508" s="104">
        <v>89732</v>
      </c>
      <c r="B3508" s="105" t="s">
        <v>278</v>
      </c>
      <c r="C3508" s="106" t="s">
        <v>801</v>
      </c>
      <c r="D3508" s="107">
        <v>8.76</v>
      </c>
    </row>
    <row r="3509" spans="1:4" ht="38.25" x14ac:dyDescent="0.25">
      <c r="A3509" s="104">
        <v>89733</v>
      </c>
      <c r="B3509" s="105" t="s">
        <v>3601</v>
      </c>
      <c r="C3509" s="106" t="s">
        <v>801</v>
      </c>
      <c r="D3509" s="107">
        <v>13.42</v>
      </c>
    </row>
    <row r="3510" spans="1:4" ht="38.25" x14ac:dyDescent="0.25">
      <c r="A3510" s="104">
        <v>89734</v>
      </c>
      <c r="B3510" s="105" t="s">
        <v>3602</v>
      </c>
      <c r="C3510" s="106" t="s">
        <v>801</v>
      </c>
      <c r="D3510" s="107">
        <v>26.88</v>
      </c>
    </row>
    <row r="3511" spans="1:4" ht="38.25" x14ac:dyDescent="0.25">
      <c r="A3511" s="104">
        <v>89735</v>
      </c>
      <c r="B3511" s="105" t="s">
        <v>3603</v>
      </c>
      <c r="C3511" s="106" t="s">
        <v>801</v>
      </c>
      <c r="D3511" s="107">
        <v>14.13</v>
      </c>
    </row>
    <row r="3512" spans="1:4" ht="25.5" x14ac:dyDescent="0.25">
      <c r="A3512" s="104">
        <v>89736</v>
      </c>
      <c r="B3512" s="105" t="s">
        <v>3604</v>
      </c>
      <c r="C3512" s="106" t="s">
        <v>801</v>
      </c>
      <c r="D3512" s="107">
        <v>6.66</v>
      </c>
    </row>
    <row r="3513" spans="1:4" ht="38.25" x14ac:dyDescent="0.25">
      <c r="A3513" s="104">
        <v>89737</v>
      </c>
      <c r="B3513" s="105" t="s">
        <v>283</v>
      </c>
      <c r="C3513" s="106" t="s">
        <v>801</v>
      </c>
      <c r="D3513" s="107">
        <v>14.12</v>
      </c>
    </row>
    <row r="3514" spans="1:4" ht="38.25" x14ac:dyDescent="0.25">
      <c r="A3514" s="104">
        <v>89738</v>
      </c>
      <c r="B3514" s="105" t="s">
        <v>3605</v>
      </c>
      <c r="C3514" s="106" t="s">
        <v>801</v>
      </c>
      <c r="D3514" s="107">
        <v>14.27</v>
      </c>
    </row>
    <row r="3515" spans="1:4" ht="38.25" x14ac:dyDescent="0.25">
      <c r="A3515" s="104">
        <v>89739</v>
      </c>
      <c r="B3515" s="105" t="s">
        <v>279</v>
      </c>
      <c r="C3515" s="106" t="s">
        <v>801</v>
      </c>
      <c r="D3515" s="107">
        <v>14.73</v>
      </c>
    </row>
    <row r="3516" spans="1:4" ht="38.25" x14ac:dyDescent="0.25">
      <c r="A3516" s="104">
        <v>89740</v>
      </c>
      <c r="B3516" s="105" t="s">
        <v>3606</v>
      </c>
      <c r="C3516" s="106" t="s">
        <v>801</v>
      </c>
      <c r="D3516" s="107">
        <v>6</v>
      </c>
    </row>
    <row r="3517" spans="1:4" ht="25.5" x14ac:dyDescent="0.25">
      <c r="A3517" s="104">
        <v>89741</v>
      </c>
      <c r="B3517" s="105" t="s">
        <v>3607</v>
      </c>
      <c r="C3517" s="106" t="s">
        <v>801</v>
      </c>
      <c r="D3517" s="107">
        <v>20.05</v>
      </c>
    </row>
    <row r="3518" spans="1:4" ht="38.25" x14ac:dyDescent="0.25">
      <c r="A3518" s="104">
        <v>89742</v>
      </c>
      <c r="B3518" s="105" t="s">
        <v>3608</v>
      </c>
      <c r="C3518" s="106" t="s">
        <v>801</v>
      </c>
      <c r="D3518" s="107">
        <v>22.93</v>
      </c>
    </row>
    <row r="3519" spans="1:4" ht="38.25" x14ac:dyDescent="0.25">
      <c r="A3519" s="104">
        <v>89743</v>
      </c>
      <c r="B3519" s="105" t="s">
        <v>3609</v>
      </c>
      <c r="C3519" s="106" t="s">
        <v>801</v>
      </c>
      <c r="D3519" s="107">
        <v>31.78</v>
      </c>
    </row>
    <row r="3520" spans="1:4" ht="38.25" x14ac:dyDescent="0.25">
      <c r="A3520" s="104">
        <v>89744</v>
      </c>
      <c r="B3520" s="105" t="s">
        <v>280</v>
      </c>
      <c r="C3520" s="106" t="s">
        <v>801</v>
      </c>
      <c r="D3520" s="107">
        <v>18.399999999999999</v>
      </c>
    </row>
    <row r="3521" spans="1:4" ht="38.25" x14ac:dyDescent="0.25">
      <c r="A3521" s="104">
        <v>89745</v>
      </c>
      <c r="B3521" s="105" t="s">
        <v>3610</v>
      </c>
      <c r="C3521" s="106" t="s">
        <v>801</v>
      </c>
      <c r="D3521" s="107">
        <v>32.44</v>
      </c>
    </row>
    <row r="3522" spans="1:4" ht="38.25" x14ac:dyDescent="0.25">
      <c r="A3522" s="104">
        <v>89746</v>
      </c>
      <c r="B3522" s="105" t="s">
        <v>276</v>
      </c>
      <c r="C3522" s="106" t="s">
        <v>801</v>
      </c>
      <c r="D3522" s="107">
        <v>18.36</v>
      </c>
    </row>
    <row r="3523" spans="1:4" ht="25.5" x14ac:dyDescent="0.25">
      <c r="A3523" s="104">
        <v>89747</v>
      </c>
      <c r="B3523" s="105" t="s">
        <v>3611</v>
      </c>
      <c r="C3523" s="106" t="s">
        <v>801</v>
      </c>
      <c r="D3523" s="107">
        <v>11.69</v>
      </c>
    </row>
    <row r="3524" spans="1:4" ht="38.25" x14ac:dyDescent="0.25">
      <c r="A3524" s="104">
        <v>89748</v>
      </c>
      <c r="B3524" s="105" t="s">
        <v>3612</v>
      </c>
      <c r="C3524" s="106" t="s">
        <v>801</v>
      </c>
      <c r="D3524" s="107">
        <v>27.99</v>
      </c>
    </row>
    <row r="3525" spans="1:4" ht="38.25" x14ac:dyDescent="0.25">
      <c r="A3525" s="104">
        <v>89749</v>
      </c>
      <c r="B3525" s="105" t="s">
        <v>3613</v>
      </c>
      <c r="C3525" s="106" t="s">
        <v>801</v>
      </c>
      <c r="D3525" s="107">
        <v>14.27</v>
      </c>
    </row>
    <row r="3526" spans="1:4" ht="38.25" x14ac:dyDescent="0.25">
      <c r="A3526" s="104">
        <v>89750</v>
      </c>
      <c r="B3526" s="105" t="s">
        <v>3614</v>
      </c>
      <c r="C3526" s="106" t="s">
        <v>801</v>
      </c>
      <c r="D3526" s="107">
        <v>45.01</v>
      </c>
    </row>
    <row r="3527" spans="1:4" ht="38.25" x14ac:dyDescent="0.25">
      <c r="A3527" s="104">
        <v>89751</v>
      </c>
      <c r="B3527" s="105" t="s">
        <v>3615</v>
      </c>
      <c r="C3527" s="106" t="s">
        <v>801</v>
      </c>
      <c r="D3527" s="107">
        <v>4.8600000000000003</v>
      </c>
    </row>
    <row r="3528" spans="1:4" ht="38.25" x14ac:dyDescent="0.25">
      <c r="A3528" s="104">
        <v>89752</v>
      </c>
      <c r="B3528" s="105" t="s">
        <v>3616</v>
      </c>
      <c r="C3528" s="106" t="s">
        <v>801</v>
      </c>
      <c r="D3528" s="107">
        <v>5.0199999999999996</v>
      </c>
    </row>
    <row r="3529" spans="1:4" ht="38.25" x14ac:dyDescent="0.25">
      <c r="A3529" s="104">
        <v>89753</v>
      </c>
      <c r="B3529" s="105" t="s">
        <v>287</v>
      </c>
      <c r="C3529" s="106" t="s">
        <v>801</v>
      </c>
      <c r="D3529" s="107">
        <v>7</v>
      </c>
    </row>
    <row r="3530" spans="1:4" ht="38.25" x14ac:dyDescent="0.25">
      <c r="A3530" s="104">
        <v>89754</v>
      </c>
      <c r="B3530" s="105" t="s">
        <v>3617</v>
      </c>
      <c r="C3530" s="106" t="s">
        <v>801</v>
      </c>
      <c r="D3530" s="107">
        <v>12.17</v>
      </c>
    </row>
    <row r="3531" spans="1:4" ht="25.5" x14ac:dyDescent="0.25">
      <c r="A3531" s="104">
        <v>89755</v>
      </c>
      <c r="B3531" s="105" t="s">
        <v>3618</v>
      </c>
      <c r="C3531" s="106" t="s">
        <v>801</v>
      </c>
      <c r="D3531" s="107">
        <v>10.77</v>
      </c>
    </row>
    <row r="3532" spans="1:4" ht="38.25" x14ac:dyDescent="0.25">
      <c r="A3532" s="104">
        <v>89756</v>
      </c>
      <c r="B3532" s="105" t="s">
        <v>3619</v>
      </c>
      <c r="C3532" s="106" t="s">
        <v>801</v>
      </c>
      <c r="D3532" s="107">
        <v>19.48</v>
      </c>
    </row>
    <row r="3533" spans="1:4" ht="25.5" x14ac:dyDescent="0.25">
      <c r="A3533" s="104">
        <v>89757</v>
      </c>
      <c r="B3533" s="105" t="s">
        <v>3620</v>
      </c>
      <c r="C3533" s="106" t="s">
        <v>801</v>
      </c>
      <c r="D3533" s="107">
        <v>30.58</v>
      </c>
    </row>
    <row r="3534" spans="1:4" ht="25.5" x14ac:dyDescent="0.25">
      <c r="A3534" s="104">
        <v>89758</v>
      </c>
      <c r="B3534" s="105" t="s">
        <v>3621</v>
      </c>
      <c r="C3534" s="106" t="s">
        <v>801</v>
      </c>
      <c r="D3534" s="107">
        <v>48.69</v>
      </c>
    </row>
    <row r="3535" spans="1:4" ht="38.25" x14ac:dyDescent="0.25">
      <c r="A3535" s="104">
        <v>89759</v>
      </c>
      <c r="B3535" s="105" t="s">
        <v>3622</v>
      </c>
      <c r="C3535" s="106" t="s">
        <v>801</v>
      </c>
      <c r="D3535" s="107">
        <v>6.9</v>
      </c>
    </row>
    <row r="3536" spans="1:4" ht="25.5" x14ac:dyDescent="0.25">
      <c r="A3536" s="104">
        <v>89760</v>
      </c>
      <c r="B3536" s="105" t="s">
        <v>3623</v>
      </c>
      <c r="C3536" s="106" t="s">
        <v>801</v>
      </c>
      <c r="D3536" s="107">
        <v>18.29</v>
      </c>
    </row>
    <row r="3537" spans="1:4" ht="38.25" x14ac:dyDescent="0.25">
      <c r="A3537" s="104">
        <v>89761</v>
      </c>
      <c r="B3537" s="105" t="s">
        <v>3624</v>
      </c>
      <c r="C3537" s="106" t="s">
        <v>801</v>
      </c>
      <c r="D3537" s="107">
        <v>31.31</v>
      </c>
    </row>
    <row r="3538" spans="1:4" ht="25.5" x14ac:dyDescent="0.25">
      <c r="A3538" s="104">
        <v>89762</v>
      </c>
      <c r="B3538" s="105" t="s">
        <v>3625</v>
      </c>
      <c r="C3538" s="106" t="s">
        <v>801</v>
      </c>
      <c r="D3538" s="107">
        <v>45.27</v>
      </c>
    </row>
    <row r="3539" spans="1:4" ht="38.25" x14ac:dyDescent="0.25">
      <c r="A3539" s="104">
        <v>89763</v>
      </c>
      <c r="B3539" s="105" t="s">
        <v>3626</v>
      </c>
      <c r="C3539" s="106" t="s">
        <v>801</v>
      </c>
      <c r="D3539" s="107">
        <v>183.36</v>
      </c>
    </row>
    <row r="3540" spans="1:4" ht="38.25" x14ac:dyDescent="0.25">
      <c r="A3540" s="104">
        <v>89764</v>
      </c>
      <c r="B3540" s="105" t="s">
        <v>3627</v>
      </c>
      <c r="C3540" s="106" t="s">
        <v>801</v>
      </c>
      <c r="D3540" s="107">
        <v>34.11</v>
      </c>
    </row>
    <row r="3541" spans="1:4" ht="25.5" x14ac:dyDescent="0.25">
      <c r="A3541" s="104">
        <v>89765</v>
      </c>
      <c r="B3541" s="105" t="s">
        <v>3628</v>
      </c>
      <c r="C3541" s="106" t="s">
        <v>801</v>
      </c>
      <c r="D3541" s="107">
        <v>12.71</v>
      </c>
    </row>
    <row r="3542" spans="1:4" ht="38.25" x14ac:dyDescent="0.25">
      <c r="A3542" s="104">
        <v>89766</v>
      </c>
      <c r="B3542" s="105" t="s">
        <v>3629</v>
      </c>
      <c r="C3542" s="106" t="s">
        <v>801</v>
      </c>
      <c r="D3542" s="107">
        <v>20.010000000000002</v>
      </c>
    </row>
    <row r="3543" spans="1:4" ht="38.25" x14ac:dyDescent="0.25">
      <c r="A3543" s="104">
        <v>89767</v>
      </c>
      <c r="B3543" s="105" t="s">
        <v>3630</v>
      </c>
      <c r="C3543" s="106" t="s">
        <v>801</v>
      </c>
      <c r="D3543" s="107">
        <v>20.010000000000002</v>
      </c>
    </row>
    <row r="3544" spans="1:4" ht="25.5" x14ac:dyDescent="0.25">
      <c r="A3544" s="104">
        <v>89768</v>
      </c>
      <c r="B3544" s="105" t="s">
        <v>3631</v>
      </c>
      <c r="C3544" s="106" t="s">
        <v>801</v>
      </c>
      <c r="D3544" s="107">
        <v>19.71</v>
      </c>
    </row>
    <row r="3545" spans="1:4" ht="25.5" x14ac:dyDescent="0.25">
      <c r="A3545" s="104">
        <v>89769</v>
      </c>
      <c r="B3545" s="105" t="s">
        <v>3632</v>
      </c>
      <c r="C3545" s="106" t="s">
        <v>801</v>
      </c>
      <c r="D3545" s="107">
        <v>50.23</v>
      </c>
    </row>
    <row r="3546" spans="1:4" ht="25.5" x14ac:dyDescent="0.25">
      <c r="A3546" s="104">
        <v>89772</v>
      </c>
      <c r="B3546" s="105" t="s">
        <v>3633</v>
      </c>
      <c r="C3546" s="106" t="s">
        <v>16</v>
      </c>
      <c r="D3546" s="107">
        <v>80.400000000000006</v>
      </c>
    </row>
    <row r="3547" spans="1:4" ht="38.25" x14ac:dyDescent="0.25">
      <c r="A3547" s="104">
        <v>89774</v>
      </c>
      <c r="B3547" s="105" t="s">
        <v>288</v>
      </c>
      <c r="C3547" s="106" t="s">
        <v>801</v>
      </c>
      <c r="D3547" s="107">
        <v>11.46</v>
      </c>
    </row>
    <row r="3548" spans="1:4" ht="38.25" x14ac:dyDescent="0.25">
      <c r="A3548" s="104">
        <v>89776</v>
      </c>
      <c r="B3548" s="105" t="s">
        <v>3634</v>
      </c>
      <c r="C3548" s="106" t="s">
        <v>801</v>
      </c>
      <c r="D3548" s="107">
        <v>15.46</v>
      </c>
    </row>
    <row r="3549" spans="1:4" ht="25.5" x14ac:dyDescent="0.25">
      <c r="A3549" s="104">
        <v>89777</v>
      </c>
      <c r="B3549" s="105" t="s">
        <v>3635</v>
      </c>
      <c r="C3549" s="106" t="s">
        <v>801</v>
      </c>
      <c r="D3549" s="107">
        <v>25.77</v>
      </c>
    </row>
    <row r="3550" spans="1:4" ht="38.25" x14ac:dyDescent="0.25">
      <c r="A3550" s="104">
        <v>89778</v>
      </c>
      <c r="B3550" s="105" t="s">
        <v>286</v>
      </c>
      <c r="C3550" s="106" t="s">
        <v>801</v>
      </c>
      <c r="D3550" s="107">
        <v>14.49</v>
      </c>
    </row>
    <row r="3551" spans="1:4" ht="38.25" x14ac:dyDescent="0.25">
      <c r="A3551" s="104">
        <v>89779</v>
      </c>
      <c r="B3551" s="105" t="s">
        <v>3636</v>
      </c>
      <c r="C3551" s="106" t="s">
        <v>801</v>
      </c>
      <c r="D3551" s="107">
        <v>21.88</v>
      </c>
    </row>
    <row r="3552" spans="1:4" ht="25.5" x14ac:dyDescent="0.25">
      <c r="A3552" s="104">
        <v>89780</v>
      </c>
      <c r="B3552" s="105" t="s">
        <v>3637</v>
      </c>
      <c r="C3552" s="106" t="s">
        <v>801</v>
      </c>
      <c r="D3552" s="107">
        <v>25.77</v>
      </c>
    </row>
    <row r="3553" spans="1:4" ht="25.5" x14ac:dyDescent="0.25">
      <c r="A3553" s="104">
        <v>89781</v>
      </c>
      <c r="B3553" s="105" t="s">
        <v>3638</v>
      </c>
      <c r="C3553" s="106" t="s">
        <v>801</v>
      </c>
      <c r="D3553" s="107">
        <v>39.04</v>
      </c>
    </row>
    <row r="3554" spans="1:4" ht="38.25" x14ac:dyDescent="0.25">
      <c r="A3554" s="104">
        <v>89782</v>
      </c>
      <c r="B3554" s="105" t="s">
        <v>3639</v>
      </c>
      <c r="C3554" s="106" t="s">
        <v>801</v>
      </c>
      <c r="D3554" s="107">
        <v>9.19</v>
      </c>
    </row>
    <row r="3555" spans="1:4" ht="38.25" x14ac:dyDescent="0.25">
      <c r="A3555" s="104">
        <v>89783</v>
      </c>
      <c r="B3555" s="105" t="s">
        <v>294</v>
      </c>
      <c r="C3555" s="106" t="s">
        <v>801</v>
      </c>
      <c r="D3555" s="107">
        <v>9.3800000000000008</v>
      </c>
    </row>
    <row r="3556" spans="1:4" ht="38.25" x14ac:dyDescent="0.25">
      <c r="A3556" s="104">
        <v>89784</v>
      </c>
      <c r="B3556" s="105" t="s">
        <v>375</v>
      </c>
      <c r="C3556" s="106" t="s">
        <v>801</v>
      </c>
      <c r="D3556" s="107">
        <v>15.25</v>
      </c>
    </row>
    <row r="3557" spans="1:4" ht="38.25" x14ac:dyDescent="0.25">
      <c r="A3557" s="104">
        <v>89785</v>
      </c>
      <c r="B3557" s="105" t="s">
        <v>285</v>
      </c>
      <c r="C3557" s="106" t="s">
        <v>801</v>
      </c>
      <c r="D3557" s="107">
        <v>16.489999999999998</v>
      </c>
    </row>
    <row r="3558" spans="1:4" ht="38.25" x14ac:dyDescent="0.25">
      <c r="A3558" s="104">
        <v>89786</v>
      </c>
      <c r="B3558" s="105" t="s">
        <v>3640</v>
      </c>
      <c r="C3558" s="106" t="s">
        <v>801</v>
      </c>
      <c r="D3558" s="107">
        <v>24.89</v>
      </c>
    </row>
    <row r="3559" spans="1:4" ht="25.5" x14ac:dyDescent="0.25">
      <c r="A3559" s="104">
        <v>89787</v>
      </c>
      <c r="B3559" s="105" t="s">
        <v>3641</v>
      </c>
      <c r="C3559" s="106" t="s">
        <v>801</v>
      </c>
      <c r="D3559" s="107">
        <v>39.04</v>
      </c>
    </row>
    <row r="3560" spans="1:4" ht="25.5" x14ac:dyDescent="0.25">
      <c r="A3560" s="104">
        <v>89788</v>
      </c>
      <c r="B3560" s="105" t="s">
        <v>3642</v>
      </c>
      <c r="C3560" s="106" t="s">
        <v>801</v>
      </c>
      <c r="D3560" s="107">
        <v>78.08</v>
      </c>
    </row>
    <row r="3561" spans="1:4" ht="25.5" x14ac:dyDescent="0.25">
      <c r="A3561" s="104">
        <v>89789</v>
      </c>
      <c r="B3561" s="105" t="s">
        <v>3643</v>
      </c>
      <c r="C3561" s="106" t="s">
        <v>801</v>
      </c>
      <c r="D3561" s="107">
        <v>79.36</v>
      </c>
    </row>
    <row r="3562" spans="1:4" ht="25.5" x14ac:dyDescent="0.25">
      <c r="A3562" s="104">
        <v>89790</v>
      </c>
      <c r="B3562" s="105" t="s">
        <v>3644</v>
      </c>
      <c r="C3562" s="106" t="s">
        <v>801</v>
      </c>
      <c r="D3562" s="107">
        <v>196.81</v>
      </c>
    </row>
    <row r="3563" spans="1:4" ht="25.5" x14ac:dyDescent="0.25">
      <c r="A3563" s="104">
        <v>89791</v>
      </c>
      <c r="B3563" s="105" t="s">
        <v>3645</v>
      </c>
      <c r="C3563" s="106" t="s">
        <v>801</v>
      </c>
      <c r="D3563" s="107">
        <v>201.52</v>
      </c>
    </row>
    <row r="3564" spans="1:4" ht="25.5" x14ac:dyDescent="0.25">
      <c r="A3564" s="104">
        <v>89792</v>
      </c>
      <c r="B3564" s="105" t="s">
        <v>3646</v>
      </c>
      <c r="C3564" s="106" t="s">
        <v>801</v>
      </c>
      <c r="D3564" s="107">
        <v>230.88</v>
      </c>
    </row>
    <row r="3565" spans="1:4" ht="25.5" x14ac:dyDescent="0.25">
      <c r="A3565" s="104">
        <v>89793</v>
      </c>
      <c r="B3565" s="105" t="s">
        <v>3647</v>
      </c>
      <c r="C3565" s="106" t="s">
        <v>801</v>
      </c>
      <c r="D3565" s="107">
        <v>237.23</v>
      </c>
    </row>
    <row r="3566" spans="1:4" ht="25.5" x14ac:dyDescent="0.25">
      <c r="A3566" s="104">
        <v>89794</v>
      </c>
      <c r="B3566" s="105" t="s">
        <v>3648</v>
      </c>
      <c r="C3566" s="106" t="s">
        <v>801</v>
      </c>
      <c r="D3566" s="107">
        <v>17.559999999999999</v>
      </c>
    </row>
    <row r="3567" spans="1:4" ht="38.25" x14ac:dyDescent="0.25">
      <c r="A3567" s="104">
        <v>89795</v>
      </c>
      <c r="B3567" s="105" t="s">
        <v>3649</v>
      </c>
      <c r="C3567" s="106" t="s">
        <v>801</v>
      </c>
      <c r="D3567" s="107">
        <v>26.58</v>
      </c>
    </row>
    <row r="3568" spans="1:4" ht="38.25" x14ac:dyDescent="0.25">
      <c r="A3568" s="104">
        <v>89796</v>
      </c>
      <c r="B3568" s="105" t="s">
        <v>3650</v>
      </c>
      <c r="C3568" s="106" t="s">
        <v>801</v>
      </c>
      <c r="D3568" s="107">
        <v>30.99</v>
      </c>
    </row>
    <row r="3569" spans="1:4" ht="38.25" x14ac:dyDescent="0.25">
      <c r="A3569" s="104">
        <v>89797</v>
      </c>
      <c r="B3569" s="105" t="s">
        <v>284</v>
      </c>
      <c r="C3569" s="106" t="s">
        <v>801</v>
      </c>
      <c r="D3569" s="107">
        <v>34.950000000000003</v>
      </c>
    </row>
    <row r="3570" spans="1:4" ht="38.25" x14ac:dyDescent="0.25">
      <c r="A3570" s="104">
        <v>89801</v>
      </c>
      <c r="B3570" s="105" t="s">
        <v>3651</v>
      </c>
      <c r="C3570" s="106" t="s">
        <v>801</v>
      </c>
      <c r="D3570" s="107">
        <v>5.48</v>
      </c>
    </row>
    <row r="3571" spans="1:4" ht="38.25" x14ac:dyDescent="0.25">
      <c r="A3571" s="104">
        <v>89802</v>
      </c>
      <c r="B3571" s="105" t="s">
        <v>3652</v>
      </c>
      <c r="C3571" s="106" t="s">
        <v>801</v>
      </c>
      <c r="D3571" s="107">
        <v>5.91</v>
      </c>
    </row>
    <row r="3572" spans="1:4" ht="38.25" x14ac:dyDescent="0.25">
      <c r="A3572" s="104">
        <v>89803</v>
      </c>
      <c r="B3572" s="105" t="s">
        <v>3653</v>
      </c>
      <c r="C3572" s="106" t="s">
        <v>801</v>
      </c>
      <c r="D3572" s="107">
        <v>10.57</v>
      </c>
    </row>
    <row r="3573" spans="1:4" ht="38.25" x14ac:dyDescent="0.25">
      <c r="A3573" s="104">
        <v>89804</v>
      </c>
      <c r="B3573" s="105" t="s">
        <v>3654</v>
      </c>
      <c r="C3573" s="106" t="s">
        <v>801</v>
      </c>
      <c r="D3573" s="107">
        <v>11.28</v>
      </c>
    </row>
    <row r="3574" spans="1:4" ht="38.25" x14ac:dyDescent="0.25">
      <c r="A3574" s="104">
        <v>89805</v>
      </c>
      <c r="B3574" s="105" t="s">
        <v>3655</v>
      </c>
      <c r="C3574" s="106" t="s">
        <v>801</v>
      </c>
      <c r="D3574" s="107">
        <v>10.63</v>
      </c>
    </row>
    <row r="3575" spans="1:4" ht="38.25" x14ac:dyDescent="0.25">
      <c r="A3575" s="104">
        <v>89806</v>
      </c>
      <c r="B3575" s="105" t="s">
        <v>3656</v>
      </c>
      <c r="C3575" s="106" t="s">
        <v>801</v>
      </c>
      <c r="D3575" s="107">
        <v>11.24</v>
      </c>
    </row>
    <row r="3576" spans="1:4" ht="38.25" x14ac:dyDescent="0.25">
      <c r="A3576" s="104">
        <v>89807</v>
      </c>
      <c r="B3576" s="105" t="s">
        <v>3657</v>
      </c>
      <c r="C3576" s="106" t="s">
        <v>801</v>
      </c>
      <c r="D3576" s="107">
        <v>19.440000000000001</v>
      </c>
    </row>
    <row r="3577" spans="1:4" ht="38.25" x14ac:dyDescent="0.25">
      <c r="A3577" s="104">
        <v>89808</v>
      </c>
      <c r="B3577" s="105" t="s">
        <v>3658</v>
      </c>
      <c r="C3577" s="106" t="s">
        <v>801</v>
      </c>
      <c r="D3577" s="107">
        <v>28.29</v>
      </c>
    </row>
    <row r="3578" spans="1:4" ht="38.25" x14ac:dyDescent="0.25">
      <c r="A3578" s="104">
        <v>89809</v>
      </c>
      <c r="B3578" s="105" t="s">
        <v>3659</v>
      </c>
      <c r="C3578" s="106" t="s">
        <v>801</v>
      </c>
      <c r="D3578" s="107">
        <v>14.29</v>
      </c>
    </row>
    <row r="3579" spans="1:4" ht="38.25" x14ac:dyDescent="0.25">
      <c r="A3579" s="104">
        <v>89810</v>
      </c>
      <c r="B3579" s="105" t="s">
        <v>3660</v>
      </c>
      <c r="C3579" s="106" t="s">
        <v>801</v>
      </c>
      <c r="D3579" s="107">
        <v>14.25</v>
      </c>
    </row>
    <row r="3580" spans="1:4" ht="38.25" x14ac:dyDescent="0.25">
      <c r="A3580" s="104">
        <v>89811</v>
      </c>
      <c r="B3580" s="105" t="s">
        <v>3661</v>
      </c>
      <c r="C3580" s="106" t="s">
        <v>801</v>
      </c>
      <c r="D3580" s="107">
        <v>23.88</v>
      </c>
    </row>
    <row r="3581" spans="1:4" ht="38.25" x14ac:dyDescent="0.25">
      <c r="A3581" s="104">
        <v>89812</v>
      </c>
      <c r="B3581" s="105" t="s">
        <v>3662</v>
      </c>
      <c r="C3581" s="106" t="s">
        <v>801</v>
      </c>
      <c r="D3581" s="107">
        <v>40.9</v>
      </c>
    </row>
    <row r="3582" spans="1:4" ht="38.25" x14ac:dyDescent="0.25">
      <c r="A3582" s="104">
        <v>89813</v>
      </c>
      <c r="B3582" s="105" t="s">
        <v>3663</v>
      </c>
      <c r="C3582" s="106" t="s">
        <v>801</v>
      </c>
      <c r="D3582" s="107">
        <v>5.42</v>
      </c>
    </row>
    <row r="3583" spans="1:4" ht="38.25" x14ac:dyDescent="0.25">
      <c r="A3583" s="104">
        <v>89814</v>
      </c>
      <c r="B3583" s="105" t="s">
        <v>3664</v>
      </c>
      <c r="C3583" s="106" t="s">
        <v>801</v>
      </c>
      <c r="D3583" s="107">
        <v>10.59</v>
      </c>
    </row>
    <row r="3584" spans="1:4" ht="25.5" x14ac:dyDescent="0.25">
      <c r="A3584" s="104">
        <v>89815</v>
      </c>
      <c r="B3584" s="105" t="s">
        <v>3665</v>
      </c>
      <c r="C3584" s="106" t="s">
        <v>801</v>
      </c>
      <c r="D3584" s="107">
        <v>30.58</v>
      </c>
    </row>
    <row r="3585" spans="1:4" ht="25.5" x14ac:dyDescent="0.25">
      <c r="A3585" s="104">
        <v>89816</v>
      </c>
      <c r="B3585" s="105" t="s">
        <v>3666</v>
      </c>
      <c r="C3585" s="106" t="s">
        <v>801</v>
      </c>
      <c r="D3585" s="107">
        <v>44.54</v>
      </c>
    </row>
    <row r="3586" spans="1:4" ht="38.25" x14ac:dyDescent="0.25">
      <c r="A3586" s="104">
        <v>89817</v>
      </c>
      <c r="B3586" s="105" t="s">
        <v>3667</v>
      </c>
      <c r="C3586" s="106" t="s">
        <v>801</v>
      </c>
      <c r="D3586" s="107">
        <v>9.24</v>
      </c>
    </row>
    <row r="3587" spans="1:4" ht="25.5" x14ac:dyDescent="0.25">
      <c r="A3587" s="104">
        <v>89818</v>
      </c>
      <c r="B3587" s="105" t="s">
        <v>3668</v>
      </c>
      <c r="C3587" s="106" t="s">
        <v>801</v>
      </c>
      <c r="D3587" s="107">
        <v>182.63</v>
      </c>
    </row>
    <row r="3588" spans="1:4" ht="38.25" x14ac:dyDescent="0.25">
      <c r="A3588" s="104">
        <v>89819</v>
      </c>
      <c r="B3588" s="105" t="s">
        <v>3669</v>
      </c>
      <c r="C3588" s="106" t="s">
        <v>801</v>
      </c>
      <c r="D3588" s="107">
        <v>13.24</v>
      </c>
    </row>
    <row r="3589" spans="1:4" ht="25.5" x14ac:dyDescent="0.25">
      <c r="A3589" s="104">
        <v>89820</v>
      </c>
      <c r="B3589" s="105" t="s">
        <v>3670</v>
      </c>
      <c r="C3589" s="106" t="s">
        <v>801</v>
      </c>
      <c r="D3589" s="107">
        <v>33.380000000000003</v>
      </c>
    </row>
    <row r="3590" spans="1:4" ht="38.25" x14ac:dyDescent="0.25">
      <c r="A3590" s="104">
        <v>89821</v>
      </c>
      <c r="B3590" s="105" t="s">
        <v>3671</v>
      </c>
      <c r="C3590" s="106" t="s">
        <v>801</v>
      </c>
      <c r="D3590" s="107">
        <v>11.64</v>
      </c>
    </row>
    <row r="3591" spans="1:4" ht="25.5" x14ac:dyDescent="0.25">
      <c r="A3591" s="104">
        <v>89822</v>
      </c>
      <c r="B3591" s="105" t="s">
        <v>3672</v>
      </c>
      <c r="C3591" s="106" t="s">
        <v>801</v>
      </c>
      <c r="D3591" s="107">
        <v>23.28</v>
      </c>
    </row>
    <row r="3592" spans="1:4" ht="38.25" x14ac:dyDescent="0.25">
      <c r="A3592" s="104">
        <v>89823</v>
      </c>
      <c r="B3592" s="105" t="s">
        <v>3673</v>
      </c>
      <c r="C3592" s="106" t="s">
        <v>801</v>
      </c>
      <c r="D3592" s="107">
        <v>19.03</v>
      </c>
    </row>
    <row r="3593" spans="1:4" ht="25.5" x14ac:dyDescent="0.25">
      <c r="A3593" s="104">
        <v>89824</v>
      </c>
      <c r="B3593" s="105" t="s">
        <v>3674</v>
      </c>
      <c r="C3593" s="106" t="s">
        <v>801</v>
      </c>
      <c r="D3593" s="107">
        <v>41.83</v>
      </c>
    </row>
    <row r="3594" spans="1:4" ht="38.25" x14ac:dyDescent="0.25">
      <c r="A3594" s="104">
        <v>89825</v>
      </c>
      <c r="B3594" s="105" t="s">
        <v>373</v>
      </c>
      <c r="C3594" s="106" t="s">
        <v>801</v>
      </c>
      <c r="D3594" s="107">
        <v>11.77</v>
      </c>
    </row>
    <row r="3595" spans="1:4" ht="25.5" x14ac:dyDescent="0.25">
      <c r="A3595" s="104">
        <v>89826</v>
      </c>
      <c r="B3595" s="105" t="s">
        <v>3675</v>
      </c>
      <c r="C3595" s="106" t="s">
        <v>801</v>
      </c>
      <c r="D3595" s="107">
        <v>186.24</v>
      </c>
    </row>
    <row r="3596" spans="1:4" ht="38.25" x14ac:dyDescent="0.25">
      <c r="A3596" s="104">
        <v>89827</v>
      </c>
      <c r="B3596" s="105" t="s">
        <v>3676</v>
      </c>
      <c r="C3596" s="106" t="s">
        <v>801</v>
      </c>
      <c r="D3596" s="107">
        <v>13.01</v>
      </c>
    </row>
    <row r="3597" spans="1:4" ht="25.5" x14ac:dyDescent="0.25">
      <c r="A3597" s="104">
        <v>89828</v>
      </c>
      <c r="B3597" s="105" t="s">
        <v>3677</v>
      </c>
      <c r="C3597" s="106" t="s">
        <v>801</v>
      </c>
      <c r="D3597" s="107">
        <v>64.72</v>
      </c>
    </row>
    <row r="3598" spans="1:4" ht="38.25" x14ac:dyDescent="0.25">
      <c r="A3598" s="104">
        <v>89829</v>
      </c>
      <c r="B3598" s="105" t="s">
        <v>374</v>
      </c>
      <c r="C3598" s="106" t="s">
        <v>801</v>
      </c>
      <c r="D3598" s="107">
        <v>20.46</v>
      </c>
    </row>
    <row r="3599" spans="1:4" ht="38.25" x14ac:dyDescent="0.25">
      <c r="A3599" s="104">
        <v>89830</v>
      </c>
      <c r="B3599" s="105" t="s">
        <v>3678</v>
      </c>
      <c r="C3599" s="106" t="s">
        <v>801</v>
      </c>
      <c r="D3599" s="107">
        <v>22.15</v>
      </c>
    </row>
    <row r="3600" spans="1:4" ht="25.5" x14ac:dyDescent="0.25">
      <c r="A3600" s="104">
        <v>89831</v>
      </c>
      <c r="B3600" s="105" t="s">
        <v>3679</v>
      </c>
      <c r="C3600" s="106" t="s">
        <v>801</v>
      </c>
      <c r="D3600" s="107">
        <v>223.06</v>
      </c>
    </row>
    <row r="3601" spans="1:4" ht="38.25" x14ac:dyDescent="0.25">
      <c r="A3601" s="104">
        <v>89832</v>
      </c>
      <c r="B3601" s="105" t="s">
        <v>3680</v>
      </c>
      <c r="C3601" s="106" t="s">
        <v>801</v>
      </c>
      <c r="D3601" s="107">
        <v>43.94</v>
      </c>
    </row>
    <row r="3602" spans="1:4" ht="38.25" x14ac:dyDescent="0.25">
      <c r="A3602" s="104">
        <v>89833</v>
      </c>
      <c r="B3602" s="105" t="s">
        <v>3681</v>
      </c>
      <c r="C3602" s="106" t="s">
        <v>801</v>
      </c>
      <c r="D3602" s="107">
        <v>25.6</v>
      </c>
    </row>
    <row r="3603" spans="1:4" ht="38.25" x14ac:dyDescent="0.25">
      <c r="A3603" s="104">
        <v>89834</v>
      </c>
      <c r="B3603" s="105" t="s">
        <v>3682</v>
      </c>
      <c r="C3603" s="106" t="s">
        <v>801</v>
      </c>
      <c r="D3603" s="107">
        <v>29.56</v>
      </c>
    </row>
    <row r="3604" spans="1:4" ht="25.5" x14ac:dyDescent="0.25">
      <c r="A3604" s="104">
        <v>89835</v>
      </c>
      <c r="B3604" s="105" t="s">
        <v>3683</v>
      </c>
      <c r="C3604" s="106" t="s">
        <v>801</v>
      </c>
      <c r="D3604" s="107">
        <v>42.78</v>
      </c>
    </row>
    <row r="3605" spans="1:4" ht="25.5" x14ac:dyDescent="0.25">
      <c r="A3605" s="104">
        <v>89836</v>
      </c>
      <c r="B3605" s="105" t="s">
        <v>3684</v>
      </c>
      <c r="C3605" s="106" t="s">
        <v>801</v>
      </c>
      <c r="D3605" s="107">
        <v>301.61</v>
      </c>
    </row>
    <row r="3606" spans="1:4" ht="25.5" x14ac:dyDescent="0.25">
      <c r="A3606" s="104">
        <v>89837</v>
      </c>
      <c r="B3606" s="105" t="s">
        <v>3685</v>
      </c>
      <c r="C3606" s="106" t="s">
        <v>801</v>
      </c>
      <c r="D3606" s="107">
        <v>148.99</v>
      </c>
    </row>
    <row r="3607" spans="1:4" ht="25.5" x14ac:dyDescent="0.25">
      <c r="A3607" s="104">
        <v>89838</v>
      </c>
      <c r="B3607" s="105" t="s">
        <v>3686</v>
      </c>
      <c r="C3607" s="106" t="s">
        <v>801</v>
      </c>
      <c r="D3607" s="107">
        <v>162.33000000000001</v>
      </c>
    </row>
    <row r="3608" spans="1:4" ht="25.5" x14ac:dyDescent="0.25">
      <c r="A3608" s="104">
        <v>89839</v>
      </c>
      <c r="B3608" s="105" t="s">
        <v>3687</v>
      </c>
      <c r="C3608" s="106" t="s">
        <v>801</v>
      </c>
      <c r="D3608" s="107">
        <v>216.03</v>
      </c>
    </row>
    <row r="3609" spans="1:4" ht="25.5" x14ac:dyDescent="0.25">
      <c r="A3609" s="104">
        <v>89840</v>
      </c>
      <c r="B3609" s="105" t="s">
        <v>3688</v>
      </c>
      <c r="C3609" s="106" t="s">
        <v>801</v>
      </c>
      <c r="D3609" s="107">
        <v>186.34</v>
      </c>
    </row>
    <row r="3610" spans="1:4" ht="25.5" x14ac:dyDescent="0.25">
      <c r="A3610" s="104">
        <v>89841</v>
      </c>
      <c r="B3610" s="105" t="s">
        <v>3689</v>
      </c>
      <c r="C3610" s="106" t="s">
        <v>801</v>
      </c>
      <c r="D3610" s="107">
        <v>317.54000000000002</v>
      </c>
    </row>
    <row r="3611" spans="1:4" ht="25.5" x14ac:dyDescent="0.25">
      <c r="A3611" s="104">
        <v>89842</v>
      </c>
      <c r="B3611" s="105" t="s">
        <v>3690</v>
      </c>
      <c r="C3611" s="106" t="s">
        <v>801</v>
      </c>
      <c r="D3611" s="107">
        <v>48.78</v>
      </c>
    </row>
    <row r="3612" spans="1:4" ht="25.5" x14ac:dyDescent="0.25">
      <c r="A3612" s="104">
        <v>89844</v>
      </c>
      <c r="B3612" s="105" t="s">
        <v>3691</v>
      </c>
      <c r="C3612" s="106" t="s">
        <v>801</v>
      </c>
      <c r="D3612" s="107">
        <v>62.43</v>
      </c>
    </row>
    <row r="3613" spans="1:4" ht="25.5" x14ac:dyDescent="0.25">
      <c r="A3613" s="104">
        <v>89845</v>
      </c>
      <c r="B3613" s="105" t="s">
        <v>3692</v>
      </c>
      <c r="C3613" s="106" t="s">
        <v>801</v>
      </c>
      <c r="D3613" s="107">
        <v>98.04</v>
      </c>
    </row>
    <row r="3614" spans="1:4" ht="25.5" x14ac:dyDescent="0.25">
      <c r="A3614" s="104">
        <v>89846</v>
      </c>
      <c r="B3614" s="105" t="s">
        <v>3693</v>
      </c>
      <c r="C3614" s="106" t="s">
        <v>801</v>
      </c>
      <c r="D3614" s="107">
        <v>224.79</v>
      </c>
    </row>
    <row r="3615" spans="1:4" ht="25.5" x14ac:dyDescent="0.25">
      <c r="A3615" s="104">
        <v>89847</v>
      </c>
      <c r="B3615" s="105" t="s">
        <v>3694</v>
      </c>
      <c r="C3615" s="106" t="s">
        <v>801</v>
      </c>
      <c r="D3615" s="107">
        <v>275.83</v>
      </c>
    </row>
    <row r="3616" spans="1:4" ht="38.25" x14ac:dyDescent="0.25">
      <c r="A3616" s="104">
        <v>89850</v>
      </c>
      <c r="B3616" s="105" t="s">
        <v>3695</v>
      </c>
      <c r="C3616" s="106" t="s">
        <v>801</v>
      </c>
      <c r="D3616" s="107">
        <v>18.079999999999998</v>
      </c>
    </row>
    <row r="3617" spans="1:4" ht="38.25" x14ac:dyDescent="0.25">
      <c r="A3617" s="104">
        <v>89851</v>
      </c>
      <c r="B3617" s="105" t="s">
        <v>3696</v>
      </c>
      <c r="C3617" s="106" t="s">
        <v>801</v>
      </c>
      <c r="D3617" s="107">
        <v>18.04</v>
      </c>
    </row>
    <row r="3618" spans="1:4" ht="38.25" x14ac:dyDescent="0.25">
      <c r="A3618" s="104">
        <v>89852</v>
      </c>
      <c r="B3618" s="105" t="s">
        <v>3697</v>
      </c>
      <c r="C3618" s="106" t="s">
        <v>801</v>
      </c>
      <c r="D3618" s="107">
        <v>27.67</v>
      </c>
    </row>
    <row r="3619" spans="1:4" ht="38.25" x14ac:dyDescent="0.25">
      <c r="A3619" s="104">
        <v>89853</v>
      </c>
      <c r="B3619" s="105" t="s">
        <v>3698</v>
      </c>
      <c r="C3619" s="106" t="s">
        <v>801</v>
      </c>
      <c r="D3619" s="107">
        <v>44.69</v>
      </c>
    </row>
    <row r="3620" spans="1:4" ht="38.25" x14ac:dyDescent="0.25">
      <c r="A3620" s="104">
        <v>89854</v>
      </c>
      <c r="B3620" s="105" t="s">
        <v>3699</v>
      </c>
      <c r="C3620" s="106" t="s">
        <v>801</v>
      </c>
      <c r="D3620" s="107">
        <v>60.15</v>
      </c>
    </row>
    <row r="3621" spans="1:4" ht="38.25" x14ac:dyDescent="0.25">
      <c r="A3621" s="104">
        <v>89855</v>
      </c>
      <c r="B3621" s="105" t="s">
        <v>3700</v>
      </c>
      <c r="C3621" s="106" t="s">
        <v>801</v>
      </c>
      <c r="D3621" s="107">
        <v>63.57</v>
      </c>
    </row>
    <row r="3622" spans="1:4" ht="38.25" x14ac:dyDescent="0.25">
      <c r="A3622" s="104">
        <v>89856</v>
      </c>
      <c r="B3622" s="105" t="s">
        <v>3701</v>
      </c>
      <c r="C3622" s="106" t="s">
        <v>801</v>
      </c>
      <c r="D3622" s="107">
        <v>14.17</v>
      </c>
    </row>
    <row r="3623" spans="1:4" ht="38.25" x14ac:dyDescent="0.25">
      <c r="A3623" s="104">
        <v>89857</v>
      </c>
      <c r="B3623" s="105" t="s">
        <v>3702</v>
      </c>
      <c r="C3623" s="106" t="s">
        <v>801</v>
      </c>
      <c r="D3623" s="107">
        <v>21.56</v>
      </c>
    </row>
    <row r="3624" spans="1:4" ht="38.25" x14ac:dyDescent="0.25">
      <c r="A3624" s="104">
        <v>89859</v>
      </c>
      <c r="B3624" s="105" t="s">
        <v>3703</v>
      </c>
      <c r="C3624" s="106" t="s">
        <v>801</v>
      </c>
      <c r="D3624" s="107">
        <v>59.24</v>
      </c>
    </row>
    <row r="3625" spans="1:4" ht="38.25" x14ac:dyDescent="0.25">
      <c r="A3625" s="104">
        <v>89860</v>
      </c>
      <c r="B3625" s="105" t="s">
        <v>3704</v>
      </c>
      <c r="C3625" s="106" t="s">
        <v>801</v>
      </c>
      <c r="D3625" s="107">
        <v>30.67</v>
      </c>
    </row>
    <row r="3626" spans="1:4" ht="38.25" x14ac:dyDescent="0.25">
      <c r="A3626" s="104">
        <v>89861</v>
      </c>
      <c r="B3626" s="105" t="s">
        <v>3705</v>
      </c>
      <c r="C3626" s="106" t="s">
        <v>801</v>
      </c>
      <c r="D3626" s="107">
        <v>34.630000000000003</v>
      </c>
    </row>
    <row r="3627" spans="1:4" ht="38.25" x14ac:dyDescent="0.25">
      <c r="A3627" s="104">
        <v>89862</v>
      </c>
      <c r="B3627" s="105" t="s">
        <v>3706</v>
      </c>
      <c r="C3627" s="106" t="s">
        <v>801</v>
      </c>
      <c r="D3627" s="107">
        <v>68.84</v>
      </c>
    </row>
    <row r="3628" spans="1:4" ht="38.25" x14ac:dyDescent="0.25">
      <c r="A3628" s="104">
        <v>89863</v>
      </c>
      <c r="B3628" s="105" t="s">
        <v>3707</v>
      </c>
      <c r="C3628" s="106" t="s">
        <v>801</v>
      </c>
      <c r="D3628" s="107">
        <v>135.08000000000001</v>
      </c>
    </row>
    <row r="3629" spans="1:4" ht="25.5" x14ac:dyDescent="0.25">
      <c r="A3629" s="104">
        <v>89866</v>
      </c>
      <c r="B3629" s="105" t="s">
        <v>318</v>
      </c>
      <c r="C3629" s="106" t="s">
        <v>801</v>
      </c>
      <c r="D3629" s="107">
        <v>3.95</v>
      </c>
    </row>
    <row r="3630" spans="1:4" ht="25.5" x14ac:dyDescent="0.25">
      <c r="A3630" s="104">
        <v>89867</v>
      </c>
      <c r="B3630" s="105" t="s">
        <v>317</v>
      </c>
      <c r="C3630" s="106" t="s">
        <v>801</v>
      </c>
      <c r="D3630" s="107">
        <v>4.53</v>
      </c>
    </row>
    <row r="3631" spans="1:4" ht="25.5" x14ac:dyDescent="0.25">
      <c r="A3631" s="104">
        <v>89868</v>
      </c>
      <c r="B3631" s="105" t="s">
        <v>3708</v>
      </c>
      <c r="C3631" s="106" t="s">
        <v>801</v>
      </c>
      <c r="D3631" s="107">
        <v>3.04</v>
      </c>
    </row>
    <row r="3632" spans="1:4" ht="25.5" x14ac:dyDescent="0.25">
      <c r="A3632" s="104">
        <v>89869</v>
      </c>
      <c r="B3632" s="105" t="s">
        <v>3709</v>
      </c>
      <c r="C3632" s="106" t="s">
        <v>801</v>
      </c>
      <c r="D3632" s="107">
        <v>6.67</v>
      </c>
    </row>
    <row r="3633" spans="1:4" ht="38.25" x14ac:dyDescent="0.25">
      <c r="A3633" s="104">
        <v>89979</v>
      </c>
      <c r="B3633" s="105" t="s">
        <v>3710</v>
      </c>
      <c r="C3633" s="106" t="s">
        <v>801</v>
      </c>
      <c r="D3633" s="107">
        <v>19.329999999999998</v>
      </c>
    </row>
    <row r="3634" spans="1:4" ht="38.25" x14ac:dyDescent="0.25">
      <c r="A3634" s="104">
        <v>89980</v>
      </c>
      <c r="B3634" s="105" t="s">
        <v>3711</v>
      </c>
      <c r="C3634" s="106" t="s">
        <v>801</v>
      </c>
      <c r="D3634" s="107">
        <v>7.54</v>
      </c>
    </row>
    <row r="3635" spans="1:4" ht="38.25" x14ac:dyDescent="0.25">
      <c r="A3635" s="104">
        <v>89981</v>
      </c>
      <c r="B3635" s="105" t="s">
        <v>3712</v>
      </c>
      <c r="C3635" s="106" t="s">
        <v>801</v>
      </c>
      <c r="D3635" s="107">
        <v>17.03</v>
      </c>
    </row>
    <row r="3636" spans="1:4" ht="38.25" x14ac:dyDescent="0.25">
      <c r="A3636" s="104">
        <v>90373</v>
      </c>
      <c r="B3636" s="105" t="s">
        <v>266</v>
      </c>
      <c r="C3636" s="106" t="s">
        <v>801</v>
      </c>
      <c r="D3636" s="107">
        <v>10.61</v>
      </c>
    </row>
    <row r="3637" spans="1:4" ht="38.25" x14ac:dyDescent="0.25">
      <c r="A3637" s="104">
        <v>90374</v>
      </c>
      <c r="B3637" s="105" t="s">
        <v>3713</v>
      </c>
      <c r="C3637" s="106" t="s">
        <v>801</v>
      </c>
      <c r="D3637" s="107">
        <v>16.559999999999999</v>
      </c>
    </row>
    <row r="3638" spans="1:4" ht="38.25" x14ac:dyDescent="0.25">
      <c r="A3638" s="104">
        <v>90375</v>
      </c>
      <c r="B3638" s="105" t="s">
        <v>3714</v>
      </c>
      <c r="C3638" s="106" t="s">
        <v>801</v>
      </c>
      <c r="D3638" s="107">
        <v>6.88</v>
      </c>
    </row>
    <row r="3639" spans="1:4" ht="38.25" x14ac:dyDescent="0.25">
      <c r="A3639" s="104">
        <v>92287</v>
      </c>
      <c r="B3639" s="105" t="s">
        <v>3715</v>
      </c>
      <c r="C3639" s="106" t="s">
        <v>801</v>
      </c>
      <c r="D3639" s="107">
        <v>11.84</v>
      </c>
    </row>
    <row r="3640" spans="1:4" ht="25.5" x14ac:dyDescent="0.25">
      <c r="A3640" s="104">
        <v>92288</v>
      </c>
      <c r="B3640" s="105" t="s">
        <v>3716</v>
      </c>
      <c r="C3640" s="106" t="s">
        <v>801</v>
      </c>
      <c r="D3640" s="107">
        <v>18.260000000000002</v>
      </c>
    </row>
    <row r="3641" spans="1:4" ht="25.5" x14ac:dyDescent="0.25">
      <c r="A3641" s="104">
        <v>92289</v>
      </c>
      <c r="B3641" s="105" t="s">
        <v>3717</v>
      </c>
      <c r="C3641" s="106" t="s">
        <v>801</v>
      </c>
      <c r="D3641" s="107">
        <v>32</v>
      </c>
    </row>
    <row r="3642" spans="1:4" ht="25.5" x14ac:dyDescent="0.25">
      <c r="A3642" s="104">
        <v>92290</v>
      </c>
      <c r="B3642" s="105" t="s">
        <v>3718</v>
      </c>
      <c r="C3642" s="106" t="s">
        <v>801</v>
      </c>
      <c r="D3642" s="107">
        <v>48.59</v>
      </c>
    </row>
    <row r="3643" spans="1:4" ht="25.5" x14ac:dyDescent="0.25">
      <c r="A3643" s="104">
        <v>92291</v>
      </c>
      <c r="B3643" s="105" t="s">
        <v>3719</v>
      </c>
      <c r="C3643" s="106" t="s">
        <v>801</v>
      </c>
      <c r="D3643" s="107">
        <v>74.41</v>
      </c>
    </row>
    <row r="3644" spans="1:4" ht="25.5" x14ac:dyDescent="0.25">
      <c r="A3644" s="104">
        <v>92292</v>
      </c>
      <c r="B3644" s="105" t="s">
        <v>3720</v>
      </c>
      <c r="C3644" s="106" t="s">
        <v>801</v>
      </c>
      <c r="D3644" s="107">
        <v>232.26</v>
      </c>
    </row>
    <row r="3645" spans="1:4" ht="25.5" x14ac:dyDescent="0.25">
      <c r="A3645" s="104">
        <v>92293</v>
      </c>
      <c r="B3645" s="105" t="s">
        <v>3721</v>
      </c>
      <c r="C3645" s="106" t="s">
        <v>801</v>
      </c>
      <c r="D3645" s="107">
        <v>6.81</v>
      </c>
    </row>
    <row r="3646" spans="1:4" ht="25.5" x14ac:dyDescent="0.25">
      <c r="A3646" s="104">
        <v>92294</v>
      </c>
      <c r="B3646" s="105" t="s">
        <v>3722</v>
      </c>
      <c r="C3646" s="106" t="s">
        <v>801</v>
      </c>
      <c r="D3646" s="107">
        <v>11.22</v>
      </c>
    </row>
    <row r="3647" spans="1:4" ht="25.5" x14ac:dyDescent="0.25">
      <c r="A3647" s="104">
        <v>92295</v>
      </c>
      <c r="B3647" s="105" t="s">
        <v>3723</v>
      </c>
      <c r="C3647" s="106" t="s">
        <v>801</v>
      </c>
      <c r="D3647" s="107">
        <v>20.84</v>
      </c>
    </row>
    <row r="3648" spans="1:4" ht="25.5" x14ac:dyDescent="0.25">
      <c r="A3648" s="104">
        <v>92296</v>
      </c>
      <c r="B3648" s="105" t="s">
        <v>3724</v>
      </c>
      <c r="C3648" s="106" t="s">
        <v>801</v>
      </c>
      <c r="D3648" s="107">
        <v>27.76</v>
      </c>
    </row>
    <row r="3649" spans="1:4" ht="25.5" x14ac:dyDescent="0.25">
      <c r="A3649" s="104">
        <v>92297</v>
      </c>
      <c r="B3649" s="105" t="s">
        <v>3725</v>
      </c>
      <c r="C3649" s="106" t="s">
        <v>801</v>
      </c>
      <c r="D3649" s="107">
        <v>42.87</v>
      </c>
    </row>
    <row r="3650" spans="1:4" ht="25.5" x14ac:dyDescent="0.25">
      <c r="A3650" s="104">
        <v>92298</v>
      </c>
      <c r="B3650" s="105" t="s">
        <v>3726</v>
      </c>
      <c r="C3650" s="106" t="s">
        <v>801</v>
      </c>
      <c r="D3650" s="107">
        <v>120.25</v>
      </c>
    </row>
    <row r="3651" spans="1:4" ht="25.5" x14ac:dyDescent="0.25">
      <c r="A3651" s="104">
        <v>92299</v>
      </c>
      <c r="B3651" s="105" t="s">
        <v>3727</v>
      </c>
      <c r="C3651" s="106" t="s">
        <v>801</v>
      </c>
      <c r="D3651" s="107">
        <v>15.61</v>
      </c>
    </row>
    <row r="3652" spans="1:4" ht="25.5" x14ac:dyDescent="0.25">
      <c r="A3652" s="104">
        <v>92300</v>
      </c>
      <c r="B3652" s="105" t="s">
        <v>3728</v>
      </c>
      <c r="C3652" s="106" t="s">
        <v>801</v>
      </c>
      <c r="D3652" s="107">
        <v>23.28</v>
      </c>
    </row>
    <row r="3653" spans="1:4" ht="25.5" x14ac:dyDescent="0.25">
      <c r="A3653" s="104">
        <v>92301</v>
      </c>
      <c r="B3653" s="105" t="s">
        <v>3729</v>
      </c>
      <c r="C3653" s="106" t="s">
        <v>801</v>
      </c>
      <c r="D3653" s="107">
        <v>45.54</v>
      </c>
    </row>
    <row r="3654" spans="1:4" ht="25.5" x14ac:dyDescent="0.25">
      <c r="A3654" s="104">
        <v>92302</v>
      </c>
      <c r="B3654" s="105" t="s">
        <v>3730</v>
      </c>
      <c r="C3654" s="106" t="s">
        <v>801</v>
      </c>
      <c r="D3654" s="107">
        <v>60.27</v>
      </c>
    </row>
    <row r="3655" spans="1:4" ht="25.5" x14ac:dyDescent="0.25">
      <c r="A3655" s="104">
        <v>92303</v>
      </c>
      <c r="B3655" s="105" t="s">
        <v>3731</v>
      </c>
      <c r="C3655" s="106" t="s">
        <v>801</v>
      </c>
      <c r="D3655" s="107">
        <v>110.32</v>
      </c>
    </row>
    <row r="3656" spans="1:4" ht="25.5" x14ac:dyDescent="0.25">
      <c r="A3656" s="104">
        <v>92304</v>
      </c>
      <c r="B3656" s="105" t="s">
        <v>3732</v>
      </c>
      <c r="C3656" s="106" t="s">
        <v>801</v>
      </c>
      <c r="D3656" s="107">
        <v>286.64</v>
      </c>
    </row>
    <row r="3657" spans="1:4" ht="38.25" x14ac:dyDescent="0.25">
      <c r="A3657" s="104">
        <v>92311</v>
      </c>
      <c r="B3657" s="105" t="s">
        <v>3733</v>
      </c>
      <c r="C3657" s="106" t="s">
        <v>801</v>
      </c>
      <c r="D3657" s="107">
        <v>8.4499999999999993</v>
      </c>
    </row>
    <row r="3658" spans="1:4" ht="38.25" x14ac:dyDescent="0.25">
      <c r="A3658" s="104">
        <v>92312</v>
      </c>
      <c r="B3658" s="105" t="s">
        <v>3734</v>
      </c>
      <c r="C3658" s="106" t="s">
        <v>801</v>
      </c>
      <c r="D3658" s="107">
        <v>13.83</v>
      </c>
    </row>
    <row r="3659" spans="1:4" ht="38.25" x14ac:dyDescent="0.25">
      <c r="A3659" s="104">
        <v>92313</v>
      </c>
      <c r="B3659" s="105" t="s">
        <v>3735</v>
      </c>
      <c r="C3659" s="106" t="s">
        <v>801</v>
      </c>
      <c r="D3659" s="107">
        <v>20.239999999999998</v>
      </c>
    </row>
    <row r="3660" spans="1:4" ht="25.5" x14ac:dyDescent="0.25">
      <c r="A3660" s="104">
        <v>92314</v>
      </c>
      <c r="B3660" s="105" t="s">
        <v>3736</v>
      </c>
      <c r="C3660" s="106" t="s">
        <v>801</v>
      </c>
      <c r="D3660" s="107">
        <v>5.49</v>
      </c>
    </row>
    <row r="3661" spans="1:4" ht="25.5" x14ac:dyDescent="0.25">
      <c r="A3661" s="104">
        <v>92315</v>
      </c>
      <c r="B3661" s="105" t="s">
        <v>3737</v>
      </c>
      <c r="C3661" s="106" t="s">
        <v>801</v>
      </c>
      <c r="D3661" s="107">
        <v>8.17</v>
      </c>
    </row>
    <row r="3662" spans="1:4" ht="25.5" x14ac:dyDescent="0.25">
      <c r="A3662" s="104">
        <v>92316</v>
      </c>
      <c r="B3662" s="105" t="s">
        <v>3738</v>
      </c>
      <c r="C3662" s="106" t="s">
        <v>801</v>
      </c>
      <c r="D3662" s="107">
        <v>12.55</v>
      </c>
    </row>
    <row r="3663" spans="1:4" ht="25.5" x14ac:dyDescent="0.25">
      <c r="A3663" s="104">
        <v>92317</v>
      </c>
      <c r="B3663" s="105" t="s">
        <v>3739</v>
      </c>
      <c r="C3663" s="106" t="s">
        <v>801</v>
      </c>
      <c r="D3663" s="107">
        <v>11.47</v>
      </c>
    </row>
    <row r="3664" spans="1:4" ht="25.5" x14ac:dyDescent="0.25">
      <c r="A3664" s="104">
        <v>92318</v>
      </c>
      <c r="B3664" s="105" t="s">
        <v>3740</v>
      </c>
      <c r="C3664" s="106" t="s">
        <v>801</v>
      </c>
      <c r="D3664" s="107">
        <v>18.27</v>
      </c>
    </row>
    <row r="3665" spans="1:4" ht="25.5" x14ac:dyDescent="0.25">
      <c r="A3665" s="104">
        <v>92319</v>
      </c>
      <c r="B3665" s="105" t="s">
        <v>3741</v>
      </c>
      <c r="C3665" s="106" t="s">
        <v>801</v>
      </c>
      <c r="D3665" s="107">
        <v>25.93</v>
      </c>
    </row>
    <row r="3666" spans="1:4" ht="38.25" x14ac:dyDescent="0.25">
      <c r="A3666" s="104">
        <v>92326</v>
      </c>
      <c r="B3666" s="105" t="s">
        <v>3742</v>
      </c>
      <c r="C3666" s="106" t="s">
        <v>801</v>
      </c>
      <c r="D3666" s="107">
        <v>9.89</v>
      </c>
    </row>
    <row r="3667" spans="1:4" ht="38.25" x14ac:dyDescent="0.25">
      <c r="A3667" s="104">
        <v>92327</v>
      </c>
      <c r="B3667" s="105" t="s">
        <v>3743</v>
      </c>
      <c r="C3667" s="106" t="s">
        <v>801</v>
      </c>
      <c r="D3667" s="107">
        <v>15.67</v>
      </c>
    </row>
    <row r="3668" spans="1:4" ht="38.25" x14ac:dyDescent="0.25">
      <c r="A3668" s="104">
        <v>92328</v>
      </c>
      <c r="B3668" s="105" t="s">
        <v>3744</v>
      </c>
      <c r="C3668" s="106" t="s">
        <v>801</v>
      </c>
      <c r="D3668" s="107">
        <v>23.5</v>
      </c>
    </row>
    <row r="3669" spans="1:4" ht="25.5" x14ac:dyDescent="0.25">
      <c r="A3669" s="104">
        <v>92329</v>
      </c>
      <c r="B3669" s="105" t="s">
        <v>3745</v>
      </c>
      <c r="C3669" s="106" t="s">
        <v>801</v>
      </c>
      <c r="D3669" s="107">
        <v>5.62</v>
      </c>
    </row>
    <row r="3670" spans="1:4" ht="25.5" x14ac:dyDescent="0.25">
      <c r="A3670" s="104">
        <v>92330</v>
      </c>
      <c r="B3670" s="105" t="s">
        <v>3746</v>
      </c>
      <c r="C3670" s="106" t="s">
        <v>801</v>
      </c>
      <c r="D3670" s="107">
        <v>9.3800000000000008</v>
      </c>
    </row>
    <row r="3671" spans="1:4" ht="25.5" x14ac:dyDescent="0.25">
      <c r="A3671" s="104">
        <v>92331</v>
      </c>
      <c r="B3671" s="105" t="s">
        <v>3747</v>
      </c>
      <c r="C3671" s="106" t="s">
        <v>801</v>
      </c>
      <c r="D3671" s="107">
        <v>14.75</v>
      </c>
    </row>
    <row r="3672" spans="1:4" ht="25.5" x14ac:dyDescent="0.25">
      <c r="A3672" s="104">
        <v>92332</v>
      </c>
      <c r="B3672" s="105" t="s">
        <v>3748</v>
      </c>
      <c r="C3672" s="106" t="s">
        <v>801</v>
      </c>
      <c r="D3672" s="107">
        <v>11.68</v>
      </c>
    </row>
    <row r="3673" spans="1:4" ht="25.5" x14ac:dyDescent="0.25">
      <c r="A3673" s="104">
        <v>92333</v>
      </c>
      <c r="B3673" s="105" t="s">
        <v>3749</v>
      </c>
      <c r="C3673" s="106" t="s">
        <v>801</v>
      </c>
      <c r="D3673" s="107">
        <v>20.7</v>
      </c>
    </row>
    <row r="3674" spans="1:4" ht="25.5" x14ac:dyDescent="0.25">
      <c r="A3674" s="104">
        <v>92334</v>
      </c>
      <c r="B3674" s="105" t="s">
        <v>3750</v>
      </c>
      <c r="C3674" s="106" t="s">
        <v>801</v>
      </c>
      <c r="D3674" s="107">
        <v>30.27</v>
      </c>
    </row>
    <row r="3675" spans="1:4" ht="38.25" x14ac:dyDescent="0.25">
      <c r="A3675" s="104">
        <v>92344</v>
      </c>
      <c r="B3675" s="105" t="s">
        <v>3751</v>
      </c>
      <c r="C3675" s="106" t="s">
        <v>801</v>
      </c>
      <c r="D3675" s="107">
        <v>39.33</v>
      </c>
    </row>
    <row r="3676" spans="1:4" ht="38.25" x14ac:dyDescent="0.25">
      <c r="A3676" s="104">
        <v>92345</v>
      </c>
      <c r="B3676" s="105" t="s">
        <v>3752</v>
      </c>
      <c r="C3676" s="106" t="s">
        <v>801</v>
      </c>
      <c r="D3676" s="107">
        <v>39.31</v>
      </c>
    </row>
    <row r="3677" spans="1:4" ht="38.25" x14ac:dyDescent="0.25">
      <c r="A3677" s="104">
        <v>92346</v>
      </c>
      <c r="B3677" s="105" t="s">
        <v>3753</v>
      </c>
      <c r="C3677" s="106" t="s">
        <v>801</v>
      </c>
      <c r="D3677" s="107">
        <v>51</v>
      </c>
    </row>
    <row r="3678" spans="1:4" ht="38.25" x14ac:dyDescent="0.25">
      <c r="A3678" s="104">
        <v>92347</v>
      </c>
      <c r="B3678" s="105" t="s">
        <v>3754</v>
      </c>
      <c r="C3678" s="106" t="s">
        <v>801</v>
      </c>
      <c r="D3678" s="107">
        <v>56.38</v>
      </c>
    </row>
    <row r="3679" spans="1:4" ht="38.25" x14ac:dyDescent="0.25">
      <c r="A3679" s="104">
        <v>92348</v>
      </c>
      <c r="B3679" s="105" t="s">
        <v>3755</v>
      </c>
      <c r="C3679" s="106" t="s">
        <v>801</v>
      </c>
      <c r="D3679" s="107">
        <v>70.55</v>
      </c>
    </row>
    <row r="3680" spans="1:4" ht="38.25" x14ac:dyDescent="0.25">
      <c r="A3680" s="104">
        <v>92349</v>
      </c>
      <c r="B3680" s="105" t="s">
        <v>3756</v>
      </c>
      <c r="C3680" s="106" t="s">
        <v>801</v>
      </c>
      <c r="D3680" s="107">
        <v>75.34</v>
      </c>
    </row>
    <row r="3681" spans="1:4" ht="38.25" x14ac:dyDescent="0.25">
      <c r="A3681" s="104">
        <v>92350</v>
      </c>
      <c r="B3681" s="105" t="s">
        <v>3757</v>
      </c>
      <c r="C3681" s="106" t="s">
        <v>801</v>
      </c>
      <c r="D3681" s="107">
        <v>58.45</v>
      </c>
    </row>
    <row r="3682" spans="1:4" ht="38.25" x14ac:dyDescent="0.25">
      <c r="A3682" s="104">
        <v>92351</v>
      </c>
      <c r="B3682" s="105" t="s">
        <v>3758</v>
      </c>
      <c r="C3682" s="106" t="s">
        <v>801</v>
      </c>
      <c r="D3682" s="107">
        <v>57.25</v>
      </c>
    </row>
    <row r="3683" spans="1:4" ht="38.25" x14ac:dyDescent="0.25">
      <c r="A3683" s="104">
        <v>92352</v>
      </c>
      <c r="B3683" s="105" t="s">
        <v>3759</v>
      </c>
      <c r="C3683" s="106" t="s">
        <v>801</v>
      </c>
      <c r="D3683" s="107">
        <v>86.74</v>
      </c>
    </row>
    <row r="3684" spans="1:4" ht="38.25" x14ac:dyDescent="0.25">
      <c r="A3684" s="104">
        <v>92353</v>
      </c>
      <c r="B3684" s="105" t="s">
        <v>3760</v>
      </c>
      <c r="C3684" s="106" t="s">
        <v>801</v>
      </c>
      <c r="D3684" s="107">
        <v>81.47</v>
      </c>
    </row>
    <row r="3685" spans="1:4" ht="38.25" x14ac:dyDescent="0.25">
      <c r="A3685" s="104">
        <v>92354</v>
      </c>
      <c r="B3685" s="105" t="s">
        <v>3761</v>
      </c>
      <c r="C3685" s="106" t="s">
        <v>801</v>
      </c>
      <c r="D3685" s="107">
        <v>113.94</v>
      </c>
    </row>
    <row r="3686" spans="1:4" ht="38.25" x14ac:dyDescent="0.25">
      <c r="A3686" s="104">
        <v>92355</v>
      </c>
      <c r="B3686" s="105" t="s">
        <v>3762</v>
      </c>
      <c r="C3686" s="106" t="s">
        <v>801</v>
      </c>
      <c r="D3686" s="107">
        <v>103.79</v>
      </c>
    </row>
    <row r="3687" spans="1:4" ht="38.25" x14ac:dyDescent="0.25">
      <c r="A3687" s="104">
        <v>92356</v>
      </c>
      <c r="B3687" s="105" t="s">
        <v>3763</v>
      </c>
      <c r="C3687" s="106" t="s">
        <v>801</v>
      </c>
      <c r="D3687" s="107">
        <v>76.34</v>
      </c>
    </row>
    <row r="3688" spans="1:4" ht="38.25" x14ac:dyDescent="0.25">
      <c r="A3688" s="104">
        <v>92357</v>
      </c>
      <c r="B3688" s="105" t="s">
        <v>3764</v>
      </c>
      <c r="C3688" s="106" t="s">
        <v>801</v>
      </c>
      <c r="D3688" s="107">
        <v>111.32</v>
      </c>
    </row>
    <row r="3689" spans="1:4" ht="38.25" x14ac:dyDescent="0.25">
      <c r="A3689" s="104">
        <v>92358</v>
      </c>
      <c r="B3689" s="105" t="s">
        <v>3765</v>
      </c>
      <c r="C3689" s="106" t="s">
        <v>801</v>
      </c>
      <c r="D3689" s="107">
        <v>137.46</v>
      </c>
    </row>
    <row r="3690" spans="1:4" ht="38.25" x14ac:dyDescent="0.25">
      <c r="A3690" s="104">
        <v>92369</v>
      </c>
      <c r="B3690" s="105" t="s">
        <v>3766</v>
      </c>
      <c r="C3690" s="106" t="s">
        <v>801</v>
      </c>
      <c r="D3690" s="107">
        <v>21.82</v>
      </c>
    </row>
    <row r="3691" spans="1:4" ht="38.25" x14ac:dyDescent="0.25">
      <c r="A3691" s="104">
        <v>92370</v>
      </c>
      <c r="B3691" s="105" t="s">
        <v>3767</v>
      </c>
      <c r="C3691" s="106" t="s">
        <v>801</v>
      </c>
      <c r="D3691" s="107">
        <v>22.79</v>
      </c>
    </row>
    <row r="3692" spans="1:4" ht="38.25" x14ac:dyDescent="0.25">
      <c r="A3692" s="104">
        <v>92371</v>
      </c>
      <c r="B3692" s="105" t="s">
        <v>3768</v>
      </c>
      <c r="C3692" s="106" t="s">
        <v>801</v>
      </c>
      <c r="D3692" s="107">
        <v>26.13</v>
      </c>
    </row>
    <row r="3693" spans="1:4" ht="38.25" x14ac:dyDescent="0.25">
      <c r="A3693" s="104">
        <v>92372</v>
      </c>
      <c r="B3693" s="105" t="s">
        <v>3769</v>
      </c>
      <c r="C3693" s="106" t="s">
        <v>801</v>
      </c>
      <c r="D3693" s="107">
        <v>27.03</v>
      </c>
    </row>
    <row r="3694" spans="1:4" ht="38.25" x14ac:dyDescent="0.25">
      <c r="A3694" s="104">
        <v>92373</v>
      </c>
      <c r="B3694" s="105" t="s">
        <v>3770</v>
      </c>
      <c r="C3694" s="106" t="s">
        <v>801</v>
      </c>
      <c r="D3694" s="107">
        <v>30.66</v>
      </c>
    </row>
    <row r="3695" spans="1:4" ht="38.25" x14ac:dyDescent="0.25">
      <c r="A3695" s="104">
        <v>92374</v>
      </c>
      <c r="B3695" s="105" t="s">
        <v>3771</v>
      </c>
      <c r="C3695" s="106" t="s">
        <v>801</v>
      </c>
      <c r="D3695" s="107">
        <v>30.84</v>
      </c>
    </row>
    <row r="3696" spans="1:4" ht="38.25" x14ac:dyDescent="0.25">
      <c r="A3696" s="104">
        <v>92375</v>
      </c>
      <c r="B3696" s="105" t="s">
        <v>3772</v>
      </c>
      <c r="C3696" s="106" t="s">
        <v>801</v>
      </c>
      <c r="D3696" s="107">
        <v>39.299999999999997</v>
      </c>
    </row>
    <row r="3697" spans="1:4" ht="38.25" x14ac:dyDescent="0.25">
      <c r="A3697" s="104">
        <v>92376</v>
      </c>
      <c r="B3697" s="105" t="s">
        <v>3773</v>
      </c>
      <c r="C3697" s="106" t="s">
        <v>801</v>
      </c>
      <c r="D3697" s="107">
        <v>39.28</v>
      </c>
    </row>
    <row r="3698" spans="1:4" ht="38.25" x14ac:dyDescent="0.25">
      <c r="A3698" s="104">
        <v>92377</v>
      </c>
      <c r="B3698" s="105" t="s">
        <v>327</v>
      </c>
      <c r="C3698" s="106" t="s">
        <v>801</v>
      </c>
      <c r="D3698" s="107">
        <v>52.08</v>
      </c>
    </row>
    <row r="3699" spans="1:4" ht="38.25" x14ac:dyDescent="0.25">
      <c r="A3699" s="104">
        <v>92378</v>
      </c>
      <c r="B3699" s="105" t="s">
        <v>326</v>
      </c>
      <c r="C3699" s="106" t="s">
        <v>801</v>
      </c>
      <c r="D3699" s="107">
        <v>57.46</v>
      </c>
    </row>
    <row r="3700" spans="1:4" ht="38.25" x14ac:dyDescent="0.25">
      <c r="A3700" s="104">
        <v>92379</v>
      </c>
      <c r="B3700" s="105" t="s">
        <v>3774</v>
      </c>
      <c r="C3700" s="106" t="s">
        <v>801</v>
      </c>
      <c r="D3700" s="107">
        <v>72.77</v>
      </c>
    </row>
    <row r="3701" spans="1:4" ht="38.25" x14ac:dyDescent="0.25">
      <c r="A3701" s="104">
        <v>92380</v>
      </c>
      <c r="B3701" s="105" t="s">
        <v>3775</v>
      </c>
      <c r="C3701" s="106" t="s">
        <v>801</v>
      </c>
      <c r="D3701" s="107">
        <v>77.56</v>
      </c>
    </row>
    <row r="3702" spans="1:4" ht="38.25" x14ac:dyDescent="0.25">
      <c r="A3702" s="104">
        <v>92381</v>
      </c>
      <c r="B3702" s="105" t="s">
        <v>3776</v>
      </c>
      <c r="C3702" s="106" t="s">
        <v>801</v>
      </c>
      <c r="D3702" s="107">
        <v>32.97</v>
      </c>
    </row>
    <row r="3703" spans="1:4" ht="38.25" x14ac:dyDescent="0.25">
      <c r="A3703" s="104">
        <v>92382</v>
      </c>
      <c r="B3703" s="105" t="s">
        <v>3777</v>
      </c>
      <c r="C3703" s="106" t="s">
        <v>801</v>
      </c>
      <c r="D3703" s="107">
        <v>31.68</v>
      </c>
    </row>
    <row r="3704" spans="1:4" ht="38.25" x14ac:dyDescent="0.25">
      <c r="A3704" s="104">
        <v>92383</v>
      </c>
      <c r="B3704" s="105" t="s">
        <v>3778</v>
      </c>
      <c r="C3704" s="106" t="s">
        <v>801</v>
      </c>
      <c r="D3704" s="107">
        <v>40.98</v>
      </c>
    </row>
    <row r="3705" spans="1:4" ht="38.25" x14ac:dyDescent="0.25">
      <c r="A3705" s="104">
        <v>92384</v>
      </c>
      <c r="B3705" s="105" t="s">
        <v>3779</v>
      </c>
      <c r="C3705" s="106" t="s">
        <v>801</v>
      </c>
      <c r="D3705" s="107">
        <v>38.42</v>
      </c>
    </row>
    <row r="3706" spans="1:4" ht="38.25" x14ac:dyDescent="0.25">
      <c r="A3706" s="104">
        <v>92385</v>
      </c>
      <c r="B3706" s="105" t="s">
        <v>3780</v>
      </c>
      <c r="C3706" s="106" t="s">
        <v>801</v>
      </c>
      <c r="D3706" s="107">
        <v>46.77</v>
      </c>
    </row>
    <row r="3707" spans="1:4" ht="38.25" x14ac:dyDescent="0.25">
      <c r="A3707" s="104">
        <v>92386</v>
      </c>
      <c r="B3707" s="105" t="s">
        <v>3781</v>
      </c>
      <c r="C3707" s="106" t="s">
        <v>801</v>
      </c>
      <c r="D3707" s="107">
        <v>45.01</v>
      </c>
    </row>
    <row r="3708" spans="1:4" ht="38.25" x14ac:dyDescent="0.25">
      <c r="A3708" s="104">
        <v>92387</v>
      </c>
      <c r="B3708" s="105" t="s">
        <v>3782</v>
      </c>
      <c r="C3708" s="106" t="s">
        <v>801</v>
      </c>
      <c r="D3708" s="107">
        <v>58.38</v>
      </c>
    </row>
    <row r="3709" spans="1:4" ht="38.25" x14ac:dyDescent="0.25">
      <c r="A3709" s="104">
        <v>92388</v>
      </c>
      <c r="B3709" s="105" t="s">
        <v>3783</v>
      </c>
      <c r="C3709" s="106" t="s">
        <v>801</v>
      </c>
      <c r="D3709" s="107">
        <v>57.18</v>
      </c>
    </row>
    <row r="3710" spans="1:4" ht="38.25" x14ac:dyDescent="0.25">
      <c r="A3710" s="104">
        <v>92389</v>
      </c>
      <c r="B3710" s="105" t="s">
        <v>334</v>
      </c>
      <c r="C3710" s="106" t="s">
        <v>801</v>
      </c>
      <c r="D3710" s="107">
        <v>88.39</v>
      </c>
    </row>
    <row r="3711" spans="1:4" ht="38.25" x14ac:dyDescent="0.25">
      <c r="A3711" s="104">
        <v>92390</v>
      </c>
      <c r="B3711" s="105" t="s">
        <v>324</v>
      </c>
      <c r="C3711" s="106" t="s">
        <v>801</v>
      </c>
      <c r="D3711" s="107">
        <v>83.12</v>
      </c>
    </row>
    <row r="3712" spans="1:4" ht="38.25" x14ac:dyDescent="0.25">
      <c r="A3712" s="104">
        <v>92635</v>
      </c>
      <c r="B3712" s="105" t="s">
        <v>3784</v>
      </c>
      <c r="C3712" s="106" t="s">
        <v>801</v>
      </c>
      <c r="D3712" s="107">
        <v>117.26</v>
      </c>
    </row>
    <row r="3713" spans="1:4" ht="38.25" x14ac:dyDescent="0.25">
      <c r="A3713" s="104">
        <v>92636</v>
      </c>
      <c r="B3713" s="105" t="s">
        <v>3785</v>
      </c>
      <c r="C3713" s="106" t="s">
        <v>801</v>
      </c>
      <c r="D3713" s="107">
        <v>107.11</v>
      </c>
    </row>
    <row r="3714" spans="1:4" ht="38.25" x14ac:dyDescent="0.25">
      <c r="A3714" s="104">
        <v>92637</v>
      </c>
      <c r="B3714" s="105" t="s">
        <v>3786</v>
      </c>
      <c r="C3714" s="106" t="s">
        <v>801</v>
      </c>
      <c r="D3714" s="107">
        <v>42.76</v>
      </c>
    </row>
    <row r="3715" spans="1:4" ht="38.25" x14ac:dyDescent="0.25">
      <c r="A3715" s="104">
        <v>92638</v>
      </c>
      <c r="B3715" s="105" t="s">
        <v>3787</v>
      </c>
      <c r="C3715" s="106" t="s">
        <v>801</v>
      </c>
      <c r="D3715" s="107">
        <v>51.58</v>
      </c>
    </row>
    <row r="3716" spans="1:4" ht="38.25" x14ac:dyDescent="0.25">
      <c r="A3716" s="104">
        <v>92639</v>
      </c>
      <c r="B3716" s="105" t="s">
        <v>3788</v>
      </c>
      <c r="C3716" s="106" t="s">
        <v>801</v>
      </c>
      <c r="D3716" s="107">
        <v>59.38</v>
      </c>
    </row>
    <row r="3717" spans="1:4" ht="38.25" x14ac:dyDescent="0.25">
      <c r="A3717" s="104">
        <v>92640</v>
      </c>
      <c r="B3717" s="105" t="s">
        <v>3789</v>
      </c>
      <c r="C3717" s="106" t="s">
        <v>801</v>
      </c>
      <c r="D3717" s="107">
        <v>76.25</v>
      </c>
    </row>
    <row r="3718" spans="1:4" ht="38.25" x14ac:dyDescent="0.25">
      <c r="A3718" s="104">
        <v>92642</v>
      </c>
      <c r="B3718" s="105" t="s">
        <v>325</v>
      </c>
      <c r="C3718" s="106" t="s">
        <v>801</v>
      </c>
      <c r="D3718" s="107">
        <v>113.48</v>
      </c>
    </row>
    <row r="3719" spans="1:4" ht="38.25" x14ac:dyDescent="0.25">
      <c r="A3719" s="104">
        <v>92644</v>
      </c>
      <c r="B3719" s="105" t="s">
        <v>3790</v>
      </c>
      <c r="C3719" s="106" t="s">
        <v>801</v>
      </c>
      <c r="D3719" s="107">
        <v>141.9</v>
      </c>
    </row>
    <row r="3720" spans="1:4" ht="38.25" x14ac:dyDescent="0.25">
      <c r="A3720" s="104">
        <v>92657</v>
      </c>
      <c r="B3720" s="105" t="s">
        <v>3791</v>
      </c>
      <c r="C3720" s="106" t="s">
        <v>801</v>
      </c>
      <c r="D3720" s="107">
        <v>15.84</v>
      </c>
    </row>
    <row r="3721" spans="1:4" ht="38.25" x14ac:dyDescent="0.25">
      <c r="A3721" s="104">
        <v>92658</v>
      </c>
      <c r="B3721" s="105" t="s">
        <v>3792</v>
      </c>
      <c r="C3721" s="106" t="s">
        <v>801</v>
      </c>
      <c r="D3721" s="107">
        <v>16.809999999999999</v>
      </c>
    </row>
    <row r="3722" spans="1:4" ht="38.25" x14ac:dyDescent="0.25">
      <c r="A3722" s="104">
        <v>92659</v>
      </c>
      <c r="B3722" s="105" t="s">
        <v>3793</v>
      </c>
      <c r="C3722" s="106" t="s">
        <v>801</v>
      </c>
      <c r="D3722" s="107">
        <v>19.32</v>
      </c>
    </row>
    <row r="3723" spans="1:4" ht="38.25" x14ac:dyDescent="0.25">
      <c r="A3723" s="104">
        <v>92660</v>
      </c>
      <c r="B3723" s="105" t="s">
        <v>3794</v>
      </c>
      <c r="C3723" s="106" t="s">
        <v>801</v>
      </c>
      <c r="D3723" s="107">
        <v>20.22</v>
      </c>
    </row>
    <row r="3724" spans="1:4" ht="38.25" x14ac:dyDescent="0.25">
      <c r="A3724" s="104">
        <v>92661</v>
      </c>
      <c r="B3724" s="105" t="s">
        <v>3795</v>
      </c>
      <c r="C3724" s="106" t="s">
        <v>801</v>
      </c>
      <c r="D3724" s="107">
        <v>22.9</v>
      </c>
    </row>
    <row r="3725" spans="1:4" ht="38.25" x14ac:dyDescent="0.25">
      <c r="A3725" s="104">
        <v>92662</v>
      </c>
      <c r="B3725" s="105" t="s">
        <v>3796</v>
      </c>
      <c r="C3725" s="106" t="s">
        <v>801</v>
      </c>
      <c r="D3725" s="107">
        <v>23.08</v>
      </c>
    </row>
    <row r="3726" spans="1:4" ht="38.25" x14ac:dyDescent="0.25">
      <c r="A3726" s="104">
        <v>92663</v>
      </c>
      <c r="B3726" s="105" t="s">
        <v>3797</v>
      </c>
      <c r="C3726" s="106" t="s">
        <v>801</v>
      </c>
      <c r="D3726" s="107">
        <v>30.37</v>
      </c>
    </row>
    <row r="3727" spans="1:4" ht="38.25" x14ac:dyDescent="0.25">
      <c r="A3727" s="104">
        <v>92664</v>
      </c>
      <c r="B3727" s="105" t="s">
        <v>3798</v>
      </c>
      <c r="C3727" s="106" t="s">
        <v>801</v>
      </c>
      <c r="D3727" s="107">
        <v>30.35</v>
      </c>
    </row>
    <row r="3728" spans="1:4" ht="38.25" x14ac:dyDescent="0.25">
      <c r="A3728" s="104">
        <v>92665</v>
      </c>
      <c r="B3728" s="105" t="s">
        <v>3799</v>
      </c>
      <c r="C3728" s="106" t="s">
        <v>801</v>
      </c>
      <c r="D3728" s="107">
        <v>41.39</v>
      </c>
    </row>
    <row r="3729" spans="1:4" ht="38.25" x14ac:dyDescent="0.25">
      <c r="A3729" s="104">
        <v>92666</v>
      </c>
      <c r="B3729" s="105" t="s">
        <v>3800</v>
      </c>
      <c r="C3729" s="106" t="s">
        <v>801</v>
      </c>
      <c r="D3729" s="107">
        <v>46.77</v>
      </c>
    </row>
    <row r="3730" spans="1:4" ht="38.25" x14ac:dyDescent="0.25">
      <c r="A3730" s="104">
        <v>92667</v>
      </c>
      <c r="B3730" s="105" t="s">
        <v>3801</v>
      </c>
      <c r="C3730" s="106" t="s">
        <v>801</v>
      </c>
      <c r="D3730" s="107">
        <v>60.32</v>
      </c>
    </row>
    <row r="3731" spans="1:4" ht="38.25" x14ac:dyDescent="0.25">
      <c r="A3731" s="104">
        <v>92668</v>
      </c>
      <c r="B3731" s="105" t="s">
        <v>3802</v>
      </c>
      <c r="C3731" s="106" t="s">
        <v>801</v>
      </c>
      <c r="D3731" s="107">
        <v>65.11</v>
      </c>
    </row>
    <row r="3732" spans="1:4" ht="38.25" x14ac:dyDescent="0.25">
      <c r="A3732" s="104">
        <v>92669</v>
      </c>
      <c r="B3732" s="105" t="s">
        <v>3803</v>
      </c>
      <c r="C3732" s="106" t="s">
        <v>801</v>
      </c>
      <c r="D3732" s="107">
        <v>23.98</v>
      </c>
    </row>
    <row r="3733" spans="1:4" ht="38.25" x14ac:dyDescent="0.25">
      <c r="A3733" s="104">
        <v>92670</v>
      </c>
      <c r="B3733" s="105" t="s">
        <v>3804</v>
      </c>
      <c r="C3733" s="106" t="s">
        <v>801</v>
      </c>
      <c r="D3733" s="107">
        <v>22.69</v>
      </c>
    </row>
    <row r="3734" spans="1:4" ht="38.25" x14ac:dyDescent="0.25">
      <c r="A3734" s="104">
        <v>92671</v>
      </c>
      <c r="B3734" s="105" t="s">
        <v>3805</v>
      </c>
      <c r="C3734" s="106" t="s">
        <v>801</v>
      </c>
      <c r="D3734" s="107">
        <v>30.78</v>
      </c>
    </row>
    <row r="3735" spans="1:4" ht="38.25" x14ac:dyDescent="0.25">
      <c r="A3735" s="104">
        <v>92672</v>
      </c>
      <c r="B3735" s="105" t="s">
        <v>3806</v>
      </c>
      <c r="C3735" s="106" t="s">
        <v>801</v>
      </c>
      <c r="D3735" s="107">
        <v>28.22</v>
      </c>
    </row>
    <row r="3736" spans="1:4" ht="38.25" x14ac:dyDescent="0.25">
      <c r="A3736" s="104">
        <v>92673</v>
      </c>
      <c r="B3736" s="105" t="s">
        <v>3807</v>
      </c>
      <c r="C3736" s="106" t="s">
        <v>801</v>
      </c>
      <c r="D3736" s="107">
        <v>35.15</v>
      </c>
    </row>
    <row r="3737" spans="1:4" ht="38.25" x14ac:dyDescent="0.25">
      <c r="A3737" s="104">
        <v>92674</v>
      </c>
      <c r="B3737" s="105" t="s">
        <v>3808</v>
      </c>
      <c r="C3737" s="106" t="s">
        <v>801</v>
      </c>
      <c r="D3737" s="107">
        <v>33.39</v>
      </c>
    </row>
    <row r="3738" spans="1:4" ht="38.25" x14ac:dyDescent="0.25">
      <c r="A3738" s="104">
        <v>92675</v>
      </c>
      <c r="B3738" s="105" t="s">
        <v>3809</v>
      </c>
      <c r="C3738" s="106" t="s">
        <v>801</v>
      </c>
      <c r="D3738" s="107">
        <v>45.02</v>
      </c>
    </row>
    <row r="3739" spans="1:4" ht="38.25" x14ac:dyDescent="0.25">
      <c r="A3739" s="104">
        <v>92676</v>
      </c>
      <c r="B3739" s="105" t="s">
        <v>3810</v>
      </c>
      <c r="C3739" s="106" t="s">
        <v>801</v>
      </c>
      <c r="D3739" s="107">
        <v>43.82</v>
      </c>
    </row>
    <row r="3740" spans="1:4" ht="38.25" x14ac:dyDescent="0.25">
      <c r="A3740" s="104">
        <v>92677</v>
      </c>
      <c r="B3740" s="105" t="s">
        <v>3811</v>
      </c>
      <c r="C3740" s="106" t="s">
        <v>801</v>
      </c>
      <c r="D3740" s="107">
        <v>72.36</v>
      </c>
    </row>
    <row r="3741" spans="1:4" ht="38.25" x14ac:dyDescent="0.25">
      <c r="A3741" s="104">
        <v>92678</v>
      </c>
      <c r="B3741" s="105" t="s">
        <v>3812</v>
      </c>
      <c r="C3741" s="106" t="s">
        <v>801</v>
      </c>
      <c r="D3741" s="107">
        <v>67.09</v>
      </c>
    </row>
    <row r="3742" spans="1:4" ht="38.25" x14ac:dyDescent="0.25">
      <c r="A3742" s="104">
        <v>92679</v>
      </c>
      <c r="B3742" s="105" t="s">
        <v>3813</v>
      </c>
      <c r="C3742" s="106" t="s">
        <v>801</v>
      </c>
      <c r="D3742" s="107">
        <v>98.61</v>
      </c>
    </row>
    <row r="3743" spans="1:4" ht="38.25" x14ac:dyDescent="0.25">
      <c r="A3743" s="104">
        <v>92680</v>
      </c>
      <c r="B3743" s="105" t="s">
        <v>3814</v>
      </c>
      <c r="C3743" s="106" t="s">
        <v>801</v>
      </c>
      <c r="D3743" s="107">
        <v>88.46</v>
      </c>
    </row>
    <row r="3744" spans="1:4" ht="38.25" x14ac:dyDescent="0.25">
      <c r="A3744" s="104">
        <v>92681</v>
      </c>
      <c r="B3744" s="105" t="s">
        <v>3815</v>
      </c>
      <c r="C3744" s="106" t="s">
        <v>801</v>
      </c>
      <c r="D3744" s="107">
        <v>30.76</v>
      </c>
    </row>
    <row r="3745" spans="1:4" ht="38.25" x14ac:dyDescent="0.25">
      <c r="A3745" s="104">
        <v>92682</v>
      </c>
      <c r="B3745" s="105" t="s">
        <v>3816</v>
      </c>
      <c r="C3745" s="106" t="s">
        <v>801</v>
      </c>
      <c r="D3745" s="107">
        <v>37.93</v>
      </c>
    </row>
    <row r="3746" spans="1:4" ht="38.25" x14ac:dyDescent="0.25">
      <c r="A3746" s="104">
        <v>92683</v>
      </c>
      <c r="B3746" s="105" t="s">
        <v>3817</v>
      </c>
      <c r="C3746" s="106" t="s">
        <v>801</v>
      </c>
      <c r="D3746" s="107">
        <v>43.9</v>
      </c>
    </row>
    <row r="3747" spans="1:4" ht="38.25" x14ac:dyDescent="0.25">
      <c r="A3747" s="104">
        <v>92684</v>
      </c>
      <c r="B3747" s="105" t="s">
        <v>3818</v>
      </c>
      <c r="C3747" s="106" t="s">
        <v>801</v>
      </c>
      <c r="D3747" s="107">
        <v>58.42</v>
      </c>
    </row>
    <row r="3748" spans="1:4" ht="38.25" x14ac:dyDescent="0.25">
      <c r="A3748" s="104">
        <v>92685</v>
      </c>
      <c r="B3748" s="105" t="s">
        <v>3819</v>
      </c>
      <c r="C3748" s="106" t="s">
        <v>801</v>
      </c>
      <c r="D3748" s="107">
        <v>92.14</v>
      </c>
    </row>
    <row r="3749" spans="1:4" ht="38.25" x14ac:dyDescent="0.25">
      <c r="A3749" s="104">
        <v>92686</v>
      </c>
      <c r="B3749" s="105" t="s">
        <v>3820</v>
      </c>
      <c r="C3749" s="106" t="s">
        <v>801</v>
      </c>
      <c r="D3749" s="107">
        <v>117.01</v>
      </c>
    </row>
    <row r="3750" spans="1:4" ht="38.25" x14ac:dyDescent="0.25">
      <c r="A3750" s="104">
        <v>92692</v>
      </c>
      <c r="B3750" s="105" t="s">
        <v>3821</v>
      </c>
      <c r="C3750" s="106" t="s">
        <v>801</v>
      </c>
      <c r="D3750" s="107">
        <v>8.57</v>
      </c>
    </row>
    <row r="3751" spans="1:4" ht="38.25" x14ac:dyDescent="0.25">
      <c r="A3751" s="104">
        <v>92693</v>
      </c>
      <c r="B3751" s="105" t="s">
        <v>3822</v>
      </c>
      <c r="C3751" s="106" t="s">
        <v>801</v>
      </c>
      <c r="D3751" s="107">
        <v>8.7899999999999991</v>
      </c>
    </row>
    <row r="3752" spans="1:4" ht="38.25" x14ac:dyDescent="0.25">
      <c r="A3752" s="104">
        <v>92694</v>
      </c>
      <c r="B3752" s="105" t="s">
        <v>3823</v>
      </c>
      <c r="C3752" s="106" t="s">
        <v>801</v>
      </c>
      <c r="D3752" s="107">
        <v>13.73</v>
      </c>
    </row>
    <row r="3753" spans="1:4" ht="38.25" x14ac:dyDescent="0.25">
      <c r="A3753" s="104">
        <v>92695</v>
      </c>
      <c r="B3753" s="105" t="s">
        <v>3824</v>
      </c>
      <c r="C3753" s="106" t="s">
        <v>801</v>
      </c>
      <c r="D3753" s="107">
        <v>13.94</v>
      </c>
    </row>
    <row r="3754" spans="1:4" ht="38.25" x14ac:dyDescent="0.25">
      <c r="A3754" s="104">
        <v>92696</v>
      </c>
      <c r="B3754" s="105" t="s">
        <v>3825</v>
      </c>
      <c r="C3754" s="106" t="s">
        <v>801</v>
      </c>
      <c r="D3754" s="107">
        <v>21.57</v>
      </c>
    </row>
    <row r="3755" spans="1:4" ht="38.25" x14ac:dyDescent="0.25">
      <c r="A3755" s="104">
        <v>92697</v>
      </c>
      <c r="B3755" s="105" t="s">
        <v>3826</v>
      </c>
      <c r="C3755" s="106" t="s">
        <v>801</v>
      </c>
      <c r="D3755" s="107">
        <v>22.54</v>
      </c>
    </row>
    <row r="3756" spans="1:4" ht="38.25" x14ac:dyDescent="0.25">
      <c r="A3756" s="104">
        <v>92698</v>
      </c>
      <c r="B3756" s="105" t="s">
        <v>3827</v>
      </c>
      <c r="C3756" s="106" t="s">
        <v>801</v>
      </c>
      <c r="D3756" s="107">
        <v>12.68</v>
      </c>
    </row>
    <row r="3757" spans="1:4" ht="38.25" x14ac:dyDescent="0.25">
      <c r="A3757" s="104">
        <v>92699</v>
      </c>
      <c r="B3757" s="105" t="s">
        <v>3828</v>
      </c>
      <c r="C3757" s="106" t="s">
        <v>801</v>
      </c>
      <c r="D3757" s="107">
        <v>11.98</v>
      </c>
    </row>
    <row r="3758" spans="1:4" ht="38.25" x14ac:dyDescent="0.25">
      <c r="A3758" s="104">
        <v>92700</v>
      </c>
      <c r="B3758" s="105" t="s">
        <v>3829</v>
      </c>
      <c r="C3758" s="106" t="s">
        <v>801</v>
      </c>
      <c r="D3758" s="107">
        <v>20.79</v>
      </c>
    </row>
    <row r="3759" spans="1:4" ht="38.25" x14ac:dyDescent="0.25">
      <c r="A3759" s="104">
        <v>92701</v>
      </c>
      <c r="B3759" s="105" t="s">
        <v>3830</v>
      </c>
      <c r="C3759" s="106" t="s">
        <v>801</v>
      </c>
      <c r="D3759" s="107">
        <v>19.75</v>
      </c>
    </row>
    <row r="3760" spans="1:4" ht="38.25" x14ac:dyDescent="0.25">
      <c r="A3760" s="104">
        <v>92702</v>
      </c>
      <c r="B3760" s="105" t="s">
        <v>3831</v>
      </c>
      <c r="C3760" s="106" t="s">
        <v>801</v>
      </c>
      <c r="D3760" s="107">
        <v>32.619999999999997</v>
      </c>
    </row>
    <row r="3761" spans="1:4" ht="38.25" x14ac:dyDescent="0.25">
      <c r="A3761" s="104">
        <v>92703</v>
      </c>
      <c r="B3761" s="105" t="s">
        <v>3832</v>
      </c>
      <c r="C3761" s="106" t="s">
        <v>801</v>
      </c>
      <c r="D3761" s="107">
        <v>31.33</v>
      </c>
    </row>
    <row r="3762" spans="1:4" ht="38.25" x14ac:dyDescent="0.25">
      <c r="A3762" s="104">
        <v>92704</v>
      </c>
      <c r="B3762" s="105" t="s">
        <v>3833</v>
      </c>
      <c r="C3762" s="106" t="s">
        <v>801</v>
      </c>
      <c r="D3762" s="107">
        <v>16.14</v>
      </c>
    </row>
    <row r="3763" spans="1:4" ht="38.25" x14ac:dyDescent="0.25">
      <c r="A3763" s="104">
        <v>92705</v>
      </c>
      <c r="B3763" s="105" t="s">
        <v>3834</v>
      </c>
      <c r="C3763" s="106" t="s">
        <v>801</v>
      </c>
      <c r="D3763" s="107">
        <v>26.12</v>
      </c>
    </row>
    <row r="3764" spans="1:4" ht="38.25" x14ac:dyDescent="0.25">
      <c r="A3764" s="104">
        <v>92706</v>
      </c>
      <c r="B3764" s="105" t="s">
        <v>3835</v>
      </c>
      <c r="C3764" s="106" t="s">
        <v>801</v>
      </c>
      <c r="D3764" s="107">
        <v>42.28</v>
      </c>
    </row>
    <row r="3765" spans="1:4" ht="38.25" x14ac:dyDescent="0.25">
      <c r="A3765" s="104">
        <v>92889</v>
      </c>
      <c r="B3765" s="105" t="s">
        <v>3836</v>
      </c>
      <c r="C3765" s="106" t="s">
        <v>801</v>
      </c>
      <c r="D3765" s="107">
        <v>74.260000000000005</v>
      </c>
    </row>
    <row r="3766" spans="1:4" ht="38.25" x14ac:dyDescent="0.25">
      <c r="A3766" s="104">
        <v>92890</v>
      </c>
      <c r="B3766" s="105" t="s">
        <v>3837</v>
      </c>
      <c r="C3766" s="106" t="s">
        <v>801</v>
      </c>
      <c r="D3766" s="107">
        <v>111.08</v>
      </c>
    </row>
    <row r="3767" spans="1:4" ht="38.25" x14ac:dyDescent="0.25">
      <c r="A3767" s="104">
        <v>92891</v>
      </c>
      <c r="B3767" s="105" t="s">
        <v>3838</v>
      </c>
      <c r="C3767" s="106" t="s">
        <v>801</v>
      </c>
      <c r="D3767" s="107">
        <v>161.44</v>
      </c>
    </row>
    <row r="3768" spans="1:4" ht="38.25" x14ac:dyDescent="0.25">
      <c r="A3768" s="104">
        <v>92892</v>
      </c>
      <c r="B3768" s="105" t="s">
        <v>3839</v>
      </c>
      <c r="C3768" s="106" t="s">
        <v>801</v>
      </c>
      <c r="D3768" s="107">
        <v>33.19</v>
      </c>
    </row>
    <row r="3769" spans="1:4" ht="38.25" x14ac:dyDescent="0.25">
      <c r="A3769" s="104">
        <v>92893</v>
      </c>
      <c r="B3769" s="105" t="s">
        <v>3840</v>
      </c>
      <c r="C3769" s="106" t="s">
        <v>801</v>
      </c>
      <c r="D3769" s="107">
        <v>46.36</v>
      </c>
    </row>
    <row r="3770" spans="1:4" ht="38.25" x14ac:dyDescent="0.25">
      <c r="A3770" s="104">
        <v>92894</v>
      </c>
      <c r="B3770" s="105" t="s">
        <v>3841</v>
      </c>
      <c r="C3770" s="106" t="s">
        <v>801</v>
      </c>
      <c r="D3770" s="107">
        <v>55.1</v>
      </c>
    </row>
    <row r="3771" spans="1:4" ht="38.25" x14ac:dyDescent="0.25">
      <c r="A3771" s="104">
        <v>92895</v>
      </c>
      <c r="B3771" s="105" t="s">
        <v>3842</v>
      </c>
      <c r="C3771" s="106" t="s">
        <v>801</v>
      </c>
      <c r="D3771" s="107">
        <v>74.23</v>
      </c>
    </row>
    <row r="3772" spans="1:4" ht="38.25" x14ac:dyDescent="0.25">
      <c r="A3772" s="104">
        <v>92896</v>
      </c>
      <c r="B3772" s="105" t="s">
        <v>3843</v>
      </c>
      <c r="C3772" s="106" t="s">
        <v>801</v>
      </c>
      <c r="D3772" s="107">
        <v>112.16</v>
      </c>
    </row>
    <row r="3773" spans="1:4" ht="38.25" x14ac:dyDescent="0.25">
      <c r="A3773" s="104">
        <v>92897</v>
      </c>
      <c r="B3773" s="105" t="s">
        <v>3844</v>
      </c>
      <c r="C3773" s="106" t="s">
        <v>801</v>
      </c>
      <c r="D3773" s="107">
        <v>163.66</v>
      </c>
    </row>
    <row r="3774" spans="1:4" ht="38.25" x14ac:dyDescent="0.25">
      <c r="A3774" s="104">
        <v>92898</v>
      </c>
      <c r="B3774" s="105" t="s">
        <v>3845</v>
      </c>
      <c r="C3774" s="106" t="s">
        <v>801</v>
      </c>
      <c r="D3774" s="107">
        <v>27.21</v>
      </c>
    </row>
    <row r="3775" spans="1:4" ht="38.25" x14ac:dyDescent="0.25">
      <c r="A3775" s="104">
        <v>92899</v>
      </c>
      <c r="B3775" s="105" t="s">
        <v>3846</v>
      </c>
      <c r="C3775" s="106" t="s">
        <v>801</v>
      </c>
      <c r="D3775" s="107">
        <v>39.549999999999997</v>
      </c>
    </row>
    <row r="3776" spans="1:4" ht="38.25" x14ac:dyDescent="0.25">
      <c r="A3776" s="104">
        <v>92900</v>
      </c>
      <c r="B3776" s="105" t="s">
        <v>3847</v>
      </c>
      <c r="C3776" s="106" t="s">
        <v>801</v>
      </c>
      <c r="D3776" s="107">
        <v>47.34</v>
      </c>
    </row>
    <row r="3777" spans="1:4" ht="38.25" x14ac:dyDescent="0.25">
      <c r="A3777" s="104">
        <v>92901</v>
      </c>
      <c r="B3777" s="105" t="s">
        <v>3848</v>
      </c>
      <c r="C3777" s="106" t="s">
        <v>801</v>
      </c>
      <c r="D3777" s="107">
        <v>65.3</v>
      </c>
    </row>
    <row r="3778" spans="1:4" ht="38.25" x14ac:dyDescent="0.25">
      <c r="A3778" s="104">
        <v>92902</v>
      </c>
      <c r="B3778" s="105" t="s">
        <v>3849</v>
      </c>
      <c r="C3778" s="106" t="s">
        <v>801</v>
      </c>
      <c r="D3778" s="107">
        <v>101.47</v>
      </c>
    </row>
    <row r="3779" spans="1:4" ht="38.25" x14ac:dyDescent="0.25">
      <c r="A3779" s="104">
        <v>92903</v>
      </c>
      <c r="B3779" s="105" t="s">
        <v>3850</v>
      </c>
      <c r="C3779" s="106" t="s">
        <v>801</v>
      </c>
      <c r="D3779" s="107">
        <v>151.21</v>
      </c>
    </row>
    <row r="3780" spans="1:4" ht="38.25" x14ac:dyDescent="0.25">
      <c r="A3780" s="104">
        <v>92904</v>
      </c>
      <c r="B3780" s="105" t="s">
        <v>3851</v>
      </c>
      <c r="C3780" s="106" t="s">
        <v>801</v>
      </c>
      <c r="D3780" s="107">
        <v>18.329999999999998</v>
      </c>
    </row>
    <row r="3781" spans="1:4" ht="38.25" x14ac:dyDescent="0.25">
      <c r="A3781" s="104">
        <v>92905</v>
      </c>
      <c r="B3781" s="105" t="s">
        <v>3852</v>
      </c>
      <c r="C3781" s="106" t="s">
        <v>801</v>
      </c>
      <c r="D3781" s="107">
        <v>26.47</v>
      </c>
    </row>
    <row r="3782" spans="1:4" ht="38.25" x14ac:dyDescent="0.25">
      <c r="A3782" s="104">
        <v>92906</v>
      </c>
      <c r="B3782" s="105" t="s">
        <v>3853</v>
      </c>
      <c r="C3782" s="106" t="s">
        <v>801</v>
      </c>
      <c r="D3782" s="107">
        <v>32.94</v>
      </c>
    </row>
    <row r="3783" spans="1:4" ht="38.25" x14ac:dyDescent="0.25">
      <c r="A3783" s="104">
        <v>92907</v>
      </c>
      <c r="B3783" s="105" t="s">
        <v>3854</v>
      </c>
      <c r="C3783" s="106" t="s">
        <v>801</v>
      </c>
      <c r="D3783" s="107">
        <v>41.34</v>
      </c>
    </row>
    <row r="3784" spans="1:4" ht="38.25" x14ac:dyDescent="0.25">
      <c r="A3784" s="104">
        <v>92908</v>
      </c>
      <c r="B3784" s="105" t="s">
        <v>3855</v>
      </c>
      <c r="C3784" s="106" t="s">
        <v>801</v>
      </c>
      <c r="D3784" s="107">
        <v>41.34</v>
      </c>
    </row>
    <row r="3785" spans="1:4" ht="38.25" x14ac:dyDescent="0.25">
      <c r="A3785" s="104">
        <v>92909</v>
      </c>
      <c r="B3785" s="105" t="s">
        <v>3856</v>
      </c>
      <c r="C3785" s="106" t="s">
        <v>801</v>
      </c>
      <c r="D3785" s="107">
        <v>41.34</v>
      </c>
    </row>
    <row r="3786" spans="1:4" ht="38.25" x14ac:dyDescent="0.25">
      <c r="A3786" s="104">
        <v>92910</v>
      </c>
      <c r="B3786" s="105" t="s">
        <v>3857</v>
      </c>
      <c r="C3786" s="106" t="s">
        <v>801</v>
      </c>
      <c r="D3786" s="107">
        <v>58.66</v>
      </c>
    </row>
    <row r="3787" spans="1:4" ht="38.25" x14ac:dyDescent="0.25">
      <c r="A3787" s="104">
        <v>92911</v>
      </c>
      <c r="B3787" s="105" t="s">
        <v>3858</v>
      </c>
      <c r="C3787" s="106" t="s">
        <v>801</v>
      </c>
      <c r="D3787" s="107">
        <v>58.66</v>
      </c>
    </row>
    <row r="3788" spans="1:4" ht="38.25" x14ac:dyDescent="0.25">
      <c r="A3788" s="104">
        <v>92912</v>
      </c>
      <c r="B3788" s="105" t="s">
        <v>3859</v>
      </c>
      <c r="C3788" s="106" t="s">
        <v>801</v>
      </c>
      <c r="D3788" s="107">
        <v>77.42</v>
      </c>
    </row>
    <row r="3789" spans="1:4" ht="38.25" x14ac:dyDescent="0.25">
      <c r="A3789" s="104">
        <v>92913</v>
      </c>
      <c r="B3789" s="105" t="s">
        <v>3860</v>
      </c>
      <c r="C3789" s="106" t="s">
        <v>801</v>
      </c>
      <c r="D3789" s="107">
        <v>79.31</v>
      </c>
    </row>
    <row r="3790" spans="1:4" ht="38.25" x14ac:dyDescent="0.25">
      <c r="A3790" s="104">
        <v>92914</v>
      </c>
      <c r="B3790" s="105" t="s">
        <v>3861</v>
      </c>
      <c r="C3790" s="106" t="s">
        <v>801</v>
      </c>
      <c r="D3790" s="107">
        <v>79.31</v>
      </c>
    </row>
    <row r="3791" spans="1:4" ht="38.25" x14ac:dyDescent="0.25">
      <c r="A3791" s="104">
        <v>92918</v>
      </c>
      <c r="B3791" s="105" t="s">
        <v>3862</v>
      </c>
      <c r="C3791" s="106" t="s">
        <v>801</v>
      </c>
      <c r="D3791" s="107">
        <v>22.71</v>
      </c>
    </row>
    <row r="3792" spans="1:4" ht="38.25" x14ac:dyDescent="0.25">
      <c r="A3792" s="104">
        <v>92920</v>
      </c>
      <c r="B3792" s="105" t="s">
        <v>3863</v>
      </c>
      <c r="C3792" s="106" t="s">
        <v>801</v>
      </c>
      <c r="D3792" s="107">
        <v>22.84</v>
      </c>
    </row>
    <row r="3793" spans="1:4" ht="38.25" x14ac:dyDescent="0.25">
      <c r="A3793" s="104">
        <v>92925</v>
      </c>
      <c r="B3793" s="105" t="s">
        <v>3864</v>
      </c>
      <c r="C3793" s="106" t="s">
        <v>801</v>
      </c>
      <c r="D3793" s="107">
        <v>27.75</v>
      </c>
    </row>
    <row r="3794" spans="1:4" ht="38.25" x14ac:dyDescent="0.25">
      <c r="A3794" s="104">
        <v>92926</v>
      </c>
      <c r="B3794" s="105" t="s">
        <v>3865</v>
      </c>
      <c r="C3794" s="106" t="s">
        <v>801</v>
      </c>
      <c r="D3794" s="107">
        <v>27.74</v>
      </c>
    </row>
    <row r="3795" spans="1:4" ht="38.25" x14ac:dyDescent="0.25">
      <c r="A3795" s="104">
        <v>92927</v>
      </c>
      <c r="B3795" s="105" t="s">
        <v>3866</v>
      </c>
      <c r="C3795" s="106" t="s">
        <v>801</v>
      </c>
      <c r="D3795" s="107">
        <v>27.74</v>
      </c>
    </row>
    <row r="3796" spans="1:4" ht="38.25" x14ac:dyDescent="0.25">
      <c r="A3796" s="104">
        <v>92928</v>
      </c>
      <c r="B3796" s="105" t="s">
        <v>3867</v>
      </c>
      <c r="C3796" s="106" t="s">
        <v>801</v>
      </c>
      <c r="D3796" s="107">
        <v>31.59</v>
      </c>
    </row>
    <row r="3797" spans="1:4" ht="38.25" x14ac:dyDescent="0.25">
      <c r="A3797" s="104">
        <v>92929</v>
      </c>
      <c r="B3797" s="105" t="s">
        <v>3868</v>
      </c>
      <c r="C3797" s="106" t="s">
        <v>801</v>
      </c>
      <c r="D3797" s="107">
        <v>31.59</v>
      </c>
    </row>
    <row r="3798" spans="1:4" ht="38.25" x14ac:dyDescent="0.25">
      <c r="A3798" s="104">
        <v>92930</v>
      </c>
      <c r="B3798" s="105" t="s">
        <v>3869</v>
      </c>
      <c r="C3798" s="106" t="s">
        <v>801</v>
      </c>
      <c r="D3798" s="107">
        <v>31.59</v>
      </c>
    </row>
    <row r="3799" spans="1:4" ht="38.25" x14ac:dyDescent="0.25">
      <c r="A3799" s="104">
        <v>92931</v>
      </c>
      <c r="B3799" s="105" t="s">
        <v>3870</v>
      </c>
      <c r="C3799" s="106" t="s">
        <v>801</v>
      </c>
      <c r="D3799" s="107">
        <v>41.31</v>
      </c>
    </row>
    <row r="3800" spans="1:4" ht="38.25" x14ac:dyDescent="0.25">
      <c r="A3800" s="104">
        <v>92932</v>
      </c>
      <c r="B3800" s="105" t="s">
        <v>3871</v>
      </c>
      <c r="C3800" s="106" t="s">
        <v>801</v>
      </c>
      <c r="D3800" s="107">
        <v>41.31</v>
      </c>
    </row>
    <row r="3801" spans="1:4" ht="38.25" x14ac:dyDescent="0.25">
      <c r="A3801" s="104">
        <v>92933</v>
      </c>
      <c r="B3801" s="105" t="s">
        <v>3872</v>
      </c>
      <c r="C3801" s="106" t="s">
        <v>801</v>
      </c>
      <c r="D3801" s="107">
        <v>41.31</v>
      </c>
    </row>
    <row r="3802" spans="1:4" ht="38.25" x14ac:dyDescent="0.25">
      <c r="A3802" s="104">
        <v>92934</v>
      </c>
      <c r="B3802" s="105" t="s">
        <v>3873</v>
      </c>
      <c r="C3802" s="106" t="s">
        <v>801</v>
      </c>
      <c r="D3802" s="107">
        <v>59.74</v>
      </c>
    </row>
    <row r="3803" spans="1:4" ht="38.25" x14ac:dyDescent="0.25">
      <c r="A3803" s="104">
        <v>92935</v>
      </c>
      <c r="B3803" s="105" t="s">
        <v>3874</v>
      </c>
      <c r="C3803" s="106" t="s">
        <v>801</v>
      </c>
      <c r="D3803" s="107">
        <v>59.74</v>
      </c>
    </row>
    <row r="3804" spans="1:4" ht="38.25" x14ac:dyDescent="0.25">
      <c r="A3804" s="104">
        <v>92936</v>
      </c>
      <c r="B3804" s="105" t="s">
        <v>3875</v>
      </c>
      <c r="C3804" s="106" t="s">
        <v>801</v>
      </c>
      <c r="D3804" s="107">
        <v>81.53</v>
      </c>
    </row>
    <row r="3805" spans="1:4" ht="38.25" x14ac:dyDescent="0.25">
      <c r="A3805" s="104">
        <v>92937</v>
      </c>
      <c r="B3805" s="105" t="s">
        <v>3876</v>
      </c>
      <c r="C3805" s="106" t="s">
        <v>801</v>
      </c>
      <c r="D3805" s="107">
        <v>81.53</v>
      </c>
    </row>
    <row r="3806" spans="1:4" ht="38.25" x14ac:dyDescent="0.25">
      <c r="A3806" s="104">
        <v>92938</v>
      </c>
      <c r="B3806" s="105" t="s">
        <v>3877</v>
      </c>
      <c r="C3806" s="106" t="s">
        <v>801</v>
      </c>
      <c r="D3806" s="107">
        <v>16.73</v>
      </c>
    </row>
    <row r="3807" spans="1:4" ht="38.25" x14ac:dyDescent="0.25">
      <c r="A3807" s="104">
        <v>92939</v>
      </c>
      <c r="B3807" s="105" t="s">
        <v>3878</v>
      </c>
      <c r="C3807" s="106" t="s">
        <v>801</v>
      </c>
      <c r="D3807" s="107">
        <v>16.86</v>
      </c>
    </row>
    <row r="3808" spans="1:4" ht="38.25" x14ac:dyDescent="0.25">
      <c r="A3808" s="104">
        <v>92940</v>
      </c>
      <c r="B3808" s="105" t="s">
        <v>3879</v>
      </c>
      <c r="C3808" s="106" t="s">
        <v>801</v>
      </c>
      <c r="D3808" s="107">
        <v>20.94</v>
      </c>
    </row>
    <row r="3809" spans="1:4" ht="38.25" x14ac:dyDescent="0.25">
      <c r="A3809" s="104">
        <v>92941</v>
      </c>
      <c r="B3809" s="105" t="s">
        <v>3880</v>
      </c>
      <c r="C3809" s="106" t="s">
        <v>801</v>
      </c>
      <c r="D3809" s="107">
        <v>20.93</v>
      </c>
    </row>
    <row r="3810" spans="1:4" ht="38.25" x14ac:dyDescent="0.25">
      <c r="A3810" s="104">
        <v>92942</v>
      </c>
      <c r="B3810" s="105" t="s">
        <v>3881</v>
      </c>
      <c r="C3810" s="106" t="s">
        <v>801</v>
      </c>
      <c r="D3810" s="107">
        <v>20.93</v>
      </c>
    </row>
    <row r="3811" spans="1:4" ht="38.25" x14ac:dyDescent="0.25">
      <c r="A3811" s="104">
        <v>92943</v>
      </c>
      <c r="B3811" s="105" t="s">
        <v>3882</v>
      </c>
      <c r="C3811" s="106" t="s">
        <v>801</v>
      </c>
      <c r="D3811" s="107">
        <v>23.83</v>
      </c>
    </row>
    <row r="3812" spans="1:4" ht="38.25" x14ac:dyDescent="0.25">
      <c r="A3812" s="104">
        <v>92944</v>
      </c>
      <c r="B3812" s="105" t="s">
        <v>3883</v>
      </c>
      <c r="C3812" s="106" t="s">
        <v>801</v>
      </c>
      <c r="D3812" s="107">
        <v>23.83</v>
      </c>
    </row>
    <row r="3813" spans="1:4" ht="38.25" x14ac:dyDescent="0.25">
      <c r="A3813" s="104">
        <v>92945</v>
      </c>
      <c r="B3813" s="105" t="s">
        <v>3884</v>
      </c>
      <c r="C3813" s="106" t="s">
        <v>801</v>
      </c>
      <c r="D3813" s="107">
        <v>23.83</v>
      </c>
    </row>
    <row r="3814" spans="1:4" ht="38.25" x14ac:dyDescent="0.25">
      <c r="A3814" s="104">
        <v>92946</v>
      </c>
      <c r="B3814" s="105" t="s">
        <v>3885</v>
      </c>
      <c r="C3814" s="106" t="s">
        <v>801</v>
      </c>
      <c r="D3814" s="107">
        <v>32.380000000000003</v>
      </c>
    </row>
    <row r="3815" spans="1:4" ht="38.25" x14ac:dyDescent="0.25">
      <c r="A3815" s="104">
        <v>92947</v>
      </c>
      <c r="B3815" s="105" t="s">
        <v>3886</v>
      </c>
      <c r="C3815" s="106" t="s">
        <v>801</v>
      </c>
      <c r="D3815" s="107">
        <v>32.380000000000003</v>
      </c>
    </row>
    <row r="3816" spans="1:4" ht="38.25" x14ac:dyDescent="0.25">
      <c r="A3816" s="104">
        <v>92948</v>
      </c>
      <c r="B3816" s="105" t="s">
        <v>3887</v>
      </c>
      <c r="C3816" s="106" t="s">
        <v>801</v>
      </c>
      <c r="D3816" s="107">
        <v>32.380000000000003</v>
      </c>
    </row>
    <row r="3817" spans="1:4" ht="38.25" x14ac:dyDescent="0.25">
      <c r="A3817" s="104">
        <v>92949</v>
      </c>
      <c r="B3817" s="105" t="s">
        <v>3888</v>
      </c>
      <c r="C3817" s="106" t="s">
        <v>801</v>
      </c>
      <c r="D3817" s="107">
        <v>49.05</v>
      </c>
    </row>
    <row r="3818" spans="1:4" ht="38.25" x14ac:dyDescent="0.25">
      <c r="A3818" s="104">
        <v>92950</v>
      </c>
      <c r="B3818" s="105" t="s">
        <v>3889</v>
      </c>
      <c r="C3818" s="106" t="s">
        <v>801</v>
      </c>
      <c r="D3818" s="107">
        <v>49.05</v>
      </c>
    </row>
    <row r="3819" spans="1:4" ht="38.25" x14ac:dyDescent="0.25">
      <c r="A3819" s="104">
        <v>92951</v>
      </c>
      <c r="B3819" s="105" t="s">
        <v>3890</v>
      </c>
      <c r="C3819" s="106" t="s">
        <v>801</v>
      </c>
      <c r="D3819" s="107">
        <v>69.08</v>
      </c>
    </row>
    <row r="3820" spans="1:4" ht="38.25" x14ac:dyDescent="0.25">
      <c r="A3820" s="104">
        <v>92952</v>
      </c>
      <c r="B3820" s="105" t="s">
        <v>3891</v>
      </c>
      <c r="C3820" s="106" t="s">
        <v>801</v>
      </c>
      <c r="D3820" s="107">
        <v>69.08</v>
      </c>
    </row>
    <row r="3821" spans="1:4" ht="38.25" x14ac:dyDescent="0.25">
      <c r="A3821" s="104">
        <v>92953</v>
      </c>
      <c r="B3821" s="105" t="s">
        <v>3892</v>
      </c>
      <c r="C3821" s="106" t="s">
        <v>801</v>
      </c>
      <c r="D3821" s="107">
        <v>14.64</v>
      </c>
    </row>
    <row r="3822" spans="1:4" ht="25.5" x14ac:dyDescent="0.25">
      <c r="A3822" s="104">
        <v>93050</v>
      </c>
      <c r="B3822" s="105" t="s">
        <v>3893</v>
      </c>
      <c r="C3822" s="106" t="s">
        <v>801</v>
      </c>
      <c r="D3822" s="107">
        <v>7.68</v>
      </c>
    </row>
    <row r="3823" spans="1:4" ht="38.25" x14ac:dyDescent="0.25">
      <c r="A3823" s="104">
        <v>93051</v>
      </c>
      <c r="B3823" s="105" t="s">
        <v>3894</v>
      </c>
      <c r="C3823" s="106" t="s">
        <v>801</v>
      </c>
      <c r="D3823" s="107">
        <v>7.09</v>
      </c>
    </row>
    <row r="3824" spans="1:4" ht="25.5" x14ac:dyDescent="0.25">
      <c r="A3824" s="104">
        <v>93052</v>
      </c>
      <c r="B3824" s="105" t="s">
        <v>3895</v>
      </c>
      <c r="C3824" s="106" t="s">
        <v>801</v>
      </c>
      <c r="D3824" s="107">
        <v>340.54</v>
      </c>
    </row>
    <row r="3825" spans="1:4" ht="38.25" x14ac:dyDescent="0.25">
      <c r="A3825" s="104">
        <v>93054</v>
      </c>
      <c r="B3825" s="105" t="s">
        <v>3896</v>
      </c>
      <c r="C3825" s="106" t="s">
        <v>801</v>
      </c>
      <c r="D3825" s="107">
        <v>14.62</v>
      </c>
    </row>
    <row r="3826" spans="1:4" ht="38.25" x14ac:dyDescent="0.25">
      <c r="A3826" s="104">
        <v>93055</v>
      </c>
      <c r="B3826" s="105" t="s">
        <v>3897</v>
      </c>
      <c r="C3826" s="106" t="s">
        <v>801</v>
      </c>
      <c r="D3826" s="107">
        <v>29.72</v>
      </c>
    </row>
    <row r="3827" spans="1:4" ht="25.5" x14ac:dyDescent="0.25">
      <c r="A3827" s="104">
        <v>93056</v>
      </c>
      <c r="B3827" s="105" t="s">
        <v>3898</v>
      </c>
      <c r="C3827" s="106" t="s">
        <v>801</v>
      </c>
      <c r="D3827" s="107">
        <v>11.22</v>
      </c>
    </row>
    <row r="3828" spans="1:4" ht="38.25" x14ac:dyDescent="0.25">
      <c r="A3828" s="104">
        <v>93057</v>
      </c>
      <c r="B3828" s="105" t="s">
        <v>3899</v>
      </c>
      <c r="C3828" s="106" t="s">
        <v>801</v>
      </c>
      <c r="D3828" s="107">
        <v>9.81</v>
      </c>
    </row>
    <row r="3829" spans="1:4" ht="25.5" x14ac:dyDescent="0.25">
      <c r="A3829" s="104">
        <v>93058</v>
      </c>
      <c r="B3829" s="105" t="s">
        <v>3900</v>
      </c>
      <c r="C3829" s="106" t="s">
        <v>801</v>
      </c>
      <c r="D3829" s="107">
        <v>374.5</v>
      </c>
    </row>
    <row r="3830" spans="1:4" ht="38.25" x14ac:dyDescent="0.25">
      <c r="A3830" s="104">
        <v>93059</v>
      </c>
      <c r="B3830" s="105" t="s">
        <v>3901</v>
      </c>
      <c r="C3830" s="106" t="s">
        <v>801</v>
      </c>
      <c r="D3830" s="107">
        <v>20.07</v>
      </c>
    </row>
    <row r="3831" spans="1:4" ht="38.25" x14ac:dyDescent="0.25">
      <c r="A3831" s="104">
        <v>93060</v>
      </c>
      <c r="B3831" s="105" t="s">
        <v>3902</v>
      </c>
      <c r="C3831" s="106" t="s">
        <v>801</v>
      </c>
      <c r="D3831" s="107">
        <v>51.75</v>
      </c>
    </row>
    <row r="3832" spans="1:4" ht="25.5" x14ac:dyDescent="0.25">
      <c r="A3832" s="104">
        <v>93061</v>
      </c>
      <c r="B3832" s="105" t="s">
        <v>3903</v>
      </c>
      <c r="C3832" s="106" t="s">
        <v>801</v>
      </c>
      <c r="D3832" s="107">
        <v>20.93</v>
      </c>
    </row>
    <row r="3833" spans="1:4" ht="38.25" x14ac:dyDescent="0.25">
      <c r="A3833" s="104">
        <v>93062</v>
      </c>
      <c r="B3833" s="105" t="s">
        <v>3904</v>
      </c>
      <c r="C3833" s="106" t="s">
        <v>801</v>
      </c>
      <c r="D3833" s="107">
        <v>18.190000000000001</v>
      </c>
    </row>
    <row r="3834" spans="1:4" ht="25.5" x14ac:dyDescent="0.25">
      <c r="A3834" s="104">
        <v>93063</v>
      </c>
      <c r="B3834" s="105" t="s">
        <v>3905</v>
      </c>
      <c r="C3834" s="106" t="s">
        <v>801</v>
      </c>
      <c r="D3834" s="107">
        <v>428.95</v>
      </c>
    </row>
    <row r="3835" spans="1:4" ht="25.5" x14ac:dyDescent="0.25">
      <c r="A3835" s="104">
        <v>93064</v>
      </c>
      <c r="B3835" s="105" t="s">
        <v>3906</v>
      </c>
      <c r="C3835" s="106" t="s">
        <v>801</v>
      </c>
      <c r="D3835" s="107">
        <v>32.25</v>
      </c>
    </row>
    <row r="3836" spans="1:4" ht="38.25" x14ac:dyDescent="0.25">
      <c r="A3836" s="104">
        <v>93065</v>
      </c>
      <c r="B3836" s="105" t="s">
        <v>3907</v>
      </c>
      <c r="C3836" s="106" t="s">
        <v>801</v>
      </c>
      <c r="D3836" s="107">
        <v>30.22</v>
      </c>
    </row>
    <row r="3837" spans="1:4" ht="25.5" x14ac:dyDescent="0.25">
      <c r="A3837" s="104">
        <v>93066</v>
      </c>
      <c r="B3837" s="105" t="s">
        <v>3908</v>
      </c>
      <c r="C3837" s="106" t="s">
        <v>801</v>
      </c>
      <c r="D3837" s="107">
        <v>538.45000000000005</v>
      </c>
    </row>
    <row r="3838" spans="1:4" ht="25.5" x14ac:dyDescent="0.25">
      <c r="A3838" s="104">
        <v>93067</v>
      </c>
      <c r="B3838" s="105" t="s">
        <v>3909</v>
      </c>
      <c r="C3838" s="106" t="s">
        <v>801</v>
      </c>
      <c r="D3838" s="107">
        <v>47.77</v>
      </c>
    </row>
    <row r="3839" spans="1:4" ht="38.25" x14ac:dyDescent="0.25">
      <c r="A3839" s="104">
        <v>93068</v>
      </c>
      <c r="B3839" s="105" t="s">
        <v>3910</v>
      </c>
      <c r="C3839" s="106" t="s">
        <v>801</v>
      </c>
      <c r="D3839" s="107">
        <v>41.83</v>
      </c>
    </row>
    <row r="3840" spans="1:4" ht="25.5" x14ac:dyDescent="0.25">
      <c r="A3840" s="104">
        <v>93069</v>
      </c>
      <c r="B3840" s="105" t="s">
        <v>3911</v>
      </c>
      <c r="C3840" s="106" t="s">
        <v>801</v>
      </c>
      <c r="D3840" s="107">
        <v>746.19</v>
      </c>
    </row>
    <row r="3841" spans="1:4" ht="25.5" x14ac:dyDescent="0.25">
      <c r="A3841" s="104">
        <v>93070</v>
      </c>
      <c r="B3841" s="105" t="s">
        <v>3912</v>
      </c>
      <c r="C3841" s="106" t="s">
        <v>801</v>
      </c>
      <c r="D3841" s="107">
        <v>120.25</v>
      </c>
    </row>
    <row r="3842" spans="1:4" ht="38.25" x14ac:dyDescent="0.25">
      <c r="A3842" s="104">
        <v>93071</v>
      </c>
      <c r="B3842" s="105" t="s">
        <v>3913</v>
      </c>
      <c r="C3842" s="106" t="s">
        <v>801</v>
      </c>
      <c r="D3842" s="107">
        <v>111.69</v>
      </c>
    </row>
    <row r="3843" spans="1:4" ht="25.5" x14ac:dyDescent="0.25">
      <c r="A3843" s="104">
        <v>93072</v>
      </c>
      <c r="B3843" s="105" t="s">
        <v>3914</v>
      </c>
      <c r="C3843" s="106" t="s">
        <v>801</v>
      </c>
      <c r="D3843" s="107">
        <v>984.5</v>
      </c>
    </row>
    <row r="3844" spans="1:4" ht="38.25" x14ac:dyDescent="0.25">
      <c r="A3844" s="104">
        <v>93073</v>
      </c>
      <c r="B3844" s="105" t="s">
        <v>3915</v>
      </c>
      <c r="C3844" s="106" t="s">
        <v>801</v>
      </c>
      <c r="D3844" s="107">
        <v>54.37</v>
      </c>
    </row>
    <row r="3845" spans="1:4" ht="38.25" x14ac:dyDescent="0.25">
      <c r="A3845" s="104">
        <v>93074</v>
      </c>
      <c r="B3845" s="105" t="s">
        <v>3916</v>
      </c>
      <c r="C3845" s="106" t="s">
        <v>801</v>
      </c>
      <c r="D3845" s="107">
        <v>8.43</v>
      </c>
    </row>
    <row r="3846" spans="1:4" ht="38.25" x14ac:dyDescent="0.25">
      <c r="A3846" s="104">
        <v>93075</v>
      </c>
      <c r="B3846" s="105" t="s">
        <v>3917</v>
      </c>
      <c r="C3846" s="106" t="s">
        <v>801</v>
      </c>
      <c r="D3846" s="107">
        <v>14.08</v>
      </c>
    </row>
    <row r="3847" spans="1:4" ht="38.25" x14ac:dyDescent="0.25">
      <c r="A3847" s="104">
        <v>93076</v>
      </c>
      <c r="B3847" s="105" t="s">
        <v>3918</v>
      </c>
      <c r="C3847" s="106" t="s">
        <v>801</v>
      </c>
      <c r="D3847" s="107">
        <v>13.64</v>
      </c>
    </row>
    <row r="3848" spans="1:4" ht="38.25" x14ac:dyDescent="0.25">
      <c r="A3848" s="104">
        <v>93077</v>
      </c>
      <c r="B3848" s="105" t="s">
        <v>3919</v>
      </c>
      <c r="C3848" s="106" t="s">
        <v>801</v>
      </c>
      <c r="D3848" s="107">
        <v>19.989999999999998</v>
      </c>
    </row>
    <row r="3849" spans="1:4" ht="38.25" x14ac:dyDescent="0.25">
      <c r="A3849" s="104">
        <v>93078</v>
      </c>
      <c r="B3849" s="105" t="s">
        <v>3920</v>
      </c>
      <c r="C3849" s="106" t="s">
        <v>801</v>
      </c>
      <c r="D3849" s="107">
        <v>21.66</v>
      </c>
    </row>
    <row r="3850" spans="1:4" ht="38.25" x14ac:dyDescent="0.25">
      <c r="A3850" s="104">
        <v>93079</v>
      </c>
      <c r="B3850" s="105" t="s">
        <v>3921</v>
      </c>
      <c r="C3850" s="106" t="s">
        <v>801</v>
      </c>
      <c r="D3850" s="107">
        <v>19.079999999999998</v>
      </c>
    </row>
    <row r="3851" spans="1:4" ht="38.25" x14ac:dyDescent="0.25">
      <c r="A3851" s="104">
        <v>93080</v>
      </c>
      <c r="B3851" s="105" t="s">
        <v>3922</v>
      </c>
      <c r="C3851" s="106" t="s">
        <v>801</v>
      </c>
      <c r="D3851" s="107">
        <v>5.51</v>
      </c>
    </row>
    <row r="3852" spans="1:4" ht="38.25" x14ac:dyDescent="0.25">
      <c r="A3852" s="104">
        <v>93081</v>
      </c>
      <c r="B3852" s="105" t="s">
        <v>3923</v>
      </c>
      <c r="C3852" s="106" t="s">
        <v>801</v>
      </c>
      <c r="D3852" s="107">
        <v>12.69</v>
      </c>
    </row>
    <row r="3853" spans="1:4" ht="38.25" x14ac:dyDescent="0.25">
      <c r="A3853" s="104">
        <v>93082</v>
      </c>
      <c r="B3853" s="105" t="s">
        <v>3924</v>
      </c>
      <c r="C3853" s="106" t="s">
        <v>801</v>
      </c>
      <c r="D3853" s="107">
        <v>15.54</v>
      </c>
    </row>
    <row r="3854" spans="1:4" ht="38.25" x14ac:dyDescent="0.25">
      <c r="A3854" s="104">
        <v>93083</v>
      </c>
      <c r="B3854" s="105" t="s">
        <v>3925</v>
      </c>
      <c r="C3854" s="106" t="s">
        <v>801</v>
      </c>
      <c r="D3854" s="107">
        <v>294.44</v>
      </c>
    </row>
    <row r="3855" spans="1:4" ht="38.25" x14ac:dyDescent="0.25">
      <c r="A3855" s="104">
        <v>93084</v>
      </c>
      <c r="B3855" s="105" t="s">
        <v>3926</v>
      </c>
      <c r="C3855" s="106" t="s">
        <v>801</v>
      </c>
      <c r="D3855" s="107">
        <v>9.0399999999999991</v>
      </c>
    </row>
    <row r="3856" spans="1:4" ht="38.25" x14ac:dyDescent="0.25">
      <c r="A3856" s="104">
        <v>93085</v>
      </c>
      <c r="B3856" s="105" t="s">
        <v>3927</v>
      </c>
      <c r="C3856" s="106" t="s">
        <v>801</v>
      </c>
      <c r="D3856" s="107">
        <v>8.4499999999999993</v>
      </c>
    </row>
    <row r="3857" spans="1:4" ht="38.25" x14ac:dyDescent="0.25">
      <c r="A3857" s="104">
        <v>93086</v>
      </c>
      <c r="B3857" s="105" t="s">
        <v>3928</v>
      </c>
      <c r="C3857" s="106" t="s">
        <v>801</v>
      </c>
      <c r="D3857" s="107">
        <v>341.9</v>
      </c>
    </row>
    <row r="3858" spans="1:4" ht="38.25" x14ac:dyDescent="0.25">
      <c r="A3858" s="104">
        <v>93087</v>
      </c>
      <c r="B3858" s="105" t="s">
        <v>3929</v>
      </c>
      <c r="C3858" s="106" t="s">
        <v>801</v>
      </c>
      <c r="D3858" s="107">
        <v>13.76</v>
      </c>
    </row>
    <row r="3859" spans="1:4" ht="38.25" x14ac:dyDescent="0.25">
      <c r="A3859" s="104">
        <v>93088</v>
      </c>
      <c r="B3859" s="105" t="s">
        <v>3930</v>
      </c>
      <c r="C3859" s="106" t="s">
        <v>801</v>
      </c>
      <c r="D3859" s="107">
        <v>16.170000000000002</v>
      </c>
    </row>
    <row r="3860" spans="1:4" ht="38.25" x14ac:dyDescent="0.25">
      <c r="A3860" s="104">
        <v>93089</v>
      </c>
      <c r="B3860" s="105" t="s">
        <v>3931</v>
      </c>
      <c r="C3860" s="106" t="s">
        <v>801</v>
      </c>
      <c r="D3860" s="107">
        <v>31.08</v>
      </c>
    </row>
    <row r="3861" spans="1:4" ht="38.25" x14ac:dyDescent="0.25">
      <c r="A3861" s="104">
        <v>93090</v>
      </c>
      <c r="B3861" s="105" t="s">
        <v>3932</v>
      </c>
      <c r="C3861" s="106" t="s">
        <v>801</v>
      </c>
      <c r="D3861" s="107">
        <v>12.55</v>
      </c>
    </row>
    <row r="3862" spans="1:4" ht="38.25" x14ac:dyDescent="0.25">
      <c r="A3862" s="104">
        <v>93091</v>
      </c>
      <c r="B3862" s="105" t="s">
        <v>3933</v>
      </c>
      <c r="C3862" s="106" t="s">
        <v>801</v>
      </c>
      <c r="D3862" s="107">
        <v>11.14</v>
      </c>
    </row>
    <row r="3863" spans="1:4" ht="38.25" x14ac:dyDescent="0.25">
      <c r="A3863" s="104">
        <v>93092</v>
      </c>
      <c r="B3863" s="105" t="s">
        <v>3934</v>
      </c>
      <c r="C3863" s="106" t="s">
        <v>801</v>
      </c>
      <c r="D3863" s="107">
        <v>375.83</v>
      </c>
    </row>
    <row r="3864" spans="1:4" ht="38.25" x14ac:dyDescent="0.25">
      <c r="A3864" s="104">
        <v>93093</v>
      </c>
      <c r="B3864" s="105" t="s">
        <v>3935</v>
      </c>
      <c r="C3864" s="106" t="s">
        <v>801</v>
      </c>
      <c r="D3864" s="107">
        <v>21.4</v>
      </c>
    </row>
    <row r="3865" spans="1:4" ht="38.25" x14ac:dyDescent="0.25">
      <c r="A3865" s="104">
        <v>93094</v>
      </c>
      <c r="B3865" s="105" t="s">
        <v>3936</v>
      </c>
      <c r="C3865" s="106" t="s">
        <v>801</v>
      </c>
      <c r="D3865" s="107">
        <v>53.08</v>
      </c>
    </row>
    <row r="3866" spans="1:4" ht="38.25" x14ac:dyDescent="0.25">
      <c r="A3866" s="104">
        <v>93095</v>
      </c>
      <c r="B3866" s="105" t="s">
        <v>3937</v>
      </c>
      <c r="C3866" s="106" t="s">
        <v>801</v>
      </c>
      <c r="D3866" s="107">
        <v>40</v>
      </c>
    </row>
    <row r="3867" spans="1:4" ht="38.25" x14ac:dyDescent="0.25">
      <c r="A3867" s="104">
        <v>93096</v>
      </c>
      <c r="B3867" s="105" t="s">
        <v>3938</v>
      </c>
      <c r="C3867" s="106" t="s">
        <v>801</v>
      </c>
      <c r="D3867" s="107">
        <v>57.03</v>
      </c>
    </row>
    <row r="3868" spans="1:4" ht="38.25" x14ac:dyDescent="0.25">
      <c r="A3868" s="104">
        <v>93097</v>
      </c>
      <c r="B3868" s="105" t="s">
        <v>3939</v>
      </c>
      <c r="C3868" s="106" t="s">
        <v>801</v>
      </c>
      <c r="D3868" s="107">
        <v>8.58</v>
      </c>
    </row>
    <row r="3869" spans="1:4" ht="38.25" x14ac:dyDescent="0.25">
      <c r="A3869" s="104">
        <v>93098</v>
      </c>
      <c r="B3869" s="105" t="s">
        <v>3940</v>
      </c>
      <c r="C3869" s="106" t="s">
        <v>801</v>
      </c>
      <c r="D3869" s="107">
        <v>14.23</v>
      </c>
    </row>
    <row r="3870" spans="1:4" ht="38.25" x14ac:dyDescent="0.25">
      <c r="A3870" s="104">
        <v>93099</v>
      </c>
      <c r="B3870" s="105" t="s">
        <v>3941</v>
      </c>
      <c r="C3870" s="106" t="s">
        <v>801</v>
      </c>
      <c r="D3870" s="107">
        <v>15.48</v>
      </c>
    </row>
    <row r="3871" spans="1:4" ht="38.25" x14ac:dyDescent="0.25">
      <c r="A3871" s="104">
        <v>93100</v>
      </c>
      <c r="B3871" s="105" t="s">
        <v>3942</v>
      </c>
      <c r="C3871" s="106" t="s">
        <v>801</v>
      </c>
      <c r="D3871" s="107">
        <v>21.83</v>
      </c>
    </row>
    <row r="3872" spans="1:4" ht="38.25" x14ac:dyDescent="0.25">
      <c r="A3872" s="104">
        <v>93101</v>
      </c>
      <c r="B3872" s="105" t="s">
        <v>3943</v>
      </c>
      <c r="C3872" s="106" t="s">
        <v>801</v>
      </c>
      <c r="D3872" s="107">
        <v>23.5</v>
      </c>
    </row>
    <row r="3873" spans="1:4" ht="38.25" x14ac:dyDescent="0.25">
      <c r="A3873" s="104">
        <v>93102</v>
      </c>
      <c r="B3873" s="105" t="s">
        <v>3944</v>
      </c>
      <c r="C3873" s="106" t="s">
        <v>801</v>
      </c>
      <c r="D3873" s="107">
        <v>20.75</v>
      </c>
    </row>
    <row r="3874" spans="1:4" ht="38.25" x14ac:dyDescent="0.25">
      <c r="A3874" s="104">
        <v>93103</v>
      </c>
      <c r="B3874" s="105" t="s">
        <v>3945</v>
      </c>
      <c r="C3874" s="106" t="s">
        <v>801</v>
      </c>
      <c r="D3874" s="107">
        <v>5.64</v>
      </c>
    </row>
    <row r="3875" spans="1:4" ht="38.25" x14ac:dyDescent="0.25">
      <c r="A3875" s="104">
        <v>93104</v>
      </c>
      <c r="B3875" s="105" t="s">
        <v>3946</v>
      </c>
      <c r="C3875" s="106" t="s">
        <v>801</v>
      </c>
      <c r="D3875" s="107">
        <v>12.82</v>
      </c>
    </row>
    <row r="3876" spans="1:4" ht="38.25" x14ac:dyDescent="0.25">
      <c r="A3876" s="104">
        <v>93105</v>
      </c>
      <c r="B3876" s="105" t="s">
        <v>3947</v>
      </c>
      <c r="C3876" s="106" t="s">
        <v>801</v>
      </c>
      <c r="D3876" s="107">
        <v>15.67</v>
      </c>
    </row>
    <row r="3877" spans="1:4" ht="38.25" x14ac:dyDescent="0.25">
      <c r="A3877" s="104">
        <v>93106</v>
      </c>
      <c r="B3877" s="105" t="s">
        <v>3948</v>
      </c>
      <c r="C3877" s="106" t="s">
        <v>801</v>
      </c>
      <c r="D3877" s="107">
        <v>294.57</v>
      </c>
    </row>
    <row r="3878" spans="1:4" ht="38.25" x14ac:dyDescent="0.25">
      <c r="A3878" s="104">
        <v>93107</v>
      </c>
      <c r="B3878" s="105" t="s">
        <v>3949</v>
      </c>
      <c r="C3878" s="106" t="s">
        <v>801</v>
      </c>
      <c r="D3878" s="107">
        <v>10.25</v>
      </c>
    </row>
    <row r="3879" spans="1:4" ht="38.25" x14ac:dyDescent="0.25">
      <c r="A3879" s="104">
        <v>93108</v>
      </c>
      <c r="B3879" s="105" t="s">
        <v>3950</v>
      </c>
      <c r="C3879" s="106" t="s">
        <v>801</v>
      </c>
      <c r="D3879" s="107">
        <v>9.66</v>
      </c>
    </row>
    <row r="3880" spans="1:4" ht="38.25" x14ac:dyDescent="0.25">
      <c r="A3880" s="104">
        <v>93109</v>
      </c>
      <c r="B3880" s="105" t="s">
        <v>3951</v>
      </c>
      <c r="C3880" s="106" t="s">
        <v>801</v>
      </c>
      <c r="D3880" s="107">
        <v>343.11</v>
      </c>
    </row>
    <row r="3881" spans="1:4" ht="38.25" x14ac:dyDescent="0.25">
      <c r="A3881" s="104">
        <v>93110</v>
      </c>
      <c r="B3881" s="105" t="s">
        <v>3952</v>
      </c>
      <c r="C3881" s="106" t="s">
        <v>801</v>
      </c>
      <c r="D3881" s="107">
        <v>14.97</v>
      </c>
    </row>
    <row r="3882" spans="1:4" ht="38.25" x14ac:dyDescent="0.25">
      <c r="A3882" s="104">
        <v>93111</v>
      </c>
      <c r="B3882" s="105" t="s">
        <v>3953</v>
      </c>
      <c r="C3882" s="106" t="s">
        <v>801</v>
      </c>
      <c r="D3882" s="107">
        <v>17.190000000000001</v>
      </c>
    </row>
    <row r="3883" spans="1:4" ht="38.25" x14ac:dyDescent="0.25">
      <c r="A3883" s="104">
        <v>93112</v>
      </c>
      <c r="B3883" s="105" t="s">
        <v>3954</v>
      </c>
      <c r="C3883" s="106" t="s">
        <v>801</v>
      </c>
      <c r="D3883" s="107">
        <v>32.29</v>
      </c>
    </row>
    <row r="3884" spans="1:4" ht="38.25" x14ac:dyDescent="0.25">
      <c r="A3884" s="104">
        <v>93113</v>
      </c>
      <c r="B3884" s="105" t="s">
        <v>3955</v>
      </c>
      <c r="C3884" s="106" t="s">
        <v>801</v>
      </c>
      <c r="D3884" s="107">
        <v>14.75</v>
      </c>
    </row>
    <row r="3885" spans="1:4" ht="38.25" x14ac:dyDescent="0.25">
      <c r="A3885" s="104">
        <v>93114</v>
      </c>
      <c r="B3885" s="105" t="s">
        <v>3956</v>
      </c>
      <c r="C3885" s="106" t="s">
        <v>801</v>
      </c>
      <c r="D3885" s="107">
        <v>23.6</v>
      </c>
    </row>
    <row r="3886" spans="1:4" ht="38.25" x14ac:dyDescent="0.25">
      <c r="A3886" s="104">
        <v>93115</v>
      </c>
      <c r="B3886" s="105" t="s">
        <v>3957</v>
      </c>
      <c r="C3886" s="106" t="s">
        <v>801</v>
      </c>
      <c r="D3886" s="107">
        <v>55.28</v>
      </c>
    </row>
    <row r="3887" spans="1:4" ht="38.25" x14ac:dyDescent="0.25">
      <c r="A3887" s="104">
        <v>93116</v>
      </c>
      <c r="B3887" s="105" t="s">
        <v>3958</v>
      </c>
      <c r="C3887" s="106" t="s">
        <v>801</v>
      </c>
      <c r="D3887" s="107">
        <v>378.03</v>
      </c>
    </row>
    <row r="3888" spans="1:4" ht="38.25" x14ac:dyDescent="0.25">
      <c r="A3888" s="104">
        <v>93117</v>
      </c>
      <c r="B3888" s="105" t="s">
        <v>3959</v>
      </c>
      <c r="C3888" s="106" t="s">
        <v>801</v>
      </c>
      <c r="D3888" s="107">
        <v>40.21</v>
      </c>
    </row>
    <row r="3889" spans="1:4" ht="38.25" x14ac:dyDescent="0.25">
      <c r="A3889" s="104">
        <v>93118</v>
      </c>
      <c r="B3889" s="105" t="s">
        <v>3960</v>
      </c>
      <c r="C3889" s="106" t="s">
        <v>801</v>
      </c>
      <c r="D3889" s="107">
        <v>59.46</v>
      </c>
    </row>
    <row r="3890" spans="1:4" ht="38.25" x14ac:dyDescent="0.25">
      <c r="A3890" s="104">
        <v>93119</v>
      </c>
      <c r="B3890" s="105" t="s">
        <v>3961</v>
      </c>
      <c r="C3890" s="106" t="s">
        <v>801</v>
      </c>
      <c r="D3890" s="107">
        <v>11.65</v>
      </c>
    </row>
    <row r="3891" spans="1:4" ht="38.25" x14ac:dyDescent="0.25">
      <c r="A3891" s="104">
        <v>93120</v>
      </c>
      <c r="B3891" s="105" t="s">
        <v>3962</v>
      </c>
      <c r="C3891" s="106" t="s">
        <v>801</v>
      </c>
      <c r="D3891" s="107">
        <v>18</v>
      </c>
    </row>
    <row r="3892" spans="1:4" ht="38.25" x14ac:dyDescent="0.25">
      <c r="A3892" s="104">
        <v>93121</v>
      </c>
      <c r="B3892" s="105" t="s">
        <v>3963</v>
      </c>
      <c r="C3892" s="106" t="s">
        <v>801</v>
      </c>
      <c r="D3892" s="107">
        <v>19.670000000000002</v>
      </c>
    </row>
    <row r="3893" spans="1:4" ht="38.25" x14ac:dyDescent="0.25">
      <c r="A3893" s="104">
        <v>93122</v>
      </c>
      <c r="B3893" s="105" t="s">
        <v>3964</v>
      </c>
      <c r="C3893" s="106" t="s">
        <v>801</v>
      </c>
      <c r="D3893" s="107">
        <v>17.100000000000001</v>
      </c>
    </row>
    <row r="3894" spans="1:4" ht="38.25" x14ac:dyDescent="0.25">
      <c r="A3894" s="104">
        <v>93123</v>
      </c>
      <c r="B3894" s="105" t="s">
        <v>3965</v>
      </c>
      <c r="C3894" s="106" t="s">
        <v>801</v>
      </c>
      <c r="D3894" s="107">
        <v>37.68</v>
      </c>
    </row>
    <row r="3895" spans="1:4" ht="38.25" x14ac:dyDescent="0.25">
      <c r="A3895" s="104">
        <v>93124</v>
      </c>
      <c r="B3895" s="105" t="s">
        <v>3966</v>
      </c>
      <c r="C3895" s="106" t="s">
        <v>801</v>
      </c>
      <c r="D3895" s="107">
        <v>59.27</v>
      </c>
    </row>
    <row r="3896" spans="1:4" ht="38.25" x14ac:dyDescent="0.25">
      <c r="A3896" s="104">
        <v>93125</v>
      </c>
      <c r="B3896" s="105" t="s">
        <v>3967</v>
      </c>
      <c r="C3896" s="106" t="s">
        <v>801</v>
      </c>
      <c r="D3896" s="107">
        <v>86.24</v>
      </c>
    </row>
    <row r="3897" spans="1:4" ht="38.25" x14ac:dyDescent="0.25">
      <c r="A3897" s="104">
        <v>93126</v>
      </c>
      <c r="B3897" s="105" t="s">
        <v>3968</v>
      </c>
      <c r="C3897" s="106" t="s">
        <v>801</v>
      </c>
      <c r="D3897" s="107">
        <v>191.15</v>
      </c>
    </row>
    <row r="3898" spans="1:4" ht="38.25" x14ac:dyDescent="0.25">
      <c r="A3898" s="104">
        <v>93133</v>
      </c>
      <c r="B3898" s="105" t="s">
        <v>3969</v>
      </c>
      <c r="C3898" s="106" t="s">
        <v>801</v>
      </c>
      <c r="D3898" s="107">
        <v>13.34</v>
      </c>
    </row>
    <row r="3899" spans="1:4" ht="51" x14ac:dyDescent="0.25">
      <c r="A3899" s="104">
        <v>94465</v>
      </c>
      <c r="B3899" s="105" t="s">
        <v>3970</v>
      </c>
      <c r="C3899" s="106" t="s">
        <v>801</v>
      </c>
      <c r="D3899" s="107">
        <v>29.89</v>
      </c>
    </row>
    <row r="3900" spans="1:4" ht="51" x14ac:dyDescent="0.25">
      <c r="A3900" s="104">
        <v>94466</v>
      </c>
      <c r="B3900" s="105" t="s">
        <v>3971</v>
      </c>
      <c r="C3900" s="106" t="s">
        <v>801</v>
      </c>
      <c r="D3900" s="107">
        <v>29.91</v>
      </c>
    </row>
    <row r="3901" spans="1:4" ht="51" x14ac:dyDescent="0.25">
      <c r="A3901" s="104">
        <v>94467</v>
      </c>
      <c r="B3901" s="105" t="s">
        <v>3972</v>
      </c>
      <c r="C3901" s="106" t="s">
        <v>801</v>
      </c>
      <c r="D3901" s="107">
        <v>45.05</v>
      </c>
    </row>
    <row r="3902" spans="1:4" ht="51" x14ac:dyDescent="0.25">
      <c r="A3902" s="104">
        <v>94468</v>
      </c>
      <c r="B3902" s="105" t="s">
        <v>3973</v>
      </c>
      <c r="C3902" s="106" t="s">
        <v>801</v>
      </c>
      <c r="D3902" s="107">
        <v>39.67</v>
      </c>
    </row>
    <row r="3903" spans="1:4" ht="51" x14ac:dyDescent="0.25">
      <c r="A3903" s="104">
        <v>94469</v>
      </c>
      <c r="B3903" s="105" t="s">
        <v>3974</v>
      </c>
      <c r="C3903" s="106" t="s">
        <v>801</v>
      </c>
      <c r="D3903" s="107">
        <v>65.010000000000005</v>
      </c>
    </row>
    <row r="3904" spans="1:4" ht="51" x14ac:dyDescent="0.25">
      <c r="A3904" s="104">
        <v>94470</v>
      </c>
      <c r="B3904" s="105" t="s">
        <v>3975</v>
      </c>
      <c r="C3904" s="106" t="s">
        <v>801</v>
      </c>
      <c r="D3904" s="107">
        <v>60.22</v>
      </c>
    </row>
    <row r="3905" spans="1:4" ht="51" x14ac:dyDescent="0.25">
      <c r="A3905" s="104">
        <v>94471</v>
      </c>
      <c r="B3905" s="105" t="s">
        <v>3976</v>
      </c>
      <c r="C3905" s="106" t="s">
        <v>801</v>
      </c>
      <c r="D3905" s="107">
        <v>43.14</v>
      </c>
    </row>
    <row r="3906" spans="1:4" ht="51" x14ac:dyDescent="0.25">
      <c r="A3906" s="104">
        <v>94472</v>
      </c>
      <c r="B3906" s="105" t="s">
        <v>3977</v>
      </c>
      <c r="C3906" s="106" t="s">
        <v>801</v>
      </c>
      <c r="D3906" s="107">
        <v>44.34</v>
      </c>
    </row>
    <row r="3907" spans="1:4" ht="51" x14ac:dyDescent="0.25">
      <c r="A3907" s="104">
        <v>94473</v>
      </c>
      <c r="B3907" s="105" t="s">
        <v>3978</v>
      </c>
      <c r="C3907" s="106" t="s">
        <v>801</v>
      </c>
      <c r="D3907" s="107">
        <v>64.56</v>
      </c>
    </row>
    <row r="3908" spans="1:4" ht="51" x14ac:dyDescent="0.25">
      <c r="A3908" s="104">
        <v>94474</v>
      </c>
      <c r="B3908" s="105" t="s">
        <v>3979</v>
      </c>
      <c r="C3908" s="106" t="s">
        <v>801</v>
      </c>
      <c r="D3908" s="107">
        <v>69.83</v>
      </c>
    </row>
    <row r="3909" spans="1:4" ht="51" x14ac:dyDescent="0.25">
      <c r="A3909" s="104">
        <v>94475</v>
      </c>
      <c r="B3909" s="105" t="s">
        <v>3980</v>
      </c>
      <c r="C3909" s="106" t="s">
        <v>801</v>
      </c>
      <c r="D3909" s="107">
        <v>88.33</v>
      </c>
    </row>
    <row r="3910" spans="1:4" ht="51" x14ac:dyDescent="0.25">
      <c r="A3910" s="104">
        <v>94476</v>
      </c>
      <c r="B3910" s="105" t="s">
        <v>3981</v>
      </c>
      <c r="C3910" s="106" t="s">
        <v>801</v>
      </c>
      <c r="D3910" s="107">
        <v>98.48</v>
      </c>
    </row>
    <row r="3911" spans="1:4" ht="51" x14ac:dyDescent="0.25">
      <c r="A3911" s="104">
        <v>94477</v>
      </c>
      <c r="B3911" s="105" t="s">
        <v>3982</v>
      </c>
      <c r="C3911" s="106" t="s">
        <v>801</v>
      </c>
      <c r="D3911" s="107">
        <v>57.44</v>
      </c>
    </row>
    <row r="3912" spans="1:4" ht="51" x14ac:dyDescent="0.25">
      <c r="A3912" s="104">
        <v>94478</v>
      </c>
      <c r="B3912" s="105" t="s">
        <v>3983</v>
      </c>
      <c r="C3912" s="106" t="s">
        <v>801</v>
      </c>
      <c r="D3912" s="107">
        <v>88.66</v>
      </c>
    </row>
    <row r="3913" spans="1:4" ht="51" x14ac:dyDescent="0.25">
      <c r="A3913" s="104">
        <v>94479</v>
      </c>
      <c r="B3913" s="105" t="s">
        <v>3984</v>
      </c>
      <c r="C3913" s="106" t="s">
        <v>801</v>
      </c>
      <c r="D3913" s="107">
        <v>116.76</v>
      </c>
    </row>
    <row r="3914" spans="1:4" ht="38.25" x14ac:dyDescent="0.25">
      <c r="A3914" s="104">
        <v>94606</v>
      </c>
      <c r="B3914" s="105" t="s">
        <v>3985</v>
      </c>
      <c r="C3914" s="106" t="s">
        <v>801</v>
      </c>
      <c r="D3914" s="107">
        <v>52.35</v>
      </c>
    </row>
    <row r="3915" spans="1:4" ht="38.25" x14ac:dyDescent="0.25">
      <c r="A3915" s="104">
        <v>94608</v>
      </c>
      <c r="B3915" s="105" t="s">
        <v>3986</v>
      </c>
      <c r="C3915" s="106" t="s">
        <v>801</v>
      </c>
      <c r="D3915" s="107">
        <v>127.68</v>
      </c>
    </row>
    <row r="3916" spans="1:4" ht="38.25" x14ac:dyDescent="0.25">
      <c r="A3916" s="104">
        <v>94610</v>
      </c>
      <c r="B3916" s="105" t="s">
        <v>3987</v>
      </c>
      <c r="C3916" s="106" t="s">
        <v>801</v>
      </c>
      <c r="D3916" s="107">
        <v>189.4</v>
      </c>
    </row>
    <row r="3917" spans="1:4" ht="38.25" x14ac:dyDescent="0.25">
      <c r="A3917" s="104">
        <v>94612</v>
      </c>
      <c r="B3917" s="105" t="s">
        <v>3988</v>
      </c>
      <c r="C3917" s="106" t="s">
        <v>801</v>
      </c>
      <c r="D3917" s="107">
        <v>265.44</v>
      </c>
    </row>
    <row r="3918" spans="1:4" ht="51" x14ac:dyDescent="0.25">
      <c r="A3918" s="104">
        <v>94614</v>
      </c>
      <c r="B3918" s="105" t="s">
        <v>3989</v>
      </c>
      <c r="C3918" s="106" t="s">
        <v>801</v>
      </c>
      <c r="D3918" s="107">
        <v>88.42</v>
      </c>
    </row>
    <row r="3919" spans="1:4" ht="51" x14ac:dyDescent="0.25">
      <c r="A3919" s="104">
        <v>94615</v>
      </c>
      <c r="B3919" s="105" t="s">
        <v>3990</v>
      </c>
      <c r="C3919" s="106" t="s">
        <v>801</v>
      </c>
      <c r="D3919" s="107">
        <v>100.25</v>
      </c>
    </row>
    <row r="3920" spans="1:4" ht="51" x14ac:dyDescent="0.25">
      <c r="A3920" s="104">
        <v>94616</v>
      </c>
      <c r="B3920" s="105" t="s">
        <v>3991</v>
      </c>
      <c r="C3920" s="106" t="s">
        <v>801</v>
      </c>
      <c r="D3920" s="107">
        <v>243.84</v>
      </c>
    </row>
    <row r="3921" spans="1:4" ht="51" x14ac:dyDescent="0.25">
      <c r="A3921" s="104">
        <v>94617</v>
      </c>
      <c r="B3921" s="105" t="s">
        <v>3992</v>
      </c>
      <c r="C3921" s="106" t="s">
        <v>801</v>
      </c>
      <c r="D3921" s="107">
        <v>202.73</v>
      </c>
    </row>
    <row r="3922" spans="1:4" ht="51" x14ac:dyDescent="0.25">
      <c r="A3922" s="104">
        <v>94618</v>
      </c>
      <c r="B3922" s="105" t="s">
        <v>3993</v>
      </c>
      <c r="C3922" s="106" t="s">
        <v>801</v>
      </c>
      <c r="D3922" s="107">
        <v>239.58</v>
      </c>
    </row>
    <row r="3923" spans="1:4" ht="51" x14ac:dyDescent="0.25">
      <c r="A3923" s="104">
        <v>94620</v>
      </c>
      <c r="B3923" s="105" t="s">
        <v>3994</v>
      </c>
      <c r="C3923" s="106" t="s">
        <v>801</v>
      </c>
      <c r="D3923" s="107">
        <v>547.13</v>
      </c>
    </row>
    <row r="3924" spans="1:4" ht="38.25" x14ac:dyDescent="0.25">
      <c r="A3924" s="104">
        <v>94622</v>
      </c>
      <c r="B3924" s="105" t="s">
        <v>3995</v>
      </c>
      <c r="C3924" s="106" t="s">
        <v>801</v>
      </c>
      <c r="D3924" s="107">
        <v>129.26</v>
      </c>
    </row>
    <row r="3925" spans="1:4" ht="38.25" x14ac:dyDescent="0.25">
      <c r="A3925" s="104">
        <v>94623</v>
      </c>
      <c r="B3925" s="105" t="s">
        <v>3996</v>
      </c>
      <c r="C3925" s="106" t="s">
        <v>801</v>
      </c>
      <c r="D3925" s="107">
        <v>302.13</v>
      </c>
    </row>
    <row r="3926" spans="1:4" ht="38.25" x14ac:dyDescent="0.25">
      <c r="A3926" s="104">
        <v>94624</v>
      </c>
      <c r="B3926" s="105" t="s">
        <v>3997</v>
      </c>
      <c r="C3926" s="106" t="s">
        <v>801</v>
      </c>
      <c r="D3926" s="107">
        <v>459.16</v>
      </c>
    </row>
    <row r="3927" spans="1:4" ht="38.25" x14ac:dyDescent="0.25">
      <c r="A3927" s="104">
        <v>94625</v>
      </c>
      <c r="B3927" s="105" t="s">
        <v>3998</v>
      </c>
      <c r="C3927" s="106" t="s">
        <v>801</v>
      </c>
      <c r="D3927" s="107">
        <v>953.83</v>
      </c>
    </row>
    <row r="3928" spans="1:4" ht="51" x14ac:dyDescent="0.25">
      <c r="A3928" s="104">
        <v>94656</v>
      </c>
      <c r="B3928" s="105" t="s">
        <v>3999</v>
      </c>
      <c r="C3928" s="106" t="s">
        <v>801</v>
      </c>
      <c r="D3928" s="107">
        <v>4.95</v>
      </c>
    </row>
    <row r="3929" spans="1:4" ht="38.25" x14ac:dyDescent="0.25">
      <c r="A3929" s="104">
        <v>94657</v>
      </c>
      <c r="B3929" s="105" t="s">
        <v>4000</v>
      </c>
      <c r="C3929" s="106" t="s">
        <v>801</v>
      </c>
      <c r="D3929" s="107">
        <v>4.87</v>
      </c>
    </row>
    <row r="3930" spans="1:4" ht="51" x14ac:dyDescent="0.25">
      <c r="A3930" s="104">
        <v>94658</v>
      </c>
      <c r="B3930" s="105" t="s">
        <v>4001</v>
      </c>
      <c r="C3930" s="106" t="s">
        <v>801</v>
      </c>
      <c r="D3930" s="107">
        <v>5.66</v>
      </c>
    </row>
    <row r="3931" spans="1:4" ht="38.25" x14ac:dyDescent="0.25">
      <c r="A3931" s="104">
        <v>94659</v>
      </c>
      <c r="B3931" s="105" t="s">
        <v>4002</v>
      </c>
      <c r="C3931" s="106" t="s">
        <v>801</v>
      </c>
      <c r="D3931" s="107">
        <v>5.74</v>
      </c>
    </row>
    <row r="3932" spans="1:4" ht="51" x14ac:dyDescent="0.25">
      <c r="A3932" s="104">
        <v>94660</v>
      </c>
      <c r="B3932" s="105" t="s">
        <v>4003</v>
      </c>
      <c r="C3932" s="106" t="s">
        <v>801</v>
      </c>
      <c r="D3932" s="107">
        <v>9.3800000000000008</v>
      </c>
    </row>
    <row r="3933" spans="1:4" ht="38.25" x14ac:dyDescent="0.25">
      <c r="A3933" s="104">
        <v>94661</v>
      </c>
      <c r="B3933" s="105" t="s">
        <v>4004</v>
      </c>
      <c r="C3933" s="106" t="s">
        <v>801</v>
      </c>
      <c r="D3933" s="107">
        <v>9.7200000000000006</v>
      </c>
    </row>
    <row r="3934" spans="1:4" ht="51" x14ac:dyDescent="0.25">
      <c r="A3934" s="104">
        <v>94662</v>
      </c>
      <c r="B3934" s="105" t="s">
        <v>4005</v>
      </c>
      <c r="C3934" s="106" t="s">
        <v>801</v>
      </c>
      <c r="D3934" s="107">
        <v>10.1</v>
      </c>
    </row>
    <row r="3935" spans="1:4" ht="38.25" x14ac:dyDescent="0.25">
      <c r="A3935" s="104">
        <v>94663</v>
      </c>
      <c r="B3935" s="105" t="s">
        <v>4006</v>
      </c>
      <c r="C3935" s="106" t="s">
        <v>801</v>
      </c>
      <c r="D3935" s="107">
        <v>10.24</v>
      </c>
    </row>
    <row r="3936" spans="1:4" ht="51" x14ac:dyDescent="0.25">
      <c r="A3936" s="104">
        <v>94664</v>
      </c>
      <c r="B3936" s="105" t="s">
        <v>4007</v>
      </c>
      <c r="C3936" s="106" t="s">
        <v>801</v>
      </c>
      <c r="D3936" s="107">
        <v>21.91</v>
      </c>
    </row>
    <row r="3937" spans="1:4" ht="38.25" x14ac:dyDescent="0.25">
      <c r="A3937" s="104">
        <v>94665</v>
      </c>
      <c r="B3937" s="105" t="s">
        <v>4008</v>
      </c>
      <c r="C3937" s="106" t="s">
        <v>801</v>
      </c>
      <c r="D3937" s="107">
        <v>21.9</v>
      </c>
    </row>
    <row r="3938" spans="1:4" ht="51" x14ac:dyDescent="0.25">
      <c r="A3938" s="104">
        <v>94666</v>
      </c>
      <c r="B3938" s="105" t="s">
        <v>4009</v>
      </c>
      <c r="C3938" s="106" t="s">
        <v>801</v>
      </c>
      <c r="D3938" s="107">
        <v>26.05</v>
      </c>
    </row>
    <row r="3939" spans="1:4" ht="38.25" x14ac:dyDescent="0.25">
      <c r="A3939" s="104">
        <v>94667</v>
      </c>
      <c r="B3939" s="105" t="s">
        <v>4010</v>
      </c>
      <c r="C3939" s="106" t="s">
        <v>801</v>
      </c>
      <c r="D3939" s="107">
        <v>28.63</v>
      </c>
    </row>
    <row r="3940" spans="1:4" ht="51" x14ac:dyDescent="0.25">
      <c r="A3940" s="104">
        <v>94668</v>
      </c>
      <c r="B3940" s="105" t="s">
        <v>4011</v>
      </c>
      <c r="C3940" s="106" t="s">
        <v>801</v>
      </c>
      <c r="D3940" s="107">
        <v>45.02</v>
      </c>
    </row>
    <row r="3941" spans="1:4" ht="38.25" x14ac:dyDescent="0.25">
      <c r="A3941" s="104">
        <v>94669</v>
      </c>
      <c r="B3941" s="105" t="s">
        <v>4012</v>
      </c>
      <c r="C3941" s="106" t="s">
        <v>801</v>
      </c>
      <c r="D3941" s="107">
        <v>59.49</v>
      </c>
    </row>
    <row r="3942" spans="1:4" ht="51" x14ac:dyDescent="0.25">
      <c r="A3942" s="104">
        <v>94670</v>
      </c>
      <c r="B3942" s="105" t="s">
        <v>4013</v>
      </c>
      <c r="C3942" s="106" t="s">
        <v>801</v>
      </c>
      <c r="D3942" s="107">
        <v>57.9</v>
      </c>
    </row>
    <row r="3943" spans="1:4" ht="38.25" x14ac:dyDescent="0.25">
      <c r="A3943" s="104">
        <v>94671</v>
      </c>
      <c r="B3943" s="105" t="s">
        <v>4014</v>
      </c>
      <c r="C3943" s="106" t="s">
        <v>801</v>
      </c>
      <c r="D3943" s="107">
        <v>82.02</v>
      </c>
    </row>
    <row r="3944" spans="1:4" ht="51" x14ac:dyDescent="0.25">
      <c r="A3944" s="104">
        <v>94672</v>
      </c>
      <c r="B3944" s="105" t="s">
        <v>4015</v>
      </c>
      <c r="C3944" s="106" t="s">
        <v>801</v>
      </c>
      <c r="D3944" s="107">
        <v>8.09</v>
      </c>
    </row>
    <row r="3945" spans="1:4" ht="38.25" x14ac:dyDescent="0.25">
      <c r="A3945" s="104">
        <v>94673</v>
      </c>
      <c r="B3945" s="105" t="s">
        <v>4016</v>
      </c>
      <c r="C3945" s="106" t="s">
        <v>801</v>
      </c>
      <c r="D3945" s="107">
        <v>7.89</v>
      </c>
    </row>
    <row r="3946" spans="1:4" ht="38.25" x14ac:dyDescent="0.25">
      <c r="A3946" s="104">
        <v>94674</v>
      </c>
      <c r="B3946" s="105" t="s">
        <v>4017</v>
      </c>
      <c r="C3946" s="106" t="s">
        <v>801</v>
      </c>
      <c r="D3946" s="107">
        <v>7.22</v>
      </c>
    </row>
    <row r="3947" spans="1:4" ht="38.25" x14ac:dyDescent="0.25">
      <c r="A3947" s="104">
        <v>94675</v>
      </c>
      <c r="B3947" s="105" t="s">
        <v>4018</v>
      </c>
      <c r="C3947" s="106" t="s">
        <v>801</v>
      </c>
      <c r="D3947" s="107">
        <v>10.86</v>
      </c>
    </row>
    <row r="3948" spans="1:4" ht="38.25" x14ac:dyDescent="0.25">
      <c r="A3948" s="104">
        <v>94676</v>
      </c>
      <c r="B3948" s="105" t="s">
        <v>4019</v>
      </c>
      <c r="C3948" s="106" t="s">
        <v>801</v>
      </c>
      <c r="D3948" s="107">
        <v>12.51</v>
      </c>
    </row>
    <row r="3949" spans="1:4" ht="38.25" x14ac:dyDescent="0.25">
      <c r="A3949" s="104">
        <v>94677</v>
      </c>
      <c r="B3949" s="105" t="s">
        <v>4020</v>
      </c>
      <c r="C3949" s="106" t="s">
        <v>801</v>
      </c>
      <c r="D3949" s="107">
        <v>17.989999999999998</v>
      </c>
    </row>
    <row r="3950" spans="1:4" ht="38.25" x14ac:dyDescent="0.25">
      <c r="A3950" s="104">
        <v>94678</v>
      </c>
      <c r="B3950" s="105" t="s">
        <v>4021</v>
      </c>
      <c r="C3950" s="106" t="s">
        <v>801</v>
      </c>
      <c r="D3950" s="107">
        <v>12.83</v>
      </c>
    </row>
    <row r="3951" spans="1:4" ht="38.25" x14ac:dyDescent="0.25">
      <c r="A3951" s="104">
        <v>94679</v>
      </c>
      <c r="B3951" s="105" t="s">
        <v>4022</v>
      </c>
      <c r="C3951" s="106" t="s">
        <v>801</v>
      </c>
      <c r="D3951" s="107">
        <v>20.05</v>
      </c>
    </row>
    <row r="3952" spans="1:4" ht="38.25" x14ac:dyDescent="0.25">
      <c r="A3952" s="104">
        <v>94680</v>
      </c>
      <c r="B3952" s="105" t="s">
        <v>4023</v>
      </c>
      <c r="C3952" s="106" t="s">
        <v>801</v>
      </c>
      <c r="D3952" s="107">
        <v>34.229999999999997</v>
      </c>
    </row>
    <row r="3953" spans="1:4" ht="38.25" x14ac:dyDescent="0.25">
      <c r="A3953" s="104">
        <v>94681</v>
      </c>
      <c r="B3953" s="105" t="s">
        <v>4024</v>
      </c>
      <c r="C3953" s="106" t="s">
        <v>801</v>
      </c>
      <c r="D3953" s="107">
        <v>44.13</v>
      </c>
    </row>
    <row r="3954" spans="1:4" ht="38.25" x14ac:dyDescent="0.25">
      <c r="A3954" s="104">
        <v>94682</v>
      </c>
      <c r="B3954" s="105" t="s">
        <v>4025</v>
      </c>
      <c r="C3954" s="106" t="s">
        <v>801</v>
      </c>
      <c r="D3954" s="107">
        <v>85.17</v>
      </c>
    </row>
    <row r="3955" spans="1:4" ht="38.25" x14ac:dyDescent="0.25">
      <c r="A3955" s="104">
        <v>94683</v>
      </c>
      <c r="B3955" s="105" t="s">
        <v>4026</v>
      </c>
      <c r="C3955" s="106" t="s">
        <v>801</v>
      </c>
      <c r="D3955" s="107">
        <v>56.1</v>
      </c>
    </row>
    <row r="3956" spans="1:4" ht="38.25" x14ac:dyDescent="0.25">
      <c r="A3956" s="104">
        <v>94684</v>
      </c>
      <c r="B3956" s="105" t="s">
        <v>4027</v>
      </c>
      <c r="C3956" s="106" t="s">
        <v>801</v>
      </c>
      <c r="D3956" s="107">
        <v>110.62</v>
      </c>
    </row>
    <row r="3957" spans="1:4" ht="38.25" x14ac:dyDescent="0.25">
      <c r="A3957" s="104">
        <v>94685</v>
      </c>
      <c r="B3957" s="105" t="s">
        <v>4028</v>
      </c>
      <c r="C3957" s="106" t="s">
        <v>801</v>
      </c>
      <c r="D3957" s="107">
        <v>86.43</v>
      </c>
    </row>
    <row r="3958" spans="1:4" ht="38.25" x14ac:dyDescent="0.25">
      <c r="A3958" s="104">
        <v>94686</v>
      </c>
      <c r="B3958" s="105" t="s">
        <v>4029</v>
      </c>
      <c r="C3958" s="106" t="s">
        <v>801</v>
      </c>
      <c r="D3958" s="107">
        <v>201.82</v>
      </c>
    </row>
    <row r="3959" spans="1:4" ht="38.25" x14ac:dyDescent="0.25">
      <c r="A3959" s="104">
        <v>94687</v>
      </c>
      <c r="B3959" s="105" t="s">
        <v>4030</v>
      </c>
      <c r="C3959" s="106" t="s">
        <v>801</v>
      </c>
      <c r="D3959" s="107">
        <v>165.36</v>
      </c>
    </row>
    <row r="3960" spans="1:4" ht="38.25" x14ac:dyDescent="0.25">
      <c r="A3960" s="104">
        <v>94688</v>
      </c>
      <c r="B3960" s="105" t="s">
        <v>4031</v>
      </c>
      <c r="C3960" s="106" t="s">
        <v>801</v>
      </c>
      <c r="D3960" s="107">
        <v>8.57</v>
      </c>
    </row>
    <row r="3961" spans="1:4" ht="51" x14ac:dyDescent="0.25">
      <c r="A3961" s="104">
        <v>94689</v>
      </c>
      <c r="B3961" s="105" t="s">
        <v>4032</v>
      </c>
      <c r="C3961" s="106" t="s">
        <v>801</v>
      </c>
      <c r="D3961" s="107">
        <v>11.19</v>
      </c>
    </row>
    <row r="3962" spans="1:4" ht="38.25" x14ac:dyDescent="0.25">
      <c r="A3962" s="104">
        <v>94690</v>
      </c>
      <c r="B3962" s="105" t="s">
        <v>4033</v>
      </c>
      <c r="C3962" s="106" t="s">
        <v>801</v>
      </c>
      <c r="D3962" s="107">
        <v>10.77</v>
      </c>
    </row>
    <row r="3963" spans="1:4" ht="38.25" x14ac:dyDescent="0.25">
      <c r="A3963" s="104">
        <v>94691</v>
      </c>
      <c r="B3963" s="105" t="s">
        <v>4034</v>
      </c>
      <c r="C3963" s="106" t="s">
        <v>801</v>
      </c>
      <c r="D3963" s="107">
        <v>12.28</v>
      </c>
    </row>
    <row r="3964" spans="1:4" ht="38.25" x14ac:dyDescent="0.25">
      <c r="A3964" s="104">
        <v>94692</v>
      </c>
      <c r="B3964" s="105" t="s">
        <v>4035</v>
      </c>
      <c r="C3964" s="106" t="s">
        <v>801</v>
      </c>
      <c r="D3964" s="107">
        <v>18.82</v>
      </c>
    </row>
    <row r="3965" spans="1:4" ht="38.25" x14ac:dyDescent="0.25">
      <c r="A3965" s="104">
        <v>94693</v>
      </c>
      <c r="B3965" s="105" t="s">
        <v>4036</v>
      </c>
      <c r="C3965" s="106" t="s">
        <v>801</v>
      </c>
      <c r="D3965" s="107">
        <v>19.59</v>
      </c>
    </row>
    <row r="3966" spans="1:4" ht="38.25" x14ac:dyDescent="0.25">
      <c r="A3966" s="104">
        <v>94694</v>
      </c>
      <c r="B3966" s="105" t="s">
        <v>4037</v>
      </c>
      <c r="C3966" s="106" t="s">
        <v>801</v>
      </c>
      <c r="D3966" s="107">
        <v>19.63</v>
      </c>
    </row>
    <row r="3967" spans="1:4" ht="38.25" x14ac:dyDescent="0.25">
      <c r="A3967" s="104">
        <v>94695</v>
      </c>
      <c r="B3967" s="105" t="s">
        <v>4038</v>
      </c>
      <c r="C3967" s="106" t="s">
        <v>801</v>
      </c>
      <c r="D3967" s="107">
        <v>25.54</v>
      </c>
    </row>
    <row r="3968" spans="1:4" ht="38.25" x14ac:dyDescent="0.25">
      <c r="A3968" s="104">
        <v>94696</v>
      </c>
      <c r="B3968" s="105" t="s">
        <v>4039</v>
      </c>
      <c r="C3968" s="106" t="s">
        <v>801</v>
      </c>
      <c r="D3968" s="107">
        <v>45.08</v>
      </c>
    </row>
    <row r="3969" spans="1:4" ht="38.25" x14ac:dyDescent="0.25">
      <c r="A3969" s="104">
        <v>94697</v>
      </c>
      <c r="B3969" s="105" t="s">
        <v>4040</v>
      </c>
      <c r="C3969" s="106" t="s">
        <v>801</v>
      </c>
      <c r="D3969" s="107">
        <v>67.959999999999994</v>
      </c>
    </row>
    <row r="3970" spans="1:4" ht="38.25" x14ac:dyDescent="0.25">
      <c r="A3970" s="104">
        <v>94698</v>
      </c>
      <c r="B3970" s="105" t="s">
        <v>4041</v>
      </c>
      <c r="C3970" s="106" t="s">
        <v>801</v>
      </c>
      <c r="D3970" s="107">
        <v>59.92</v>
      </c>
    </row>
    <row r="3971" spans="1:4" ht="38.25" x14ac:dyDescent="0.25">
      <c r="A3971" s="104">
        <v>94699</v>
      </c>
      <c r="B3971" s="105" t="s">
        <v>4042</v>
      </c>
      <c r="C3971" s="106" t="s">
        <v>801</v>
      </c>
      <c r="D3971" s="107">
        <v>115.14</v>
      </c>
    </row>
    <row r="3972" spans="1:4" ht="38.25" x14ac:dyDescent="0.25">
      <c r="A3972" s="104">
        <v>94700</v>
      </c>
      <c r="B3972" s="105" t="s">
        <v>4043</v>
      </c>
      <c r="C3972" s="106" t="s">
        <v>801</v>
      </c>
      <c r="D3972" s="107">
        <v>98.68</v>
      </c>
    </row>
    <row r="3973" spans="1:4" ht="38.25" x14ac:dyDescent="0.25">
      <c r="A3973" s="104">
        <v>94701</v>
      </c>
      <c r="B3973" s="105" t="s">
        <v>4044</v>
      </c>
      <c r="C3973" s="106" t="s">
        <v>801</v>
      </c>
      <c r="D3973" s="107">
        <v>167.34</v>
      </c>
    </row>
    <row r="3974" spans="1:4" ht="38.25" x14ac:dyDescent="0.25">
      <c r="A3974" s="104">
        <v>94702</v>
      </c>
      <c r="B3974" s="105" t="s">
        <v>4045</v>
      </c>
      <c r="C3974" s="106" t="s">
        <v>801</v>
      </c>
      <c r="D3974" s="107">
        <v>158.93</v>
      </c>
    </row>
    <row r="3975" spans="1:4" ht="51" x14ac:dyDescent="0.25">
      <c r="A3975" s="104">
        <v>94703</v>
      </c>
      <c r="B3975" s="105" t="s">
        <v>4046</v>
      </c>
      <c r="C3975" s="106" t="s">
        <v>801</v>
      </c>
      <c r="D3975" s="107">
        <v>14.75</v>
      </c>
    </row>
    <row r="3976" spans="1:4" ht="51" x14ac:dyDescent="0.25">
      <c r="A3976" s="104">
        <v>94704</v>
      </c>
      <c r="B3976" s="105" t="s">
        <v>4047</v>
      </c>
      <c r="C3976" s="106" t="s">
        <v>801</v>
      </c>
      <c r="D3976" s="107">
        <v>17.28</v>
      </c>
    </row>
    <row r="3977" spans="1:4" ht="51" x14ac:dyDescent="0.25">
      <c r="A3977" s="104">
        <v>94705</v>
      </c>
      <c r="B3977" s="105" t="s">
        <v>4048</v>
      </c>
      <c r="C3977" s="106" t="s">
        <v>801</v>
      </c>
      <c r="D3977" s="107">
        <v>21.1</v>
      </c>
    </row>
    <row r="3978" spans="1:4" ht="51" x14ac:dyDescent="0.25">
      <c r="A3978" s="104">
        <v>94706</v>
      </c>
      <c r="B3978" s="105" t="s">
        <v>4049</v>
      </c>
      <c r="C3978" s="106" t="s">
        <v>801</v>
      </c>
      <c r="D3978" s="107">
        <v>32.51</v>
      </c>
    </row>
    <row r="3979" spans="1:4" ht="51" x14ac:dyDescent="0.25">
      <c r="A3979" s="104">
        <v>94707</v>
      </c>
      <c r="B3979" s="105" t="s">
        <v>4050</v>
      </c>
      <c r="C3979" s="106" t="s">
        <v>801</v>
      </c>
      <c r="D3979" s="107">
        <v>39.61</v>
      </c>
    </row>
    <row r="3980" spans="1:4" ht="51" x14ac:dyDescent="0.25">
      <c r="A3980" s="104">
        <v>94708</v>
      </c>
      <c r="B3980" s="105" t="s">
        <v>4051</v>
      </c>
      <c r="C3980" s="106" t="s">
        <v>801</v>
      </c>
      <c r="D3980" s="107">
        <v>18.84</v>
      </c>
    </row>
    <row r="3981" spans="1:4" ht="51" x14ac:dyDescent="0.25">
      <c r="A3981" s="104">
        <v>94709</v>
      </c>
      <c r="B3981" s="105" t="s">
        <v>4052</v>
      </c>
      <c r="C3981" s="106" t="s">
        <v>801</v>
      </c>
      <c r="D3981" s="107">
        <v>23.88</v>
      </c>
    </row>
    <row r="3982" spans="1:4" ht="51" x14ac:dyDescent="0.25">
      <c r="A3982" s="104">
        <v>94710</v>
      </c>
      <c r="B3982" s="105" t="s">
        <v>4053</v>
      </c>
      <c r="C3982" s="106" t="s">
        <v>801</v>
      </c>
      <c r="D3982" s="107">
        <v>36.380000000000003</v>
      </c>
    </row>
    <row r="3983" spans="1:4" ht="51" x14ac:dyDescent="0.25">
      <c r="A3983" s="104">
        <v>94711</v>
      </c>
      <c r="B3983" s="105" t="s">
        <v>4054</v>
      </c>
      <c r="C3983" s="106" t="s">
        <v>801</v>
      </c>
      <c r="D3983" s="107">
        <v>45.75</v>
      </c>
    </row>
    <row r="3984" spans="1:4" ht="51" x14ac:dyDescent="0.25">
      <c r="A3984" s="104">
        <v>94712</v>
      </c>
      <c r="B3984" s="105" t="s">
        <v>4055</v>
      </c>
      <c r="C3984" s="106" t="s">
        <v>801</v>
      </c>
      <c r="D3984" s="107">
        <v>60.1</v>
      </c>
    </row>
    <row r="3985" spans="1:4" ht="51" x14ac:dyDescent="0.25">
      <c r="A3985" s="104">
        <v>94713</v>
      </c>
      <c r="B3985" s="105" t="s">
        <v>4056</v>
      </c>
      <c r="C3985" s="106" t="s">
        <v>801</v>
      </c>
      <c r="D3985" s="107">
        <v>151.18</v>
      </c>
    </row>
    <row r="3986" spans="1:4" ht="51" x14ac:dyDescent="0.25">
      <c r="A3986" s="104">
        <v>94714</v>
      </c>
      <c r="B3986" s="105" t="s">
        <v>4057</v>
      </c>
      <c r="C3986" s="106" t="s">
        <v>801</v>
      </c>
      <c r="D3986" s="107">
        <v>203.7</v>
      </c>
    </row>
    <row r="3987" spans="1:4" ht="51" x14ac:dyDescent="0.25">
      <c r="A3987" s="104">
        <v>94715</v>
      </c>
      <c r="B3987" s="105" t="s">
        <v>4058</v>
      </c>
      <c r="C3987" s="106" t="s">
        <v>801</v>
      </c>
      <c r="D3987" s="107">
        <v>279.85000000000002</v>
      </c>
    </row>
    <row r="3988" spans="1:4" ht="38.25" x14ac:dyDescent="0.25">
      <c r="A3988" s="104">
        <v>94724</v>
      </c>
      <c r="B3988" s="105" t="s">
        <v>4059</v>
      </c>
      <c r="C3988" s="106" t="s">
        <v>801</v>
      </c>
      <c r="D3988" s="107">
        <v>30.05</v>
      </c>
    </row>
    <row r="3989" spans="1:4" ht="38.25" x14ac:dyDescent="0.25">
      <c r="A3989" s="104">
        <v>94725</v>
      </c>
      <c r="B3989" s="105" t="s">
        <v>4060</v>
      </c>
      <c r="C3989" s="106" t="s">
        <v>801</v>
      </c>
      <c r="D3989" s="107">
        <v>6.1</v>
      </c>
    </row>
    <row r="3990" spans="1:4" ht="38.25" x14ac:dyDescent="0.25">
      <c r="A3990" s="104">
        <v>94726</v>
      </c>
      <c r="B3990" s="105" t="s">
        <v>4061</v>
      </c>
      <c r="C3990" s="106" t="s">
        <v>801</v>
      </c>
      <c r="D3990" s="107">
        <v>47.19</v>
      </c>
    </row>
    <row r="3991" spans="1:4" ht="38.25" x14ac:dyDescent="0.25">
      <c r="A3991" s="104">
        <v>94727</v>
      </c>
      <c r="B3991" s="105" t="s">
        <v>4062</v>
      </c>
      <c r="C3991" s="106" t="s">
        <v>801</v>
      </c>
      <c r="D3991" s="107">
        <v>9.27</v>
      </c>
    </row>
    <row r="3992" spans="1:4" ht="38.25" x14ac:dyDescent="0.25">
      <c r="A3992" s="104">
        <v>94728</v>
      </c>
      <c r="B3992" s="105" t="s">
        <v>4063</v>
      </c>
      <c r="C3992" s="106" t="s">
        <v>801</v>
      </c>
      <c r="D3992" s="107">
        <v>182.09</v>
      </c>
    </row>
    <row r="3993" spans="1:4" ht="38.25" x14ac:dyDescent="0.25">
      <c r="A3993" s="104">
        <v>94729</v>
      </c>
      <c r="B3993" s="105" t="s">
        <v>4064</v>
      </c>
      <c r="C3993" s="106" t="s">
        <v>801</v>
      </c>
      <c r="D3993" s="107">
        <v>17.02</v>
      </c>
    </row>
    <row r="3994" spans="1:4" ht="38.25" x14ac:dyDescent="0.25">
      <c r="A3994" s="104">
        <v>94730</v>
      </c>
      <c r="B3994" s="105" t="s">
        <v>4065</v>
      </c>
      <c r="C3994" s="106" t="s">
        <v>801</v>
      </c>
      <c r="D3994" s="107">
        <v>221.61</v>
      </c>
    </row>
    <row r="3995" spans="1:4" ht="38.25" x14ac:dyDescent="0.25">
      <c r="A3995" s="104">
        <v>94731</v>
      </c>
      <c r="B3995" s="105" t="s">
        <v>4066</v>
      </c>
      <c r="C3995" s="106" t="s">
        <v>801</v>
      </c>
      <c r="D3995" s="107">
        <v>21.83</v>
      </c>
    </row>
    <row r="3996" spans="1:4" ht="38.25" x14ac:dyDescent="0.25">
      <c r="A3996" s="104">
        <v>94733</v>
      </c>
      <c r="B3996" s="105" t="s">
        <v>4067</v>
      </c>
      <c r="C3996" s="106" t="s">
        <v>801</v>
      </c>
      <c r="D3996" s="107">
        <v>42.71</v>
      </c>
    </row>
    <row r="3997" spans="1:4" ht="38.25" x14ac:dyDescent="0.25">
      <c r="A3997" s="104">
        <v>94737</v>
      </c>
      <c r="B3997" s="105" t="s">
        <v>4068</v>
      </c>
      <c r="C3997" s="106" t="s">
        <v>801</v>
      </c>
      <c r="D3997" s="107">
        <v>185.63</v>
      </c>
    </row>
    <row r="3998" spans="1:4" ht="38.25" x14ac:dyDescent="0.25">
      <c r="A3998" s="104">
        <v>94740</v>
      </c>
      <c r="B3998" s="105" t="s">
        <v>4069</v>
      </c>
      <c r="C3998" s="106" t="s">
        <v>801</v>
      </c>
      <c r="D3998" s="107">
        <v>9.7200000000000006</v>
      </c>
    </row>
    <row r="3999" spans="1:4" ht="38.25" x14ac:dyDescent="0.25">
      <c r="A3999" s="104">
        <v>94741</v>
      </c>
      <c r="B3999" s="105" t="s">
        <v>4070</v>
      </c>
      <c r="C3999" s="106" t="s">
        <v>801</v>
      </c>
      <c r="D3999" s="107">
        <v>12.61</v>
      </c>
    </row>
    <row r="4000" spans="1:4" ht="38.25" x14ac:dyDescent="0.25">
      <c r="A4000" s="104">
        <v>94742</v>
      </c>
      <c r="B4000" s="105" t="s">
        <v>4071</v>
      </c>
      <c r="C4000" s="106" t="s">
        <v>801</v>
      </c>
      <c r="D4000" s="107">
        <v>15.85</v>
      </c>
    </row>
    <row r="4001" spans="1:4" ht="38.25" x14ac:dyDescent="0.25">
      <c r="A4001" s="104">
        <v>94743</v>
      </c>
      <c r="B4001" s="105" t="s">
        <v>4072</v>
      </c>
      <c r="C4001" s="106" t="s">
        <v>801</v>
      </c>
      <c r="D4001" s="107">
        <v>17.670000000000002</v>
      </c>
    </row>
    <row r="4002" spans="1:4" ht="38.25" x14ac:dyDescent="0.25">
      <c r="A4002" s="104">
        <v>94744</v>
      </c>
      <c r="B4002" s="105" t="s">
        <v>4073</v>
      </c>
      <c r="C4002" s="106" t="s">
        <v>801</v>
      </c>
      <c r="D4002" s="107">
        <v>25.92</v>
      </c>
    </row>
    <row r="4003" spans="1:4" ht="38.25" x14ac:dyDescent="0.25">
      <c r="A4003" s="104">
        <v>94746</v>
      </c>
      <c r="B4003" s="105" t="s">
        <v>4074</v>
      </c>
      <c r="C4003" s="106" t="s">
        <v>801</v>
      </c>
      <c r="D4003" s="107">
        <v>38.119999999999997</v>
      </c>
    </row>
    <row r="4004" spans="1:4" ht="38.25" x14ac:dyDescent="0.25">
      <c r="A4004" s="104">
        <v>94748</v>
      </c>
      <c r="B4004" s="105" t="s">
        <v>4075</v>
      </c>
      <c r="C4004" s="106" t="s">
        <v>801</v>
      </c>
      <c r="D4004" s="107">
        <v>79.459999999999994</v>
      </c>
    </row>
    <row r="4005" spans="1:4" ht="38.25" x14ac:dyDescent="0.25">
      <c r="A4005" s="104">
        <v>94750</v>
      </c>
      <c r="B4005" s="105" t="s">
        <v>4076</v>
      </c>
      <c r="C4005" s="106" t="s">
        <v>801</v>
      </c>
      <c r="D4005" s="107">
        <v>194.85</v>
      </c>
    </row>
    <row r="4006" spans="1:4" ht="38.25" x14ac:dyDescent="0.25">
      <c r="A4006" s="104">
        <v>94752</v>
      </c>
      <c r="B4006" s="105" t="s">
        <v>4077</v>
      </c>
      <c r="C4006" s="106" t="s">
        <v>801</v>
      </c>
      <c r="D4006" s="107">
        <v>233.71</v>
      </c>
    </row>
    <row r="4007" spans="1:4" ht="38.25" x14ac:dyDescent="0.25">
      <c r="A4007" s="104">
        <v>94756</v>
      </c>
      <c r="B4007" s="105" t="s">
        <v>4078</v>
      </c>
      <c r="C4007" s="106" t="s">
        <v>801</v>
      </c>
      <c r="D4007" s="107">
        <v>12.16</v>
      </c>
    </row>
    <row r="4008" spans="1:4" ht="38.25" x14ac:dyDescent="0.25">
      <c r="A4008" s="104">
        <v>94757</v>
      </c>
      <c r="B4008" s="105" t="s">
        <v>4079</v>
      </c>
      <c r="C4008" s="106" t="s">
        <v>801</v>
      </c>
      <c r="D4008" s="107">
        <v>17.63</v>
      </c>
    </row>
    <row r="4009" spans="1:4" ht="38.25" x14ac:dyDescent="0.25">
      <c r="A4009" s="104">
        <v>94758</v>
      </c>
      <c r="B4009" s="105" t="s">
        <v>4080</v>
      </c>
      <c r="C4009" s="106" t="s">
        <v>801</v>
      </c>
      <c r="D4009" s="107">
        <v>48.56</v>
      </c>
    </row>
    <row r="4010" spans="1:4" ht="38.25" x14ac:dyDescent="0.25">
      <c r="A4010" s="104">
        <v>94759</v>
      </c>
      <c r="B4010" s="105" t="s">
        <v>4081</v>
      </c>
      <c r="C4010" s="106" t="s">
        <v>801</v>
      </c>
      <c r="D4010" s="107">
        <v>60.72</v>
      </c>
    </row>
    <row r="4011" spans="1:4" ht="38.25" x14ac:dyDescent="0.25">
      <c r="A4011" s="104">
        <v>94760</v>
      </c>
      <c r="B4011" s="105" t="s">
        <v>4082</v>
      </c>
      <c r="C4011" s="106" t="s">
        <v>801</v>
      </c>
      <c r="D4011" s="107">
        <v>99.38</v>
      </c>
    </row>
    <row r="4012" spans="1:4" ht="38.25" x14ac:dyDescent="0.25">
      <c r="A4012" s="104">
        <v>94761</v>
      </c>
      <c r="B4012" s="105" t="s">
        <v>4083</v>
      </c>
      <c r="C4012" s="106" t="s">
        <v>801</v>
      </c>
      <c r="D4012" s="107">
        <v>221.34</v>
      </c>
    </row>
    <row r="4013" spans="1:4" ht="38.25" x14ac:dyDescent="0.25">
      <c r="A4013" s="104">
        <v>94762</v>
      </c>
      <c r="B4013" s="105" t="s">
        <v>4084</v>
      </c>
      <c r="C4013" s="106" t="s">
        <v>801</v>
      </c>
      <c r="D4013" s="107">
        <v>278.42</v>
      </c>
    </row>
    <row r="4014" spans="1:4" ht="51" x14ac:dyDescent="0.25">
      <c r="A4014" s="104">
        <v>94783</v>
      </c>
      <c r="B4014" s="105" t="s">
        <v>4085</v>
      </c>
      <c r="C4014" s="106" t="s">
        <v>801</v>
      </c>
      <c r="D4014" s="107">
        <v>13.65</v>
      </c>
    </row>
    <row r="4015" spans="1:4" ht="51" x14ac:dyDescent="0.25">
      <c r="A4015" s="104">
        <v>94785</v>
      </c>
      <c r="B4015" s="105" t="s">
        <v>4086</v>
      </c>
      <c r="C4015" s="106" t="s">
        <v>801</v>
      </c>
      <c r="D4015" s="107">
        <v>24.23</v>
      </c>
    </row>
    <row r="4016" spans="1:4" ht="51" x14ac:dyDescent="0.25">
      <c r="A4016" s="104">
        <v>94786</v>
      </c>
      <c r="B4016" s="105" t="s">
        <v>4087</v>
      </c>
      <c r="C4016" s="106" t="s">
        <v>801</v>
      </c>
      <c r="D4016" s="107">
        <v>31.37</v>
      </c>
    </row>
    <row r="4017" spans="1:4" ht="51" x14ac:dyDescent="0.25">
      <c r="A4017" s="104">
        <v>94787</v>
      </c>
      <c r="B4017" s="105" t="s">
        <v>4088</v>
      </c>
      <c r="C4017" s="106" t="s">
        <v>801</v>
      </c>
      <c r="D4017" s="107">
        <v>43.86</v>
      </c>
    </row>
    <row r="4018" spans="1:4" ht="51" x14ac:dyDescent="0.25">
      <c r="A4018" s="104">
        <v>94788</v>
      </c>
      <c r="B4018" s="105" t="s">
        <v>4089</v>
      </c>
      <c r="C4018" s="106" t="s">
        <v>801</v>
      </c>
      <c r="D4018" s="107">
        <v>61.81</v>
      </c>
    </row>
    <row r="4019" spans="1:4" ht="51" x14ac:dyDescent="0.25">
      <c r="A4019" s="104">
        <v>94789</v>
      </c>
      <c r="B4019" s="105" t="s">
        <v>4090</v>
      </c>
      <c r="C4019" s="106" t="s">
        <v>801</v>
      </c>
      <c r="D4019" s="107">
        <v>186.38</v>
      </c>
    </row>
    <row r="4020" spans="1:4" ht="51" x14ac:dyDescent="0.25">
      <c r="A4020" s="104">
        <v>94790</v>
      </c>
      <c r="B4020" s="105" t="s">
        <v>4091</v>
      </c>
      <c r="C4020" s="106" t="s">
        <v>801</v>
      </c>
      <c r="D4020" s="107">
        <v>215.03</v>
      </c>
    </row>
    <row r="4021" spans="1:4" ht="51" x14ac:dyDescent="0.25">
      <c r="A4021" s="104">
        <v>94791</v>
      </c>
      <c r="B4021" s="105" t="s">
        <v>4092</v>
      </c>
      <c r="C4021" s="106" t="s">
        <v>801</v>
      </c>
      <c r="D4021" s="107">
        <v>299.8</v>
      </c>
    </row>
    <row r="4022" spans="1:4" ht="38.25" x14ac:dyDescent="0.25">
      <c r="A4022" s="104">
        <v>94863</v>
      </c>
      <c r="B4022" s="105" t="s">
        <v>4093</v>
      </c>
      <c r="C4022" s="106" t="s">
        <v>801</v>
      </c>
      <c r="D4022" s="107">
        <v>160.53</v>
      </c>
    </row>
    <row r="4023" spans="1:4" ht="51" x14ac:dyDescent="0.25">
      <c r="A4023" s="104">
        <v>95141</v>
      </c>
      <c r="B4023" s="105" t="s">
        <v>4094</v>
      </c>
      <c r="C4023" s="106" t="s">
        <v>801</v>
      </c>
      <c r="D4023" s="107">
        <v>22.68</v>
      </c>
    </row>
    <row r="4024" spans="1:4" ht="38.25" x14ac:dyDescent="0.25">
      <c r="A4024" s="104">
        <v>95237</v>
      </c>
      <c r="B4024" s="105" t="s">
        <v>4095</v>
      </c>
      <c r="C4024" s="106" t="s">
        <v>801</v>
      </c>
      <c r="D4024" s="107">
        <v>17.77</v>
      </c>
    </row>
    <row r="4025" spans="1:4" ht="38.25" x14ac:dyDescent="0.25">
      <c r="A4025" s="104">
        <v>95693</v>
      </c>
      <c r="B4025" s="105" t="s">
        <v>4096</v>
      </c>
      <c r="C4025" s="106" t="s">
        <v>801</v>
      </c>
      <c r="D4025" s="107">
        <v>40.380000000000003</v>
      </c>
    </row>
    <row r="4026" spans="1:4" ht="38.25" x14ac:dyDescent="0.25">
      <c r="A4026" s="104">
        <v>95694</v>
      </c>
      <c r="B4026" s="105" t="s">
        <v>4097</v>
      </c>
      <c r="C4026" s="106" t="s">
        <v>801</v>
      </c>
      <c r="D4026" s="107">
        <v>49.31</v>
      </c>
    </row>
    <row r="4027" spans="1:4" ht="38.25" x14ac:dyDescent="0.25">
      <c r="A4027" s="104">
        <v>95695</v>
      </c>
      <c r="B4027" s="105" t="s">
        <v>4098</v>
      </c>
      <c r="C4027" s="106" t="s">
        <v>801</v>
      </c>
      <c r="D4027" s="107">
        <v>48.03</v>
      </c>
    </row>
    <row r="4028" spans="1:4" ht="25.5" x14ac:dyDescent="0.25">
      <c r="A4028" s="104">
        <v>95696</v>
      </c>
      <c r="B4028" s="105" t="s">
        <v>4099</v>
      </c>
      <c r="C4028" s="106" t="s">
        <v>801</v>
      </c>
      <c r="D4028" s="107">
        <v>33.74</v>
      </c>
    </row>
    <row r="4029" spans="1:4" ht="38.25" x14ac:dyDescent="0.25">
      <c r="A4029" s="104">
        <v>96637</v>
      </c>
      <c r="B4029" s="105" t="s">
        <v>4100</v>
      </c>
      <c r="C4029" s="106" t="s">
        <v>801</v>
      </c>
      <c r="D4029" s="107">
        <v>9.5500000000000007</v>
      </c>
    </row>
    <row r="4030" spans="1:4" ht="38.25" x14ac:dyDescent="0.25">
      <c r="A4030" s="104">
        <v>96638</v>
      </c>
      <c r="B4030" s="105" t="s">
        <v>4101</v>
      </c>
      <c r="C4030" s="106" t="s">
        <v>801</v>
      </c>
      <c r="D4030" s="107">
        <v>9.17</v>
      </c>
    </row>
    <row r="4031" spans="1:4" ht="25.5" x14ac:dyDescent="0.25">
      <c r="A4031" s="104">
        <v>96639</v>
      </c>
      <c r="B4031" s="105" t="s">
        <v>4102</v>
      </c>
      <c r="C4031" s="106" t="s">
        <v>801</v>
      </c>
      <c r="D4031" s="107">
        <v>6.68</v>
      </c>
    </row>
    <row r="4032" spans="1:4" ht="38.25" x14ac:dyDescent="0.25">
      <c r="A4032" s="104">
        <v>96640</v>
      </c>
      <c r="B4032" s="105" t="s">
        <v>4103</v>
      </c>
      <c r="C4032" s="106" t="s">
        <v>801</v>
      </c>
      <c r="D4032" s="107">
        <v>17.43</v>
      </c>
    </row>
    <row r="4033" spans="1:4" ht="38.25" x14ac:dyDescent="0.25">
      <c r="A4033" s="104">
        <v>96641</v>
      </c>
      <c r="B4033" s="105" t="s">
        <v>4104</v>
      </c>
      <c r="C4033" s="106" t="s">
        <v>801</v>
      </c>
      <c r="D4033" s="107">
        <v>13.59</v>
      </c>
    </row>
    <row r="4034" spans="1:4" ht="25.5" x14ac:dyDescent="0.25">
      <c r="A4034" s="104">
        <v>96642</v>
      </c>
      <c r="B4034" s="105" t="s">
        <v>4105</v>
      </c>
      <c r="C4034" s="106" t="s">
        <v>801</v>
      </c>
      <c r="D4034" s="107">
        <v>12.64</v>
      </c>
    </row>
    <row r="4035" spans="1:4" ht="25.5" x14ac:dyDescent="0.25">
      <c r="A4035" s="104">
        <v>96643</v>
      </c>
      <c r="B4035" s="105" t="s">
        <v>4106</v>
      </c>
      <c r="C4035" s="106" t="s">
        <v>801</v>
      </c>
      <c r="D4035" s="107">
        <v>35.15</v>
      </c>
    </row>
    <row r="4036" spans="1:4" ht="25.5" x14ac:dyDescent="0.25">
      <c r="A4036" s="104">
        <v>96650</v>
      </c>
      <c r="B4036" s="105" t="s">
        <v>4107</v>
      </c>
      <c r="C4036" s="106" t="s">
        <v>801</v>
      </c>
      <c r="D4036" s="107">
        <v>7.14</v>
      </c>
    </row>
    <row r="4037" spans="1:4" ht="38.25" x14ac:dyDescent="0.25">
      <c r="A4037" s="104">
        <v>96651</v>
      </c>
      <c r="B4037" s="105" t="s">
        <v>4108</v>
      </c>
      <c r="C4037" s="106" t="s">
        <v>801</v>
      </c>
      <c r="D4037" s="107">
        <v>6.76</v>
      </c>
    </row>
    <row r="4038" spans="1:4" ht="25.5" x14ac:dyDescent="0.25">
      <c r="A4038" s="104">
        <v>96652</v>
      </c>
      <c r="B4038" s="105" t="s">
        <v>4109</v>
      </c>
      <c r="C4038" s="106" t="s">
        <v>801</v>
      </c>
      <c r="D4038" s="107">
        <v>13.57</v>
      </c>
    </row>
    <row r="4039" spans="1:4" ht="38.25" x14ac:dyDescent="0.25">
      <c r="A4039" s="104">
        <v>96653</v>
      </c>
      <c r="B4039" s="105" t="s">
        <v>4110</v>
      </c>
      <c r="C4039" s="106" t="s">
        <v>801</v>
      </c>
      <c r="D4039" s="107">
        <v>13.53</v>
      </c>
    </row>
    <row r="4040" spans="1:4" ht="25.5" x14ac:dyDescent="0.25">
      <c r="A4040" s="104">
        <v>96654</v>
      </c>
      <c r="B4040" s="105" t="s">
        <v>4111</v>
      </c>
      <c r="C4040" s="106" t="s">
        <v>801</v>
      </c>
      <c r="D4040" s="107">
        <v>22.55</v>
      </c>
    </row>
    <row r="4041" spans="1:4" ht="38.25" x14ac:dyDescent="0.25">
      <c r="A4041" s="104">
        <v>96655</v>
      </c>
      <c r="B4041" s="105" t="s">
        <v>4112</v>
      </c>
      <c r="C4041" s="106" t="s">
        <v>801</v>
      </c>
      <c r="D4041" s="107">
        <v>22.12</v>
      </c>
    </row>
    <row r="4042" spans="1:4" ht="25.5" x14ac:dyDescent="0.25">
      <c r="A4042" s="104">
        <v>96656</v>
      </c>
      <c r="B4042" s="105" t="s">
        <v>4113</v>
      </c>
      <c r="C4042" s="106" t="s">
        <v>801</v>
      </c>
      <c r="D4042" s="107">
        <v>5.0999999999999996</v>
      </c>
    </row>
    <row r="4043" spans="1:4" ht="38.25" x14ac:dyDescent="0.25">
      <c r="A4043" s="104">
        <v>96657</v>
      </c>
      <c r="B4043" s="105" t="s">
        <v>4114</v>
      </c>
      <c r="C4043" s="106" t="s">
        <v>801</v>
      </c>
      <c r="D4043" s="107">
        <v>15.85</v>
      </c>
    </row>
    <row r="4044" spans="1:4" ht="38.25" x14ac:dyDescent="0.25">
      <c r="A4044" s="104">
        <v>96658</v>
      </c>
      <c r="B4044" s="105" t="s">
        <v>4115</v>
      </c>
      <c r="C4044" s="106" t="s">
        <v>801</v>
      </c>
      <c r="D4044" s="107">
        <v>12.01</v>
      </c>
    </row>
    <row r="4045" spans="1:4" ht="25.5" x14ac:dyDescent="0.25">
      <c r="A4045" s="104">
        <v>96659</v>
      </c>
      <c r="B4045" s="105" t="s">
        <v>4116</v>
      </c>
      <c r="C4045" s="106" t="s">
        <v>801</v>
      </c>
      <c r="D4045" s="107">
        <v>9.18</v>
      </c>
    </row>
    <row r="4046" spans="1:4" ht="38.25" x14ac:dyDescent="0.25">
      <c r="A4046" s="104">
        <v>96660</v>
      </c>
      <c r="B4046" s="105" t="s">
        <v>4117</v>
      </c>
      <c r="C4046" s="106" t="s">
        <v>801</v>
      </c>
      <c r="D4046" s="107">
        <v>27.11</v>
      </c>
    </row>
    <row r="4047" spans="1:4" ht="38.25" x14ac:dyDescent="0.25">
      <c r="A4047" s="104">
        <v>96661</v>
      </c>
      <c r="B4047" s="105" t="s">
        <v>4118</v>
      </c>
      <c r="C4047" s="106" t="s">
        <v>801</v>
      </c>
      <c r="D4047" s="107">
        <v>21.2</v>
      </c>
    </row>
    <row r="4048" spans="1:4" ht="38.25" x14ac:dyDescent="0.25">
      <c r="A4048" s="104">
        <v>96662</v>
      </c>
      <c r="B4048" s="105" t="s">
        <v>4119</v>
      </c>
      <c r="C4048" s="106" t="s">
        <v>801</v>
      </c>
      <c r="D4048" s="107">
        <v>9.3800000000000008</v>
      </c>
    </row>
    <row r="4049" spans="1:4" ht="25.5" x14ac:dyDescent="0.25">
      <c r="A4049" s="104">
        <v>96663</v>
      </c>
      <c r="B4049" s="105" t="s">
        <v>4120</v>
      </c>
      <c r="C4049" s="106" t="s">
        <v>801</v>
      </c>
      <c r="D4049" s="107">
        <v>16.739999999999998</v>
      </c>
    </row>
    <row r="4050" spans="1:4" ht="38.25" x14ac:dyDescent="0.25">
      <c r="A4050" s="104">
        <v>96664</v>
      </c>
      <c r="B4050" s="105" t="s">
        <v>4121</v>
      </c>
      <c r="C4050" s="106" t="s">
        <v>801</v>
      </c>
      <c r="D4050" s="107">
        <v>18</v>
      </c>
    </row>
    <row r="4051" spans="1:4" ht="25.5" x14ac:dyDescent="0.25">
      <c r="A4051" s="104">
        <v>96665</v>
      </c>
      <c r="B4051" s="105" t="s">
        <v>4122</v>
      </c>
      <c r="C4051" s="106" t="s">
        <v>801</v>
      </c>
      <c r="D4051" s="107">
        <v>9.41</v>
      </c>
    </row>
    <row r="4052" spans="1:4" ht="25.5" x14ac:dyDescent="0.25">
      <c r="A4052" s="104">
        <v>96666</v>
      </c>
      <c r="B4052" s="105" t="s">
        <v>4123</v>
      </c>
      <c r="C4052" s="106" t="s">
        <v>801</v>
      </c>
      <c r="D4052" s="107">
        <v>18.2</v>
      </c>
    </row>
    <row r="4053" spans="1:4" ht="25.5" x14ac:dyDescent="0.25">
      <c r="A4053" s="104">
        <v>96667</v>
      </c>
      <c r="B4053" s="105" t="s">
        <v>4124</v>
      </c>
      <c r="C4053" s="106" t="s">
        <v>801</v>
      </c>
      <c r="D4053" s="107">
        <v>31.81</v>
      </c>
    </row>
    <row r="4054" spans="1:4" ht="25.5" x14ac:dyDescent="0.25">
      <c r="A4054" s="104">
        <v>96684</v>
      </c>
      <c r="B4054" s="105" t="s">
        <v>4125</v>
      </c>
      <c r="C4054" s="106" t="s">
        <v>801</v>
      </c>
      <c r="D4054" s="107">
        <v>3.53</v>
      </c>
    </row>
    <row r="4055" spans="1:4" ht="25.5" x14ac:dyDescent="0.25">
      <c r="A4055" s="104">
        <v>96685</v>
      </c>
      <c r="B4055" s="105" t="s">
        <v>4126</v>
      </c>
      <c r="C4055" s="106" t="s">
        <v>801</v>
      </c>
      <c r="D4055" s="107">
        <v>3.15</v>
      </c>
    </row>
    <row r="4056" spans="1:4" ht="25.5" x14ac:dyDescent="0.25">
      <c r="A4056" s="104">
        <v>96686</v>
      </c>
      <c r="B4056" s="105" t="s">
        <v>4127</v>
      </c>
      <c r="C4056" s="106" t="s">
        <v>801</v>
      </c>
      <c r="D4056" s="107">
        <v>5.31</v>
      </c>
    </row>
    <row r="4057" spans="1:4" ht="25.5" x14ac:dyDescent="0.25">
      <c r="A4057" s="104">
        <v>96687</v>
      </c>
      <c r="B4057" s="105" t="s">
        <v>4128</v>
      </c>
      <c r="C4057" s="106" t="s">
        <v>801</v>
      </c>
      <c r="D4057" s="107">
        <v>5.27</v>
      </c>
    </row>
    <row r="4058" spans="1:4" ht="25.5" x14ac:dyDescent="0.25">
      <c r="A4058" s="104">
        <v>96688</v>
      </c>
      <c r="B4058" s="105" t="s">
        <v>4129</v>
      </c>
      <c r="C4058" s="106" t="s">
        <v>801</v>
      </c>
      <c r="D4058" s="107">
        <v>9.18</v>
      </c>
    </row>
    <row r="4059" spans="1:4" ht="25.5" x14ac:dyDescent="0.25">
      <c r="A4059" s="104">
        <v>96689</v>
      </c>
      <c r="B4059" s="105" t="s">
        <v>4130</v>
      </c>
      <c r="C4059" s="106" t="s">
        <v>801</v>
      </c>
      <c r="D4059" s="107">
        <v>8.75</v>
      </c>
    </row>
    <row r="4060" spans="1:4" ht="25.5" x14ac:dyDescent="0.25">
      <c r="A4060" s="104">
        <v>96690</v>
      </c>
      <c r="B4060" s="105" t="s">
        <v>4131</v>
      </c>
      <c r="C4060" s="106" t="s">
        <v>801</v>
      </c>
      <c r="D4060" s="107">
        <v>17.16</v>
      </c>
    </row>
    <row r="4061" spans="1:4" ht="25.5" x14ac:dyDescent="0.25">
      <c r="A4061" s="104">
        <v>96691</v>
      </c>
      <c r="B4061" s="105" t="s">
        <v>4132</v>
      </c>
      <c r="C4061" s="106" t="s">
        <v>801</v>
      </c>
      <c r="D4061" s="107">
        <v>17.739999999999998</v>
      </c>
    </row>
    <row r="4062" spans="1:4" ht="25.5" x14ac:dyDescent="0.25">
      <c r="A4062" s="104">
        <v>96692</v>
      </c>
      <c r="B4062" s="105" t="s">
        <v>4133</v>
      </c>
      <c r="C4062" s="106" t="s">
        <v>801</v>
      </c>
      <c r="D4062" s="107">
        <v>25.95</v>
      </c>
    </row>
    <row r="4063" spans="1:4" ht="25.5" x14ac:dyDescent="0.25">
      <c r="A4063" s="104">
        <v>96693</v>
      </c>
      <c r="B4063" s="105" t="s">
        <v>4134</v>
      </c>
      <c r="C4063" s="106" t="s">
        <v>801</v>
      </c>
      <c r="D4063" s="107">
        <v>24.54</v>
      </c>
    </row>
    <row r="4064" spans="1:4" ht="25.5" x14ac:dyDescent="0.25">
      <c r="A4064" s="104">
        <v>96694</v>
      </c>
      <c r="B4064" s="105" t="s">
        <v>4135</v>
      </c>
      <c r="C4064" s="106" t="s">
        <v>801</v>
      </c>
      <c r="D4064" s="107">
        <v>57.56</v>
      </c>
    </row>
    <row r="4065" spans="1:4" ht="25.5" x14ac:dyDescent="0.25">
      <c r="A4065" s="104">
        <v>96695</v>
      </c>
      <c r="B4065" s="105" t="s">
        <v>4136</v>
      </c>
      <c r="C4065" s="106" t="s">
        <v>801</v>
      </c>
      <c r="D4065" s="107">
        <v>55.9</v>
      </c>
    </row>
    <row r="4066" spans="1:4" ht="25.5" x14ac:dyDescent="0.25">
      <c r="A4066" s="104">
        <v>96696</v>
      </c>
      <c r="B4066" s="105" t="s">
        <v>4137</v>
      </c>
      <c r="C4066" s="106" t="s">
        <v>801</v>
      </c>
      <c r="D4066" s="107">
        <v>86.74</v>
      </c>
    </row>
    <row r="4067" spans="1:4" ht="25.5" x14ac:dyDescent="0.25">
      <c r="A4067" s="104">
        <v>96697</v>
      </c>
      <c r="B4067" s="105" t="s">
        <v>4138</v>
      </c>
      <c r="C4067" s="106" t="s">
        <v>801</v>
      </c>
      <c r="D4067" s="107">
        <v>129.80000000000001</v>
      </c>
    </row>
    <row r="4068" spans="1:4" ht="25.5" x14ac:dyDescent="0.25">
      <c r="A4068" s="104">
        <v>96698</v>
      </c>
      <c r="B4068" s="105" t="s">
        <v>4139</v>
      </c>
      <c r="C4068" s="106" t="s">
        <v>801</v>
      </c>
      <c r="D4068" s="107">
        <v>2.69</v>
      </c>
    </row>
    <row r="4069" spans="1:4" ht="25.5" x14ac:dyDescent="0.25">
      <c r="A4069" s="104">
        <v>96699</v>
      </c>
      <c r="B4069" s="105" t="s">
        <v>4140</v>
      </c>
      <c r="C4069" s="106" t="s">
        <v>801</v>
      </c>
      <c r="D4069" s="107">
        <v>13.44</v>
      </c>
    </row>
    <row r="4070" spans="1:4" ht="25.5" x14ac:dyDescent="0.25">
      <c r="A4070" s="104">
        <v>96700</v>
      </c>
      <c r="B4070" s="105" t="s">
        <v>4141</v>
      </c>
      <c r="C4070" s="106" t="s">
        <v>801</v>
      </c>
      <c r="D4070" s="107">
        <v>9.6</v>
      </c>
    </row>
    <row r="4071" spans="1:4" ht="25.5" x14ac:dyDescent="0.25">
      <c r="A4071" s="104">
        <v>96701</v>
      </c>
      <c r="B4071" s="105" t="s">
        <v>4142</v>
      </c>
      <c r="C4071" s="106" t="s">
        <v>801</v>
      </c>
      <c r="D4071" s="107">
        <v>3.68</v>
      </c>
    </row>
    <row r="4072" spans="1:4" ht="25.5" x14ac:dyDescent="0.25">
      <c r="A4072" s="104">
        <v>96702</v>
      </c>
      <c r="B4072" s="105" t="s">
        <v>4143</v>
      </c>
      <c r="C4072" s="106" t="s">
        <v>801</v>
      </c>
      <c r="D4072" s="107">
        <v>3.88</v>
      </c>
    </row>
    <row r="4073" spans="1:4" ht="25.5" x14ac:dyDescent="0.25">
      <c r="A4073" s="104">
        <v>96703</v>
      </c>
      <c r="B4073" s="105" t="s">
        <v>4144</v>
      </c>
      <c r="C4073" s="106" t="s">
        <v>801</v>
      </c>
      <c r="D4073" s="107">
        <v>7.81</v>
      </c>
    </row>
    <row r="4074" spans="1:4" ht="25.5" x14ac:dyDescent="0.25">
      <c r="A4074" s="104">
        <v>96704</v>
      </c>
      <c r="B4074" s="105" t="s">
        <v>4145</v>
      </c>
      <c r="C4074" s="106" t="s">
        <v>801</v>
      </c>
      <c r="D4074" s="107">
        <v>9.07</v>
      </c>
    </row>
    <row r="4075" spans="1:4" ht="25.5" x14ac:dyDescent="0.25">
      <c r="A4075" s="104">
        <v>96705</v>
      </c>
      <c r="B4075" s="105" t="s">
        <v>4146</v>
      </c>
      <c r="C4075" s="106" t="s">
        <v>801</v>
      </c>
      <c r="D4075" s="107">
        <v>11.76</v>
      </c>
    </row>
    <row r="4076" spans="1:4" ht="25.5" x14ac:dyDescent="0.25">
      <c r="A4076" s="104">
        <v>96706</v>
      </c>
      <c r="B4076" s="105" t="s">
        <v>4147</v>
      </c>
      <c r="C4076" s="106" t="s">
        <v>801</v>
      </c>
      <c r="D4076" s="107">
        <v>17.66</v>
      </c>
    </row>
    <row r="4077" spans="1:4" ht="25.5" x14ac:dyDescent="0.25">
      <c r="A4077" s="104">
        <v>96707</v>
      </c>
      <c r="B4077" s="105" t="s">
        <v>4148</v>
      </c>
      <c r="C4077" s="106" t="s">
        <v>801</v>
      </c>
      <c r="D4077" s="107">
        <v>36.979999999999997</v>
      </c>
    </row>
    <row r="4078" spans="1:4" ht="25.5" x14ac:dyDescent="0.25">
      <c r="A4078" s="104">
        <v>96708</v>
      </c>
      <c r="B4078" s="105" t="s">
        <v>4149</v>
      </c>
      <c r="C4078" s="106" t="s">
        <v>801</v>
      </c>
      <c r="D4078" s="107">
        <v>58.41</v>
      </c>
    </row>
    <row r="4079" spans="1:4" ht="25.5" x14ac:dyDescent="0.25">
      <c r="A4079" s="104">
        <v>96709</v>
      </c>
      <c r="B4079" s="105" t="s">
        <v>4150</v>
      </c>
      <c r="C4079" s="106" t="s">
        <v>801</v>
      </c>
      <c r="D4079" s="107">
        <v>92.34</v>
      </c>
    </row>
    <row r="4080" spans="1:4" ht="25.5" x14ac:dyDescent="0.25">
      <c r="A4080" s="104">
        <v>96710</v>
      </c>
      <c r="B4080" s="105" t="s">
        <v>4151</v>
      </c>
      <c r="C4080" s="106" t="s">
        <v>801</v>
      </c>
      <c r="D4080" s="107">
        <v>4.63</v>
      </c>
    </row>
    <row r="4081" spans="1:4" ht="25.5" x14ac:dyDescent="0.25">
      <c r="A4081" s="104">
        <v>96711</v>
      </c>
      <c r="B4081" s="105" t="s">
        <v>4152</v>
      </c>
      <c r="C4081" s="106" t="s">
        <v>801</v>
      </c>
      <c r="D4081" s="107">
        <v>7.21</v>
      </c>
    </row>
    <row r="4082" spans="1:4" ht="25.5" x14ac:dyDescent="0.25">
      <c r="A4082" s="104">
        <v>96712</v>
      </c>
      <c r="B4082" s="105" t="s">
        <v>4153</v>
      </c>
      <c r="C4082" s="106" t="s">
        <v>801</v>
      </c>
      <c r="D4082" s="107">
        <v>13.96</v>
      </c>
    </row>
    <row r="4083" spans="1:4" ht="25.5" x14ac:dyDescent="0.25">
      <c r="A4083" s="104">
        <v>96713</v>
      </c>
      <c r="B4083" s="105" t="s">
        <v>4154</v>
      </c>
      <c r="C4083" s="106" t="s">
        <v>801</v>
      </c>
      <c r="D4083" s="107">
        <v>19.34</v>
      </c>
    </row>
    <row r="4084" spans="1:4" ht="25.5" x14ac:dyDescent="0.25">
      <c r="A4084" s="104">
        <v>96714</v>
      </c>
      <c r="B4084" s="105" t="s">
        <v>4155</v>
      </c>
      <c r="C4084" s="106" t="s">
        <v>801</v>
      </c>
      <c r="D4084" s="107">
        <v>32.68</v>
      </c>
    </row>
    <row r="4085" spans="1:4" ht="25.5" x14ac:dyDescent="0.25">
      <c r="A4085" s="104">
        <v>96715</v>
      </c>
      <c r="B4085" s="105" t="s">
        <v>4156</v>
      </c>
      <c r="C4085" s="106" t="s">
        <v>801</v>
      </c>
      <c r="D4085" s="107">
        <v>61.76</v>
      </c>
    </row>
    <row r="4086" spans="1:4" ht="25.5" x14ac:dyDescent="0.25">
      <c r="A4086" s="104">
        <v>96716</v>
      </c>
      <c r="B4086" s="105" t="s">
        <v>4157</v>
      </c>
      <c r="C4086" s="106" t="s">
        <v>801</v>
      </c>
      <c r="D4086" s="107">
        <v>92.83</v>
      </c>
    </row>
    <row r="4087" spans="1:4" ht="25.5" x14ac:dyDescent="0.25">
      <c r="A4087" s="104">
        <v>96717</v>
      </c>
      <c r="B4087" s="105" t="s">
        <v>4158</v>
      </c>
      <c r="C4087" s="106" t="s">
        <v>801</v>
      </c>
      <c r="D4087" s="107">
        <v>146.31</v>
      </c>
    </row>
    <row r="4088" spans="1:4" ht="38.25" x14ac:dyDescent="0.25">
      <c r="A4088" s="104">
        <v>96736</v>
      </c>
      <c r="B4088" s="105" t="s">
        <v>4159</v>
      </c>
      <c r="C4088" s="106" t="s">
        <v>801</v>
      </c>
      <c r="D4088" s="107">
        <v>3.85</v>
      </c>
    </row>
    <row r="4089" spans="1:4" ht="38.25" x14ac:dyDescent="0.25">
      <c r="A4089" s="104">
        <v>96737</v>
      </c>
      <c r="B4089" s="105" t="s">
        <v>4160</v>
      </c>
      <c r="C4089" s="106" t="s">
        <v>801</v>
      </c>
      <c r="D4089" s="107">
        <v>4.43</v>
      </c>
    </row>
    <row r="4090" spans="1:4" ht="38.25" x14ac:dyDescent="0.25">
      <c r="A4090" s="104">
        <v>96738</v>
      </c>
      <c r="B4090" s="105" t="s">
        <v>4161</v>
      </c>
      <c r="C4090" s="106" t="s">
        <v>801</v>
      </c>
      <c r="D4090" s="107">
        <v>15.18</v>
      </c>
    </row>
    <row r="4091" spans="1:4" ht="38.25" x14ac:dyDescent="0.25">
      <c r="A4091" s="104">
        <v>96739</v>
      </c>
      <c r="B4091" s="105" t="s">
        <v>4162</v>
      </c>
      <c r="C4091" s="106" t="s">
        <v>801</v>
      </c>
      <c r="D4091" s="107">
        <v>5.73</v>
      </c>
    </row>
    <row r="4092" spans="1:4" ht="38.25" x14ac:dyDescent="0.25">
      <c r="A4092" s="104">
        <v>96740</v>
      </c>
      <c r="B4092" s="105" t="s">
        <v>4163</v>
      </c>
      <c r="C4092" s="106" t="s">
        <v>801</v>
      </c>
      <c r="D4092" s="107">
        <v>23.66</v>
      </c>
    </row>
    <row r="4093" spans="1:4" ht="38.25" x14ac:dyDescent="0.25">
      <c r="A4093" s="104">
        <v>96741</v>
      </c>
      <c r="B4093" s="105" t="s">
        <v>4164</v>
      </c>
      <c r="C4093" s="106" t="s">
        <v>801</v>
      </c>
      <c r="D4093" s="107">
        <v>9.23</v>
      </c>
    </row>
    <row r="4094" spans="1:4" ht="38.25" x14ac:dyDescent="0.25">
      <c r="A4094" s="104">
        <v>96742</v>
      </c>
      <c r="B4094" s="105" t="s">
        <v>4165</v>
      </c>
      <c r="C4094" s="106" t="s">
        <v>801</v>
      </c>
      <c r="D4094" s="107">
        <v>14.01</v>
      </c>
    </row>
    <row r="4095" spans="1:4" ht="38.25" x14ac:dyDescent="0.25">
      <c r="A4095" s="104">
        <v>96743</v>
      </c>
      <c r="B4095" s="105" t="s">
        <v>4166</v>
      </c>
      <c r="C4095" s="106" t="s">
        <v>801</v>
      </c>
      <c r="D4095" s="107">
        <v>18.260000000000002</v>
      </c>
    </row>
    <row r="4096" spans="1:4" ht="38.25" x14ac:dyDescent="0.25">
      <c r="A4096" s="104">
        <v>96744</v>
      </c>
      <c r="B4096" s="105" t="s">
        <v>4167</v>
      </c>
      <c r="C4096" s="106" t="s">
        <v>801</v>
      </c>
      <c r="D4096" s="107">
        <v>39.19</v>
      </c>
    </row>
    <row r="4097" spans="1:4" ht="38.25" x14ac:dyDescent="0.25">
      <c r="A4097" s="104">
        <v>96745</v>
      </c>
      <c r="B4097" s="105" t="s">
        <v>4168</v>
      </c>
      <c r="C4097" s="106" t="s">
        <v>801</v>
      </c>
      <c r="D4097" s="107">
        <v>57.87</v>
      </c>
    </row>
    <row r="4098" spans="1:4" ht="38.25" x14ac:dyDescent="0.25">
      <c r="A4098" s="104">
        <v>96746</v>
      </c>
      <c r="B4098" s="105" t="s">
        <v>4169</v>
      </c>
      <c r="C4098" s="106" t="s">
        <v>801</v>
      </c>
      <c r="D4098" s="107">
        <v>92.31</v>
      </c>
    </row>
    <row r="4099" spans="1:4" ht="38.25" x14ac:dyDescent="0.25">
      <c r="A4099" s="104">
        <v>96747</v>
      </c>
      <c r="B4099" s="105" t="s">
        <v>4170</v>
      </c>
      <c r="C4099" s="106" t="s">
        <v>801</v>
      </c>
      <c r="D4099" s="107">
        <v>5.42</v>
      </c>
    </row>
    <row r="4100" spans="1:4" ht="38.25" x14ac:dyDescent="0.25">
      <c r="A4100" s="104">
        <v>96748</v>
      </c>
      <c r="B4100" s="105" t="s">
        <v>4171</v>
      </c>
      <c r="C4100" s="106" t="s">
        <v>801</v>
      </c>
      <c r="D4100" s="107">
        <v>6.16</v>
      </c>
    </row>
    <row r="4101" spans="1:4" ht="38.25" x14ac:dyDescent="0.25">
      <c r="A4101" s="104">
        <v>96749</v>
      </c>
      <c r="B4101" s="105" t="s">
        <v>4172</v>
      </c>
      <c r="C4101" s="106" t="s">
        <v>801</v>
      </c>
      <c r="D4101" s="107">
        <v>8.41</v>
      </c>
    </row>
    <row r="4102" spans="1:4" ht="38.25" x14ac:dyDescent="0.25">
      <c r="A4102" s="104">
        <v>96750</v>
      </c>
      <c r="B4102" s="105" t="s">
        <v>4173</v>
      </c>
      <c r="C4102" s="106" t="s">
        <v>801</v>
      </c>
      <c r="D4102" s="107">
        <v>11.3</v>
      </c>
    </row>
    <row r="4103" spans="1:4" ht="38.25" x14ac:dyDescent="0.25">
      <c r="A4103" s="104">
        <v>96751</v>
      </c>
      <c r="B4103" s="105" t="s">
        <v>4174</v>
      </c>
      <c r="C4103" s="106" t="s">
        <v>801</v>
      </c>
      <c r="D4103" s="107">
        <v>20.52</v>
      </c>
    </row>
    <row r="4104" spans="1:4" ht="38.25" x14ac:dyDescent="0.25">
      <c r="A4104" s="104">
        <v>96752</v>
      </c>
      <c r="B4104" s="105" t="s">
        <v>4175</v>
      </c>
      <c r="C4104" s="106" t="s">
        <v>801</v>
      </c>
      <c r="D4104" s="107">
        <v>26.84</v>
      </c>
    </row>
    <row r="4105" spans="1:4" ht="38.25" x14ac:dyDescent="0.25">
      <c r="A4105" s="104">
        <v>96753</v>
      </c>
      <c r="B4105" s="105" t="s">
        <v>4176</v>
      </c>
      <c r="C4105" s="106" t="s">
        <v>801</v>
      </c>
      <c r="D4105" s="107">
        <v>60.89</v>
      </c>
    </row>
    <row r="4106" spans="1:4" ht="38.25" x14ac:dyDescent="0.25">
      <c r="A4106" s="104">
        <v>96754</v>
      </c>
      <c r="B4106" s="105" t="s">
        <v>4177</v>
      </c>
      <c r="C4106" s="106" t="s">
        <v>801</v>
      </c>
      <c r="D4106" s="107">
        <v>85.92</v>
      </c>
    </row>
    <row r="4107" spans="1:4" ht="38.25" x14ac:dyDescent="0.25">
      <c r="A4107" s="104">
        <v>96755</v>
      </c>
      <c r="B4107" s="105" t="s">
        <v>4178</v>
      </c>
      <c r="C4107" s="106" t="s">
        <v>801</v>
      </c>
      <c r="D4107" s="107">
        <v>129.77000000000001</v>
      </c>
    </row>
    <row r="4108" spans="1:4" ht="38.25" x14ac:dyDescent="0.25">
      <c r="A4108" s="104">
        <v>96756</v>
      </c>
      <c r="B4108" s="105" t="s">
        <v>4179</v>
      </c>
      <c r="C4108" s="106" t="s">
        <v>801</v>
      </c>
      <c r="D4108" s="107">
        <v>10.02</v>
      </c>
    </row>
    <row r="4109" spans="1:4" ht="38.25" x14ac:dyDescent="0.25">
      <c r="A4109" s="104">
        <v>96757</v>
      </c>
      <c r="B4109" s="105" t="s">
        <v>4180</v>
      </c>
      <c r="C4109" s="106" t="s">
        <v>801</v>
      </c>
      <c r="D4109" s="107">
        <v>9.64</v>
      </c>
    </row>
    <row r="4110" spans="1:4" ht="38.25" x14ac:dyDescent="0.25">
      <c r="A4110" s="104">
        <v>96758</v>
      </c>
      <c r="B4110" s="105" t="s">
        <v>4181</v>
      </c>
      <c r="C4110" s="106" t="s">
        <v>801</v>
      </c>
      <c r="D4110" s="107">
        <v>11.33</v>
      </c>
    </row>
    <row r="4111" spans="1:4" ht="38.25" x14ac:dyDescent="0.25">
      <c r="A4111" s="104">
        <v>96759</v>
      </c>
      <c r="B4111" s="105" t="s">
        <v>4182</v>
      </c>
      <c r="C4111" s="106" t="s">
        <v>801</v>
      </c>
      <c r="D4111" s="107">
        <v>16.809999999999999</v>
      </c>
    </row>
    <row r="4112" spans="1:4" ht="38.25" x14ac:dyDescent="0.25">
      <c r="A4112" s="104">
        <v>96760</v>
      </c>
      <c r="B4112" s="105" t="s">
        <v>4183</v>
      </c>
      <c r="C4112" s="106" t="s">
        <v>801</v>
      </c>
      <c r="D4112" s="107">
        <v>23.79</v>
      </c>
    </row>
    <row r="4113" spans="1:4" ht="38.25" x14ac:dyDescent="0.25">
      <c r="A4113" s="104">
        <v>96761</v>
      </c>
      <c r="B4113" s="105" t="s">
        <v>4184</v>
      </c>
      <c r="C4113" s="106" t="s">
        <v>801</v>
      </c>
      <c r="D4113" s="107">
        <v>33.880000000000003</v>
      </c>
    </row>
    <row r="4114" spans="1:4" ht="38.25" x14ac:dyDescent="0.25">
      <c r="A4114" s="104">
        <v>96762</v>
      </c>
      <c r="B4114" s="105" t="s">
        <v>4185</v>
      </c>
      <c r="C4114" s="106" t="s">
        <v>801</v>
      </c>
      <c r="D4114" s="107">
        <v>66.16</v>
      </c>
    </row>
    <row r="4115" spans="1:4" ht="38.25" x14ac:dyDescent="0.25">
      <c r="A4115" s="104">
        <v>96763</v>
      </c>
      <c r="B4115" s="105" t="s">
        <v>4186</v>
      </c>
      <c r="C4115" s="106" t="s">
        <v>801</v>
      </c>
      <c r="D4115" s="107">
        <v>91.72</v>
      </c>
    </row>
    <row r="4116" spans="1:4" ht="38.25" x14ac:dyDescent="0.25">
      <c r="A4116" s="104">
        <v>96764</v>
      </c>
      <c r="B4116" s="105" t="s">
        <v>4187</v>
      </c>
      <c r="C4116" s="106" t="s">
        <v>801</v>
      </c>
      <c r="D4116" s="107">
        <v>146.25</v>
      </c>
    </row>
    <row r="4117" spans="1:4" ht="38.25" x14ac:dyDescent="0.25">
      <c r="A4117" s="104">
        <v>96802</v>
      </c>
      <c r="B4117" s="105" t="s">
        <v>4188</v>
      </c>
      <c r="C4117" s="106" t="s">
        <v>801</v>
      </c>
      <c r="D4117" s="107">
        <v>212.51</v>
      </c>
    </row>
    <row r="4118" spans="1:4" ht="38.25" x14ac:dyDescent="0.25">
      <c r="A4118" s="104">
        <v>96803</v>
      </c>
      <c r="B4118" s="105" t="s">
        <v>4189</v>
      </c>
      <c r="C4118" s="106" t="s">
        <v>801</v>
      </c>
      <c r="D4118" s="107">
        <v>108.75</v>
      </c>
    </row>
    <row r="4119" spans="1:4" ht="38.25" x14ac:dyDescent="0.25">
      <c r="A4119" s="104">
        <v>96804</v>
      </c>
      <c r="B4119" s="105" t="s">
        <v>4190</v>
      </c>
      <c r="C4119" s="106" t="s">
        <v>801</v>
      </c>
      <c r="D4119" s="107">
        <v>193.62</v>
      </c>
    </row>
    <row r="4120" spans="1:4" ht="38.25" x14ac:dyDescent="0.25">
      <c r="A4120" s="104">
        <v>96805</v>
      </c>
      <c r="B4120" s="105" t="s">
        <v>4191</v>
      </c>
      <c r="C4120" s="106" t="s">
        <v>801</v>
      </c>
      <c r="D4120" s="107">
        <v>218.71</v>
      </c>
    </row>
    <row r="4121" spans="1:4" ht="38.25" x14ac:dyDescent="0.25">
      <c r="A4121" s="104">
        <v>96806</v>
      </c>
      <c r="B4121" s="105" t="s">
        <v>4192</v>
      </c>
      <c r="C4121" s="106" t="s">
        <v>801</v>
      </c>
      <c r="D4121" s="107">
        <v>105.33</v>
      </c>
    </row>
    <row r="4122" spans="1:4" ht="38.25" x14ac:dyDescent="0.25">
      <c r="A4122" s="104">
        <v>96807</v>
      </c>
      <c r="B4122" s="105" t="s">
        <v>4193</v>
      </c>
      <c r="C4122" s="106" t="s">
        <v>801</v>
      </c>
      <c r="D4122" s="107">
        <v>174.99</v>
      </c>
    </row>
    <row r="4123" spans="1:4" ht="38.25" x14ac:dyDescent="0.25">
      <c r="A4123" s="104">
        <v>96808</v>
      </c>
      <c r="B4123" s="105" t="s">
        <v>4194</v>
      </c>
      <c r="C4123" s="106" t="s">
        <v>801</v>
      </c>
      <c r="D4123" s="107">
        <v>9.59</v>
      </c>
    </row>
    <row r="4124" spans="1:4" ht="38.25" x14ac:dyDescent="0.25">
      <c r="A4124" s="104">
        <v>96809</v>
      </c>
      <c r="B4124" s="105" t="s">
        <v>4195</v>
      </c>
      <c r="C4124" s="106" t="s">
        <v>801</v>
      </c>
      <c r="D4124" s="107">
        <v>11.04</v>
      </c>
    </row>
    <row r="4125" spans="1:4" ht="38.25" x14ac:dyDescent="0.25">
      <c r="A4125" s="104">
        <v>96810</v>
      </c>
      <c r="B4125" s="105" t="s">
        <v>4196</v>
      </c>
      <c r="C4125" s="106" t="s">
        <v>801</v>
      </c>
      <c r="D4125" s="107">
        <v>12.01</v>
      </c>
    </row>
    <row r="4126" spans="1:4" ht="38.25" x14ac:dyDescent="0.25">
      <c r="A4126" s="104">
        <v>96811</v>
      </c>
      <c r="B4126" s="105" t="s">
        <v>4197</v>
      </c>
      <c r="C4126" s="106" t="s">
        <v>801</v>
      </c>
      <c r="D4126" s="107">
        <v>12.88</v>
      </c>
    </row>
    <row r="4127" spans="1:4" ht="38.25" x14ac:dyDescent="0.25">
      <c r="A4127" s="104">
        <v>96812</v>
      </c>
      <c r="B4127" s="105" t="s">
        <v>4198</v>
      </c>
      <c r="C4127" s="106" t="s">
        <v>801</v>
      </c>
      <c r="D4127" s="107">
        <v>12.36</v>
      </c>
    </row>
    <row r="4128" spans="1:4" ht="38.25" x14ac:dyDescent="0.25">
      <c r="A4128" s="104">
        <v>96813</v>
      </c>
      <c r="B4128" s="105" t="s">
        <v>4199</v>
      </c>
      <c r="C4128" s="106" t="s">
        <v>801</v>
      </c>
      <c r="D4128" s="107">
        <v>14.3</v>
      </c>
    </row>
    <row r="4129" spans="1:4" ht="38.25" x14ac:dyDescent="0.25">
      <c r="A4129" s="104">
        <v>96814</v>
      </c>
      <c r="B4129" s="105" t="s">
        <v>4200</v>
      </c>
      <c r="C4129" s="106" t="s">
        <v>801</v>
      </c>
      <c r="D4129" s="107">
        <v>12.03</v>
      </c>
    </row>
    <row r="4130" spans="1:4" ht="38.25" x14ac:dyDescent="0.25">
      <c r="A4130" s="104">
        <v>96815</v>
      </c>
      <c r="B4130" s="105" t="s">
        <v>4201</v>
      </c>
      <c r="C4130" s="106" t="s">
        <v>801</v>
      </c>
      <c r="D4130" s="107">
        <v>20.47</v>
      </c>
    </row>
    <row r="4131" spans="1:4" ht="38.25" x14ac:dyDescent="0.25">
      <c r="A4131" s="104">
        <v>96816</v>
      </c>
      <c r="B4131" s="105" t="s">
        <v>4202</v>
      </c>
      <c r="C4131" s="106" t="s">
        <v>801</v>
      </c>
      <c r="D4131" s="107">
        <v>16.78</v>
      </c>
    </row>
    <row r="4132" spans="1:4" ht="38.25" x14ac:dyDescent="0.25">
      <c r="A4132" s="104">
        <v>96817</v>
      </c>
      <c r="B4132" s="105" t="s">
        <v>4203</v>
      </c>
      <c r="C4132" s="106" t="s">
        <v>801</v>
      </c>
      <c r="D4132" s="107">
        <v>19.13</v>
      </c>
    </row>
    <row r="4133" spans="1:4" ht="25.5" x14ac:dyDescent="0.25">
      <c r="A4133" s="104">
        <v>96818</v>
      </c>
      <c r="B4133" s="105" t="s">
        <v>4204</v>
      </c>
      <c r="C4133" s="106" t="s">
        <v>801</v>
      </c>
      <c r="D4133" s="107">
        <v>17.79</v>
      </c>
    </row>
    <row r="4134" spans="1:4" ht="25.5" x14ac:dyDescent="0.25">
      <c r="A4134" s="104">
        <v>96819</v>
      </c>
      <c r="B4134" s="105" t="s">
        <v>4205</v>
      </c>
      <c r="C4134" s="106" t="s">
        <v>801</v>
      </c>
      <c r="D4134" s="107">
        <v>17.79</v>
      </c>
    </row>
    <row r="4135" spans="1:4" ht="38.25" x14ac:dyDescent="0.25">
      <c r="A4135" s="104">
        <v>96820</v>
      </c>
      <c r="B4135" s="105" t="s">
        <v>4206</v>
      </c>
      <c r="C4135" s="106" t="s">
        <v>801</v>
      </c>
      <c r="D4135" s="107">
        <v>32.58</v>
      </c>
    </row>
    <row r="4136" spans="1:4" ht="38.25" x14ac:dyDescent="0.25">
      <c r="A4136" s="104">
        <v>96821</v>
      </c>
      <c r="B4136" s="105" t="s">
        <v>4207</v>
      </c>
      <c r="C4136" s="106" t="s">
        <v>801</v>
      </c>
      <c r="D4136" s="107">
        <v>27.68</v>
      </c>
    </row>
    <row r="4137" spans="1:4" ht="25.5" x14ac:dyDescent="0.25">
      <c r="A4137" s="104">
        <v>96822</v>
      </c>
      <c r="B4137" s="105" t="s">
        <v>4208</v>
      </c>
      <c r="C4137" s="106" t="s">
        <v>801</v>
      </c>
      <c r="D4137" s="107">
        <v>28.06</v>
      </c>
    </row>
    <row r="4138" spans="1:4" ht="25.5" x14ac:dyDescent="0.25">
      <c r="A4138" s="104">
        <v>96823</v>
      </c>
      <c r="B4138" s="105" t="s">
        <v>4209</v>
      </c>
      <c r="C4138" s="106" t="s">
        <v>801</v>
      </c>
      <c r="D4138" s="107">
        <v>11.55</v>
      </c>
    </row>
    <row r="4139" spans="1:4" ht="38.25" x14ac:dyDescent="0.25">
      <c r="A4139" s="104">
        <v>96824</v>
      </c>
      <c r="B4139" s="105" t="s">
        <v>4210</v>
      </c>
      <c r="C4139" s="106" t="s">
        <v>801</v>
      </c>
      <c r="D4139" s="107">
        <v>13.06</v>
      </c>
    </row>
    <row r="4140" spans="1:4" ht="38.25" x14ac:dyDescent="0.25">
      <c r="A4140" s="104">
        <v>96825</v>
      </c>
      <c r="B4140" s="105" t="s">
        <v>4211</v>
      </c>
      <c r="C4140" s="106" t="s">
        <v>801</v>
      </c>
      <c r="D4140" s="107">
        <v>17.77</v>
      </c>
    </row>
    <row r="4141" spans="1:4" ht="25.5" x14ac:dyDescent="0.25">
      <c r="A4141" s="104">
        <v>96826</v>
      </c>
      <c r="B4141" s="105" t="s">
        <v>4212</v>
      </c>
      <c r="C4141" s="106" t="s">
        <v>801</v>
      </c>
      <c r="D4141" s="107">
        <v>16.07</v>
      </c>
    </row>
    <row r="4142" spans="1:4" ht="38.25" x14ac:dyDescent="0.25">
      <c r="A4142" s="104">
        <v>96827</v>
      </c>
      <c r="B4142" s="105" t="s">
        <v>4213</v>
      </c>
      <c r="C4142" s="106" t="s">
        <v>801</v>
      </c>
      <c r="D4142" s="107">
        <v>16.68</v>
      </c>
    </row>
    <row r="4143" spans="1:4" ht="38.25" x14ac:dyDescent="0.25">
      <c r="A4143" s="104">
        <v>96828</v>
      </c>
      <c r="B4143" s="105" t="s">
        <v>4214</v>
      </c>
      <c r="C4143" s="106" t="s">
        <v>801</v>
      </c>
      <c r="D4143" s="107">
        <v>20.99</v>
      </c>
    </row>
    <row r="4144" spans="1:4" ht="38.25" x14ac:dyDescent="0.25">
      <c r="A4144" s="104">
        <v>96829</v>
      </c>
      <c r="B4144" s="105" t="s">
        <v>4215</v>
      </c>
      <c r="C4144" s="106" t="s">
        <v>801</v>
      </c>
      <c r="D4144" s="107">
        <v>16.04</v>
      </c>
    </row>
    <row r="4145" spans="1:4" ht="25.5" x14ac:dyDescent="0.25">
      <c r="A4145" s="104">
        <v>96830</v>
      </c>
      <c r="B4145" s="105" t="s">
        <v>4216</v>
      </c>
      <c r="C4145" s="106" t="s">
        <v>801</v>
      </c>
      <c r="D4145" s="107">
        <v>23.37</v>
      </c>
    </row>
    <row r="4146" spans="1:4" ht="38.25" x14ac:dyDescent="0.25">
      <c r="A4146" s="104">
        <v>96831</v>
      </c>
      <c r="B4146" s="105" t="s">
        <v>4217</v>
      </c>
      <c r="C4146" s="106" t="s">
        <v>801</v>
      </c>
      <c r="D4146" s="107">
        <v>19.010000000000002</v>
      </c>
    </row>
    <row r="4147" spans="1:4" ht="38.25" x14ac:dyDescent="0.25">
      <c r="A4147" s="104">
        <v>96832</v>
      </c>
      <c r="B4147" s="105" t="s">
        <v>4218</v>
      </c>
      <c r="C4147" s="106" t="s">
        <v>801</v>
      </c>
      <c r="D4147" s="107">
        <v>22.01</v>
      </c>
    </row>
    <row r="4148" spans="1:4" ht="38.25" x14ac:dyDescent="0.25">
      <c r="A4148" s="104">
        <v>96833</v>
      </c>
      <c r="B4148" s="105" t="s">
        <v>4219</v>
      </c>
      <c r="C4148" s="106" t="s">
        <v>801</v>
      </c>
      <c r="D4148" s="107">
        <v>20.6</v>
      </c>
    </row>
    <row r="4149" spans="1:4" ht="25.5" x14ac:dyDescent="0.25">
      <c r="A4149" s="104">
        <v>96834</v>
      </c>
      <c r="B4149" s="105" t="s">
        <v>4220</v>
      </c>
      <c r="C4149" s="106" t="s">
        <v>801</v>
      </c>
      <c r="D4149" s="107">
        <v>34.14</v>
      </c>
    </row>
    <row r="4150" spans="1:4" ht="38.25" x14ac:dyDescent="0.25">
      <c r="A4150" s="104">
        <v>96835</v>
      </c>
      <c r="B4150" s="105" t="s">
        <v>4221</v>
      </c>
      <c r="C4150" s="106" t="s">
        <v>801</v>
      </c>
      <c r="D4150" s="107">
        <v>29.47</v>
      </c>
    </row>
    <row r="4151" spans="1:4" ht="38.25" x14ac:dyDescent="0.25">
      <c r="A4151" s="104">
        <v>96836</v>
      </c>
      <c r="B4151" s="105" t="s">
        <v>4222</v>
      </c>
      <c r="C4151" s="106" t="s">
        <v>801</v>
      </c>
      <c r="D4151" s="107">
        <v>31.41</v>
      </c>
    </row>
    <row r="4152" spans="1:4" ht="38.25" x14ac:dyDescent="0.25">
      <c r="A4152" s="104">
        <v>96837</v>
      </c>
      <c r="B4152" s="105" t="s">
        <v>4223</v>
      </c>
      <c r="C4152" s="106" t="s">
        <v>801</v>
      </c>
      <c r="D4152" s="107">
        <v>16.84</v>
      </c>
    </row>
    <row r="4153" spans="1:4" ht="38.25" x14ac:dyDescent="0.25">
      <c r="A4153" s="104">
        <v>96838</v>
      </c>
      <c r="B4153" s="105" t="s">
        <v>4224</v>
      </c>
      <c r="C4153" s="106" t="s">
        <v>801</v>
      </c>
      <c r="D4153" s="107">
        <v>15.45</v>
      </c>
    </row>
    <row r="4154" spans="1:4" ht="38.25" x14ac:dyDescent="0.25">
      <c r="A4154" s="104">
        <v>96839</v>
      </c>
      <c r="B4154" s="105" t="s">
        <v>4225</v>
      </c>
      <c r="C4154" s="106" t="s">
        <v>801</v>
      </c>
      <c r="D4154" s="107">
        <v>15.2</v>
      </c>
    </row>
    <row r="4155" spans="1:4" ht="38.25" x14ac:dyDescent="0.25">
      <c r="A4155" s="104">
        <v>96840</v>
      </c>
      <c r="B4155" s="105" t="s">
        <v>4226</v>
      </c>
      <c r="C4155" s="106" t="s">
        <v>801</v>
      </c>
      <c r="D4155" s="107">
        <v>19.670000000000002</v>
      </c>
    </row>
    <row r="4156" spans="1:4" ht="38.25" x14ac:dyDescent="0.25">
      <c r="A4156" s="104">
        <v>96841</v>
      </c>
      <c r="B4156" s="105" t="s">
        <v>4227</v>
      </c>
      <c r="C4156" s="106" t="s">
        <v>801</v>
      </c>
      <c r="D4156" s="107">
        <v>17.16</v>
      </c>
    </row>
    <row r="4157" spans="1:4" ht="38.25" x14ac:dyDescent="0.25">
      <c r="A4157" s="104">
        <v>96842</v>
      </c>
      <c r="B4157" s="105" t="s">
        <v>4228</v>
      </c>
      <c r="C4157" s="106" t="s">
        <v>801</v>
      </c>
      <c r="D4157" s="107">
        <v>21.97</v>
      </c>
    </row>
    <row r="4158" spans="1:4" ht="38.25" x14ac:dyDescent="0.25">
      <c r="A4158" s="104">
        <v>96843</v>
      </c>
      <c r="B4158" s="105" t="s">
        <v>4229</v>
      </c>
      <c r="C4158" s="106" t="s">
        <v>801</v>
      </c>
      <c r="D4158" s="107">
        <v>21.11</v>
      </c>
    </row>
    <row r="4159" spans="1:4" ht="38.25" x14ac:dyDescent="0.25">
      <c r="A4159" s="104">
        <v>96844</v>
      </c>
      <c r="B4159" s="105" t="s">
        <v>4230</v>
      </c>
      <c r="C4159" s="106" t="s">
        <v>801</v>
      </c>
      <c r="D4159" s="107">
        <v>28.94</v>
      </c>
    </row>
    <row r="4160" spans="1:4" ht="38.25" x14ac:dyDescent="0.25">
      <c r="A4160" s="104">
        <v>96845</v>
      </c>
      <c r="B4160" s="105" t="s">
        <v>4231</v>
      </c>
      <c r="C4160" s="106" t="s">
        <v>801</v>
      </c>
      <c r="D4160" s="107">
        <v>30.93</v>
      </c>
    </row>
    <row r="4161" spans="1:4" ht="38.25" x14ac:dyDescent="0.25">
      <c r="A4161" s="104">
        <v>96846</v>
      </c>
      <c r="B4161" s="105" t="s">
        <v>4232</v>
      </c>
      <c r="C4161" s="106" t="s">
        <v>801</v>
      </c>
      <c r="D4161" s="107">
        <v>24.24</v>
      </c>
    </row>
    <row r="4162" spans="1:4" ht="38.25" x14ac:dyDescent="0.25">
      <c r="A4162" s="104">
        <v>96847</v>
      </c>
      <c r="B4162" s="105" t="s">
        <v>4233</v>
      </c>
      <c r="C4162" s="106" t="s">
        <v>801</v>
      </c>
      <c r="D4162" s="107">
        <v>26.69</v>
      </c>
    </row>
    <row r="4163" spans="1:4" ht="38.25" x14ac:dyDescent="0.25">
      <c r="A4163" s="104">
        <v>96848</v>
      </c>
      <c r="B4163" s="105" t="s">
        <v>4234</v>
      </c>
      <c r="C4163" s="106" t="s">
        <v>801</v>
      </c>
      <c r="D4163" s="107">
        <v>40.14</v>
      </c>
    </row>
    <row r="4164" spans="1:4" ht="25.5" x14ac:dyDescent="0.25">
      <c r="A4164" s="104">
        <v>96849</v>
      </c>
      <c r="B4164" s="105" t="s">
        <v>4235</v>
      </c>
      <c r="C4164" s="106" t="s">
        <v>801</v>
      </c>
      <c r="D4164" s="107">
        <v>14.52</v>
      </c>
    </row>
    <row r="4165" spans="1:4" ht="38.25" x14ac:dyDescent="0.25">
      <c r="A4165" s="104">
        <v>96850</v>
      </c>
      <c r="B4165" s="105" t="s">
        <v>4236</v>
      </c>
      <c r="C4165" s="106" t="s">
        <v>801</v>
      </c>
      <c r="D4165" s="107">
        <v>17.03</v>
      </c>
    </row>
    <row r="4166" spans="1:4" ht="38.25" x14ac:dyDescent="0.25">
      <c r="A4166" s="104">
        <v>96851</v>
      </c>
      <c r="B4166" s="105" t="s">
        <v>4237</v>
      </c>
      <c r="C4166" s="106" t="s">
        <v>801</v>
      </c>
      <c r="D4166" s="107">
        <v>22.63</v>
      </c>
    </row>
    <row r="4167" spans="1:4" ht="25.5" x14ac:dyDescent="0.25">
      <c r="A4167" s="104">
        <v>96852</v>
      </c>
      <c r="B4167" s="105" t="s">
        <v>4238</v>
      </c>
      <c r="C4167" s="106" t="s">
        <v>801</v>
      </c>
      <c r="D4167" s="107">
        <v>19.37</v>
      </c>
    </row>
    <row r="4168" spans="1:4" ht="38.25" x14ac:dyDescent="0.25">
      <c r="A4168" s="104">
        <v>96853</v>
      </c>
      <c r="B4168" s="105" t="s">
        <v>4239</v>
      </c>
      <c r="C4168" s="106" t="s">
        <v>801</v>
      </c>
      <c r="D4168" s="107">
        <v>21.82</v>
      </c>
    </row>
    <row r="4169" spans="1:4" ht="38.25" x14ac:dyDescent="0.25">
      <c r="A4169" s="104">
        <v>96854</v>
      </c>
      <c r="B4169" s="105" t="s">
        <v>4240</v>
      </c>
      <c r="C4169" s="106" t="s">
        <v>801</v>
      </c>
      <c r="D4169" s="107">
        <v>26.15</v>
      </c>
    </row>
    <row r="4170" spans="1:4" ht="25.5" x14ac:dyDescent="0.25">
      <c r="A4170" s="104">
        <v>96855</v>
      </c>
      <c r="B4170" s="105" t="s">
        <v>4241</v>
      </c>
      <c r="C4170" s="106" t="s">
        <v>801</v>
      </c>
      <c r="D4170" s="107">
        <v>24.06</v>
      </c>
    </row>
    <row r="4171" spans="1:4" ht="38.25" x14ac:dyDescent="0.25">
      <c r="A4171" s="104">
        <v>96856</v>
      </c>
      <c r="B4171" s="105" t="s">
        <v>4242</v>
      </c>
      <c r="C4171" s="106" t="s">
        <v>801</v>
      </c>
      <c r="D4171" s="107">
        <v>24.42</v>
      </c>
    </row>
    <row r="4172" spans="1:4" ht="38.25" x14ac:dyDescent="0.25">
      <c r="A4172" s="104">
        <v>96857</v>
      </c>
      <c r="B4172" s="105" t="s">
        <v>4243</v>
      </c>
      <c r="C4172" s="106" t="s">
        <v>801</v>
      </c>
      <c r="D4172" s="107">
        <v>39.08</v>
      </c>
    </row>
    <row r="4173" spans="1:4" ht="25.5" x14ac:dyDescent="0.25">
      <c r="A4173" s="104">
        <v>96858</v>
      </c>
      <c r="B4173" s="105" t="s">
        <v>4244</v>
      </c>
      <c r="C4173" s="106" t="s">
        <v>801</v>
      </c>
      <c r="D4173" s="107">
        <v>39.43</v>
      </c>
    </row>
    <row r="4174" spans="1:4" ht="38.25" x14ac:dyDescent="0.25">
      <c r="A4174" s="104">
        <v>96859</v>
      </c>
      <c r="B4174" s="105" t="s">
        <v>4245</v>
      </c>
      <c r="C4174" s="106" t="s">
        <v>801</v>
      </c>
      <c r="D4174" s="107">
        <v>48.96</v>
      </c>
    </row>
    <row r="4175" spans="1:4" ht="25.5" x14ac:dyDescent="0.25">
      <c r="A4175" s="104">
        <v>96860</v>
      </c>
      <c r="B4175" s="105" t="s">
        <v>4246</v>
      </c>
      <c r="C4175" s="106" t="s">
        <v>801</v>
      </c>
      <c r="D4175" s="107">
        <v>19.48</v>
      </c>
    </row>
    <row r="4176" spans="1:4" ht="38.25" x14ac:dyDescent="0.25">
      <c r="A4176" s="104">
        <v>96861</v>
      </c>
      <c r="B4176" s="105" t="s">
        <v>4247</v>
      </c>
      <c r="C4176" s="106" t="s">
        <v>801</v>
      </c>
      <c r="D4176" s="107">
        <v>21.07</v>
      </c>
    </row>
    <row r="4177" spans="1:4" ht="25.5" x14ac:dyDescent="0.25">
      <c r="A4177" s="104">
        <v>96862</v>
      </c>
      <c r="B4177" s="105" t="s">
        <v>4248</v>
      </c>
      <c r="C4177" s="106" t="s">
        <v>801</v>
      </c>
      <c r="D4177" s="107">
        <v>23.5</v>
      </c>
    </row>
    <row r="4178" spans="1:4" ht="38.25" x14ac:dyDescent="0.25">
      <c r="A4178" s="104">
        <v>96863</v>
      </c>
      <c r="B4178" s="105" t="s">
        <v>4249</v>
      </c>
      <c r="C4178" s="106" t="s">
        <v>801</v>
      </c>
      <c r="D4178" s="107">
        <v>23.23</v>
      </c>
    </row>
    <row r="4179" spans="1:4" ht="25.5" x14ac:dyDescent="0.25">
      <c r="A4179" s="104">
        <v>96864</v>
      </c>
      <c r="B4179" s="105" t="s">
        <v>4250</v>
      </c>
      <c r="C4179" s="106" t="s">
        <v>801</v>
      </c>
      <c r="D4179" s="107">
        <v>36.99</v>
      </c>
    </row>
    <row r="4180" spans="1:4" ht="38.25" x14ac:dyDescent="0.25">
      <c r="A4180" s="104">
        <v>96865</v>
      </c>
      <c r="B4180" s="105" t="s">
        <v>4251</v>
      </c>
      <c r="C4180" s="106" t="s">
        <v>801</v>
      </c>
      <c r="D4180" s="107">
        <v>36.22</v>
      </c>
    </row>
    <row r="4181" spans="1:4" ht="25.5" x14ac:dyDescent="0.25">
      <c r="A4181" s="104">
        <v>96866</v>
      </c>
      <c r="B4181" s="105" t="s">
        <v>4252</v>
      </c>
      <c r="C4181" s="106" t="s">
        <v>801</v>
      </c>
      <c r="D4181" s="107">
        <v>48.67</v>
      </c>
    </row>
    <row r="4182" spans="1:4" ht="38.25" x14ac:dyDescent="0.25">
      <c r="A4182" s="104">
        <v>96867</v>
      </c>
      <c r="B4182" s="105" t="s">
        <v>4253</v>
      </c>
      <c r="C4182" s="106" t="s">
        <v>801</v>
      </c>
      <c r="D4182" s="107">
        <v>56.67</v>
      </c>
    </row>
    <row r="4183" spans="1:4" ht="25.5" x14ac:dyDescent="0.25">
      <c r="A4183" s="104">
        <v>96868</v>
      </c>
      <c r="B4183" s="105" t="s">
        <v>4254</v>
      </c>
      <c r="C4183" s="106" t="s">
        <v>801</v>
      </c>
      <c r="D4183" s="107">
        <v>22.56</v>
      </c>
    </row>
    <row r="4184" spans="1:4" ht="25.5" x14ac:dyDescent="0.25">
      <c r="A4184" s="104">
        <v>96869</v>
      </c>
      <c r="B4184" s="105" t="s">
        <v>4255</v>
      </c>
      <c r="C4184" s="106" t="s">
        <v>801</v>
      </c>
      <c r="D4184" s="107">
        <v>26.95</v>
      </c>
    </row>
    <row r="4185" spans="1:4" ht="25.5" x14ac:dyDescent="0.25">
      <c r="A4185" s="104">
        <v>96870</v>
      </c>
      <c r="B4185" s="105" t="s">
        <v>4256</v>
      </c>
      <c r="C4185" s="106" t="s">
        <v>801</v>
      </c>
      <c r="D4185" s="107">
        <v>42.71</v>
      </c>
    </row>
    <row r="4186" spans="1:4" ht="25.5" x14ac:dyDescent="0.25">
      <c r="A4186" s="104">
        <v>96871</v>
      </c>
      <c r="B4186" s="105" t="s">
        <v>4257</v>
      </c>
      <c r="C4186" s="106" t="s">
        <v>801</v>
      </c>
      <c r="D4186" s="107">
        <v>62.01</v>
      </c>
    </row>
    <row r="4187" spans="1:4" ht="38.25" x14ac:dyDescent="0.25">
      <c r="A4187" s="104">
        <v>96872</v>
      </c>
      <c r="B4187" s="105" t="s">
        <v>4258</v>
      </c>
      <c r="C4187" s="106" t="s">
        <v>801</v>
      </c>
      <c r="D4187" s="107">
        <v>58.35</v>
      </c>
    </row>
    <row r="4188" spans="1:4" ht="38.25" x14ac:dyDescent="0.25">
      <c r="A4188" s="104">
        <v>96873</v>
      </c>
      <c r="B4188" s="105" t="s">
        <v>4259</v>
      </c>
      <c r="C4188" s="106" t="s">
        <v>801</v>
      </c>
      <c r="D4188" s="107">
        <v>67.17</v>
      </c>
    </row>
    <row r="4189" spans="1:4" ht="38.25" x14ac:dyDescent="0.25">
      <c r="A4189" s="104">
        <v>96874</v>
      </c>
      <c r="B4189" s="105" t="s">
        <v>4260</v>
      </c>
      <c r="C4189" s="106" t="s">
        <v>801</v>
      </c>
      <c r="D4189" s="107">
        <v>70.59</v>
      </c>
    </row>
    <row r="4190" spans="1:4" ht="38.25" x14ac:dyDescent="0.25">
      <c r="A4190" s="104">
        <v>96875</v>
      </c>
      <c r="B4190" s="105" t="s">
        <v>4261</v>
      </c>
      <c r="C4190" s="106" t="s">
        <v>801</v>
      </c>
      <c r="D4190" s="107">
        <v>84.78</v>
      </c>
    </row>
    <row r="4191" spans="1:4" ht="38.25" x14ac:dyDescent="0.25">
      <c r="A4191" s="104">
        <v>96876</v>
      </c>
      <c r="B4191" s="105" t="s">
        <v>4262</v>
      </c>
      <c r="C4191" s="106" t="s">
        <v>801</v>
      </c>
      <c r="D4191" s="107">
        <v>148.85</v>
      </c>
    </row>
    <row r="4192" spans="1:4" ht="38.25" x14ac:dyDescent="0.25">
      <c r="A4192" s="104">
        <v>96877</v>
      </c>
      <c r="B4192" s="105" t="s">
        <v>4263</v>
      </c>
      <c r="C4192" s="106" t="s">
        <v>801</v>
      </c>
      <c r="D4192" s="107">
        <v>159.15</v>
      </c>
    </row>
    <row r="4193" spans="1:4" ht="38.25" x14ac:dyDescent="0.25">
      <c r="A4193" s="104">
        <v>96878</v>
      </c>
      <c r="B4193" s="105" t="s">
        <v>4264</v>
      </c>
      <c r="C4193" s="106" t="s">
        <v>801</v>
      </c>
      <c r="D4193" s="107">
        <v>161.07</v>
      </c>
    </row>
    <row r="4194" spans="1:4" ht="38.25" x14ac:dyDescent="0.25">
      <c r="A4194" s="104">
        <v>96879</v>
      </c>
      <c r="B4194" s="105" t="s">
        <v>4265</v>
      </c>
      <c r="C4194" s="106" t="s">
        <v>801</v>
      </c>
      <c r="D4194" s="107">
        <v>161.51</v>
      </c>
    </row>
    <row r="4195" spans="1:4" ht="38.25" x14ac:dyDescent="0.25">
      <c r="A4195" s="104">
        <v>96880</v>
      </c>
      <c r="B4195" s="105" t="s">
        <v>4266</v>
      </c>
      <c r="C4195" s="106" t="s">
        <v>801</v>
      </c>
      <c r="D4195" s="107">
        <v>184.58</v>
      </c>
    </row>
    <row r="4196" spans="1:4" ht="38.25" x14ac:dyDescent="0.25">
      <c r="A4196" s="104">
        <v>96881</v>
      </c>
      <c r="B4196" s="105" t="s">
        <v>4267</v>
      </c>
      <c r="C4196" s="106" t="s">
        <v>801</v>
      </c>
      <c r="D4196" s="107">
        <v>195.04</v>
      </c>
    </row>
    <row r="4197" spans="1:4" ht="38.25" x14ac:dyDescent="0.25">
      <c r="A4197" s="104">
        <v>97425</v>
      </c>
      <c r="B4197" s="105" t="s">
        <v>4268</v>
      </c>
      <c r="C4197" s="106" t="s">
        <v>801</v>
      </c>
      <c r="D4197" s="107">
        <v>18.16</v>
      </c>
    </row>
    <row r="4198" spans="1:4" ht="38.25" x14ac:dyDescent="0.25">
      <c r="A4198" s="104">
        <v>97426</v>
      </c>
      <c r="B4198" s="105" t="s">
        <v>4269</v>
      </c>
      <c r="C4198" s="106" t="s">
        <v>801</v>
      </c>
      <c r="D4198" s="107">
        <v>21.68</v>
      </c>
    </row>
    <row r="4199" spans="1:4" ht="38.25" x14ac:dyDescent="0.25">
      <c r="A4199" s="104">
        <v>97427</v>
      </c>
      <c r="B4199" s="105" t="s">
        <v>4270</v>
      </c>
      <c r="C4199" s="106" t="s">
        <v>801</v>
      </c>
      <c r="D4199" s="107">
        <v>24.35</v>
      </c>
    </row>
    <row r="4200" spans="1:4" ht="38.25" x14ac:dyDescent="0.25">
      <c r="A4200" s="104">
        <v>97428</v>
      </c>
      <c r="B4200" s="105" t="s">
        <v>4271</v>
      </c>
      <c r="C4200" s="106" t="s">
        <v>801</v>
      </c>
      <c r="D4200" s="107">
        <v>30.53</v>
      </c>
    </row>
    <row r="4201" spans="1:4" ht="38.25" x14ac:dyDescent="0.25">
      <c r="A4201" s="104">
        <v>97429</v>
      </c>
      <c r="B4201" s="105" t="s">
        <v>4272</v>
      </c>
      <c r="C4201" s="106" t="s">
        <v>801</v>
      </c>
      <c r="D4201" s="107">
        <v>36.22</v>
      </c>
    </row>
    <row r="4202" spans="1:4" ht="38.25" x14ac:dyDescent="0.25">
      <c r="A4202" s="104">
        <v>97430</v>
      </c>
      <c r="B4202" s="105" t="s">
        <v>4273</v>
      </c>
      <c r="C4202" s="106" t="s">
        <v>801</v>
      </c>
      <c r="D4202" s="107">
        <v>31.83</v>
      </c>
    </row>
    <row r="4203" spans="1:4" ht="38.25" x14ac:dyDescent="0.25">
      <c r="A4203" s="104">
        <v>97431</v>
      </c>
      <c r="B4203" s="105" t="s">
        <v>4274</v>
      </c>
      <c r="C4203" s="106" t="s">
        <v>801</v>
      </c>
      <c r="D4203" s="107">
        <v>35.369999999999997</v>
      </c>
    </row>
    <row r="4204" spans="1:4" ht="38.25" x14ac:dyDescent="0.25">
      <c r="A4204" s="104">
        <v>97432</v>
      </c>
      <c r="B4204" s="105" t="s">
        <v>4275</v>
      </c>
      <c r="C4204" s="106" t="s">
        <v>801</v>
      </c>
      <c r="D4204" s="107">
        <v>39.909999999999997</v>
      </c>
    </row>
    <row r="4205" spans="1:4" ht="38.25" x14ac:dyDescent="0.25">
      <c r="A4205" s="104">
        <v>97433</v>
      </c>
      <c r="B4205" s="105" t="s">
        <v>4276</v>
      </c>
      <c r="C4205" s="106" t="s">
        <v>801</v>
      </c>
      <c r="D4205" s="107">
        <v>75.790000000000006</v>
      </c>
    </row>
    <row r="4206" spans="1:4" ht="38.25" x14ac:dyDescent="0.25">
      <c r="A4206" s="104">
        <v>97434</v>
      </c>
      <c r="B4206" s="105" t="s">
        <v>4277</v>
      </c>
      <c r="C4206" s="106" t="s">
        <v>801</v>
      </c>
      <c r="D4206" s="107">
        <v>77.319999999999993</v>
      </c>
    </row>
    <row r="4207" spans="1:4" ht="38.25" x14ac:dyDescent="0.25">
      <c r="A4207" s="104">
        <v>97435</v>
      </c>
      <c r="B4207" s="105" t="s">
        <v>4278</v>
      </c>
      <c r="C4207" s="106" t="s">
        <v>801</v>
      </c>
      <c r="D4207" s="107">
        <v>88.79</v>
      </c>
    </row>
    <row r="4208" spans="1:4" ht="38.25" x14ac:dyDescent="0.25">
      <c r="A4208" s="104">
        <v>97436</v>
      </c>
      <c r="B4208" s="105" t="s">
        <v>4279</v>
      </c>
      <c r="C4208" s="106" t="s">
        <v>801</v>
      </c>
      <c r="D4208" s="107">
        <v>91.73</v>
      </c>
    </row>
    <row r="4209" spans="1:4" ht="38.25" x14ac:dyDescent="0.25">
      <c r="A4209" s="104">
        <v>97437</v>
      </c>
      <c r="B4209" s="105" t="s">
        <v>4280</v>
      </c>
      <c r="C4209" s="106" t="s">
        <v>801</v>
      </c>
      <c r="D4209" s="107">
        <v>101.72</v>
      </c>
    </row>
    <row r="4210" spans="1:4" ht="38.25" x14ac:dyDescent="0.25">
      <c r="A4210" s="104">
        <v>97438</v>
      </c>
      <c r="B4210" s="105" t="s">
        <v>4281</v>
      </c>
      <c r="C4210" s="106" t="s">
        <v>801</v>
      </c>
      <c r="D4210" s="107">
        <v>104.88</v>
      </c>
    </row>
    <row r="4211" spans="1:4" ht="25.5" x14ac:dyDescent="0.25">
      <c r="A4211" s="104">
        <v>97439</v>
      </c>
      <c r="B4211" s="105" t="s">
        <v>4282</v>
      </c>
      <c r="C4211" s="106" t="s">
        <v>801</v>
      </c>
      <c r="D4211" s="107">
        <v>115.77</v>
      </c>
    </row>
    <row r="4212" spans="1:4" ht="25.5" x14ac:dyDescent="0.25">
      <c r="A4212" s="104">
        <v>97440</v>
      </c>
      <c r="B4212" s="105" t="s">
        <v>4283</v>
      </c>
      <c r="C4212" s="106" t="s">
        <v>801</v>
      </c>
      <c r="D4212" s="107">
        <v>139.19999999999999</v>
      </c>
    </row>
    <row r="4213" spans="1:4" ht="25.5" x14ac:dyDescent="0.25">
      <c r="A4213" s="104">
        <v>97442</v>
      </c>
      <c r="B4213" s="105" t="s">
        <v>4284</v>
      </c>
      <c r="C4213" s="106" t="s">
        <v>801</v>
      </c>
      <c r="D4213" s="107">
        <v>153.43</v>
      </c>
    </row>
    <row r="4214" spans="1:4" ht="25.5" x14ac:dyDescent="0.25">
      <c r="A4214" s="104">
        <v>97443</v>
      </c>
      <c r="B4214" s="105" t="s">
        <v>4285</v>
      </c>
      <c r="C4214" s="106" t="s">
        <v>801</v>
      </c>
      <c r="D4214" s="107">
        <v>68.88</v>
      </c>
    </row>
    <row r="4215" spans="1:4" ht="38.25" x14ac:dyDescent="0.25">
      <c r="A4215" s="104">
        <v>97444</v>
      </c>
      <c r="B4215" s="105" t="s">
        <v>4286</v>
      </c>
      <c r="C4215" s="106" t="s">
        <v>801</v>
      </c>
      <c r="D4215" s="107">
        <v>81.06</v>
      </c>
    </row>
    <row r="4216" spans="1:4" ht="25.5" x14ac:dyDescent="0.25">
      <c r="A4216" s="104">
        <v>97446</v>
      </c>
      <c r="B4216" s="105" t="s">
        <v>4287</v>
      </c>
      <c r="C4216" s="106" t="s">
        <v>801</v>
      </c>
      <c r="D4216" s="107">
        <v>139.96</v>
      </c>
    </row>
    <row r="4217" spans="1:4" ht="38.25" x14ac:dyDescent="0.25">
      <c r="A4217" s="104">
        <v>97447</v>
      </c>
      <c r="B4217" s="105" t="s">
        <v>4288</v>
      </c>
      <c r="C4217" s="106" t="s">
        <v>801</v>
      </c>
      <c r="D4217" s="107">
        <v>139.96</v>
      </c>
    </row>
    <row r="4218" spans="1:4" ht="25.5" x14ac:dyDescent="0.25">
      <c r="A4218" s="104">
        <v>97449</v>
      </c>
      <c r="B4218" s="105" t="s">
        <v>4289</v>
      </c>
      <c r="C4218" s="106" t="s">
        <v>801</v>
      </c>
      <c r="D4218" s="107">
        <v>148.94</v>
      </c>
    </row>
    <row r="4219" spans="1:4" ht="38.25" x14ac:dyDescent="0.25">
      <c r="A4219" s="104">
        <v>97450</v>
      </c>
      <c r="B4219" s="105" t="s">
        <v>4290</v>
      </c>
      <c r="C4219" s="106" t="s">
        <v>801</v>
      </c>
      <c r="D4219" s="107">
        <v>182.1</v>
      </c>
    </row>
    <row r="4220" spans="1:4" ht="25.5" x14ac:dyDescent="0.25">
      <c r="A4220" s="104">
        <v>97452</v>
      </c>
      <c r="B4220" s="105" t="s">
        <v>4291</v>
      </c>
      <c r="C4220" s="106" t="s">
        <v>801</v>
      </c>
      <c r="D4220" s="107">
        <v>113.45</v>
      </c>
    </row>
    <row r="4221" spans="1:4" ht="25.5" x14ac:dyDescent="0.25">
      <c r="A4221" s="104">
        <v>97453</v>
      </c>
      <c r="B4221" s="105" t="s">
        <v>4292</v>
      </c>
      <c r="C4221" s="106" t="s">
        <v>801</v>
      </c>
      <c r="D4221" s="107">
        <v>120.4</v>
      </c>
    </row>
    <row r="4222" spans="1:4" ht="38.25" x14ac:dyDescent="0.25">
      <c r="A4222" s="104">
        <v>97454</v>
      </c>
      <c r="B4222" s="105" t="s">
        <v>4293</v>
      </c>
      <c r="C4222" s="106" t="s">
        <v>801</v>
      </c>
      <c r="D4222" s="107">
        <v>192.66</v>
      </c>
    </row>
    <row r="4223" spans="1:4" ht="38.25" x14ac:dyDescent="0.25">
      <c r="A4223" s="104">
        <v>97455</v>
      </c>
      <c r="B4223" s="105" t="s">
        <v>4294</v>
      </c>
      <c r="C4223" s="106" t="s">
        <v>801</v>
      </c>
      <c r="D4223" s="107">
        <v>203.77</v>
      </c>
    </row>
    <row r="4224" spans="1:4" ht="25.5" x14ac:dyDescent="0.25">
      <c r="A4224" s="104">
        <v>97456</v>
      </c>
      <c r="B4224" s="105" t="s">
        <v>4295</v>
      </c>
      <c r="C4224" s="106" t="s">
        <v>801</v>
      </c>
      <c r="D4224" s="107">
        <v>435.92</v>
      </c>
    </row>
    <row r="4225" spans="1:4" ht="25.5" x14ac:dyDescent="0.25">
      <c r="A4225" s="104">
        <v>97457</v>
      </c>
      <c r="B4225" s="105" t="s">
        <v>4296</v>
      </c>
      <c r="C4225" s="106" t="s">
        <v>801</v>
      </c>
      <c r="D4225" s="107">
        <v>386.05</v>
      </c>
    </row>
    <row r="4226" spans="1:4" ht="25.5" x14ac:dyDescent="0.25">
      <c r="A4226" s="104">
        <v>97458</v>
      </c>
      <c r="B4226" s="105" t="s">
        <v>4297</v>
      </c>
      <c r="C4226" s="106" t="s">
        <v>801</v>
      </c>
      <c r="D4226" s="107">
        <v>179.14</v>
      </c>
    </row>
    <row r="4227" spans="1:4" ht="25.5" x14ac:dyDescent="0.25">
      <c r="A4227" s="104">
        <v>97459</v>
      </c>
      <c r="B4227" s="105" t="s">
        <v>4298</v>
      </c>
      <c r="C4227" s="106" t="s">
        <v>801</v>
      </c>
      <c r="D4227" s="107">
        <v>306.72000000000003</v>
      </c>
    </row>
    <row r="4228" spans="1:4" ht="25.5" x14ac:dyDescent="0.25">
      <c r="A4228" s="104">
        <v>97460</v>
      </c>
      <c r="B4228" s="105" t="s">
        <v>4299</v>
      </c>
      <c r="C4228" s="106" t="s">
        <v>801</v>
      </c>
      <c r="D4228" s="107">
        <v>471.1</v>
      </c>
    </row>
    <row r="4229" spans="1:4" ht="38.25" x14ac:dyDescent="0.25">
      <c r="A4229" s="104">
        <v>97461</v>
      </c>
      <c r="B4229" s="105" t="s">
        <v>4300</v>
      </c>
      <c r="C4229" s="106" t="s">
        <v>801</v>
      </c>
      <c r="D4229" s="107">
        <v>21.65</v>
      </c>
    </row>
    <row r="4230" spans="1:4" ht="38.25" x14ac:dyDescent="0.25">
      <c r="A4230" s="104">
        <v>97462</v>
      </c>
      <c r="B4230" s="105" t="s">
        <v>4301</v>
      </c>
      <c r="C4230" s="106" t="s">
        <v>801</v>
      </c>
      <c r="D4230" s="107">
        <v>18.079999999999998</v>
      </c>
    </row>
    <row r="4231" spans="1:4" ht="38.25" x14ac:dyDescent="0.25">
      <c r="A4231" s="104">
        <v>97464</v>
      </c>
      <c r="B4231" s="105" t="s">
        <v>4302</v>
      </c>
      <c r="C4231" s="106" t="s">
        <v>801</v>
      </c>
      <c r="D4231" s="107">
        <v>31.18</v>
      </c>
    </row>
    <row r="4232" spans="1:4" ht="38.25" x14ac:dyDescent="0.25">
      <c r="A4232" s="104">
        <v>97465</v>
      </c>
      <c r="B4232" s="105" t="s">
        <v>4303</v>
      </c>
      <c r="C4232" s="106" t="s">
        <v>801</v>
      </c>
      <c r="D4232" s="107">
        <v>37.200000000000003</v>
      </c>
    </row>
    <row r="4233" spans="1:4" ht="38.25" x14ac:dyDescent="0.25">
      <c r="A4233" s="104">
        <v>97467</v>
      </c>
      <c r="B4233" s="105" t="s">
        <v>4304</v>
      </c>
      <c r="C4233" s="106" t="s">
        <v>801</v>
      </c>
      <c r="D4233" s="107">
        <v>39.56</v>
      </c>
    </row>
    <row r="4234" spans="1:4" ht="38.25" x14ac:dyDescent="0.25">
      <c r="A4234" s="104">
        <v>97468</v>
      </c>
      <c r="B4234" s="105" t="s">
        <v>4305</v>
      </c>
      <c r="C4234" s="106" t="s">
        <v>801</v>
      </c>
      <c r="D4234" s="107">
        <v>47.26</v>
      </c>
    </row>
    <row r="4235" spans="1:4" ht="38.25" x14ac:dyDescent="0.25">
      <c r="A4235" s="104">
        <v>97470</v>
      </c>
      <c r="B4235" s="105" t="s">
        <v>4306</v>
      </c>
      <c r="C4235" s="106" t="s">
        <v>801</v>
      </c>
      <c r="D4235" s="107">
        <v>58.41</v>
      </c>
    </row>
    <row r="4236" spans="1:4" ht="38.25" x14ac:dyDescent="0.25">
      <c r="A4236" s="104">
        <v>97471</v>
      </c>
      <c r="B4236" s="105" t="s">
        <v>4307</v>
      </c>
      <c r="C4236" s="106" t="s">
        <v>801</v>
      </c>
      <c r="D4236" s="107">
        <v>70.59</v>
      </c>
    </row>
    <row r="4237" spans="1:4" ht="38.25" x14ac:dyDescent="0.25">
      <c r="A4237" s="104">
        <v>97474</v>
      </c>
      <c r="B4237" s="105" t="s">
        <v>4308</v>
      </c>
      <c r="C4237" s="106" t="s">
        <v>801</v>
      </c>
      <c r="D4237" s="107">
        <v>106.66</v>
      </c>
    </row>
    <row r="4238" spans="1:4" ht="38.25" x14ac:dyDescent="0.25">
      <c r="A4238" s="104">
        <v>97475</v>
      </c>
      <c r="B4238" s="105" t="s">
        <v>4309</v>
      </c>
      <c r="C4238" s="106" t="s">
        <v>801</v>
      </c>
      <c r="D4238" s="107">
        <v>131.27000000000001</v>
      </c>
    </row>
    <row r="4239" spans="1:4" ht="38.25" x14ac:dyDescent="0.25">
      <c r="A4239" s="104">
        <v>97477</v>
      </c>
      <c r="B4239" s="105" t="s">
        <v>4310</v>
      </c>
      <c r="C4239" s="106" t="s">
        <v>801</v>
      </c>
      <c r="D4239" s="107">
        <v>142.05000000000001</v>
      </c>
    </row>
    <row r="4240" spans="1:4" ht="38.25" x14ac:dyDescent="0.25">
      <c r="A4240" s="104">
        <v>97478</v>
      </c>
      <c r="B4240" s="105" t="s">
        <v>4311</v>
      </c>
      <c r="C4240" s="106" t="s">
        <v>801</v>
      </c>
      <c r="D4240" s="107">
        <v>175.21</v>
      </c>
    </row>
    <row r="4241" spans="1:4" ht="38.25" x14ac:dyDescent="0.25">
      <c r="A4241" s="104">
        <v>97479</v>
      </c>
      <c r="B4241" s="105" t="s">
        <v>4312</v>
      </c>
      <c r="C4241" s="106" t="s">
        <v>801</v>
      </c>
      <c r="D4241" s="107">
        <v>34.99</v>
      </c>
    </row>
    <row r="4242" spans="1:4" ht="38.25" x14ac:dyDescent="0.25">
      <c r="A4242" s="104">
        <v>97480</v>
      </c>
      <c r="B4242" s="105" t="s">
        <v>4313</v>
      </c>
      <c r="C4242" s="106" t="s">
        <v>801</v>
      </c>
      <c r="D4242" s="107">
        <v>34.99</v>
      </c>
    </row>
    <row r="4243" spans="1:4" ht="38.25" x14ac:dyDescent="0.25">
      <c r="A4243" s="104">
        <v>97481</v>
      </c>
      <c r="B4243" s="105" t="s">
        <v>4314</v>
      </c>
      <c r="C4243" s="106" t="s">
        <v>801</v>
      </c>
      <c r="D4243" s="107">
        <v>50.67</v>
      </c>
    </row>
    <row r="4244" spans="1:4" ht="38.25" x14ac:dyDescent="0.25">
      <c r="A4244" s="104">
        <v>97482</v>
      </c>
      <c r="B4244" s="105" t="s">
        <v>4315</v>
      </c>
      <c r="C4244" s="106" t="s">
        <v>801</v>
      </c>
      <c r="D4244" s="107">
        <v>50.67</v>
      </c>
    </row>
    <row r="4245" spans="1:4" ht="38.25" x14ac:dyDescent="0.25">
      <c r="A4245" s="104">
        <v>97483</v>
      </c>
      <c r="B4245" s="105" t="s">
        <v>4316</v>
      </c>
      <c r="C4245" s="106" t="s">
        <v>801</v>
      </c>
      <c r="D4245" s="107">
        <v>70.930000000000007</v>
      </c>
    </row>
    <row r="4246" spans="1:4" ht="38.25" x14ac:dyDescent="0.25">
      <c r="A4246" s="104">
        <v>97484</v>
      </c>
      <c r="B4246" s="105" t="s">
        <v>4317</v>
      </c>
      <c r="C4246" s="106" t="s">
        <v>801</v>
      </c>
      <c r="D4246" s="107">
        <v>70.930000000000007</v>
      </c>
    </row>
    <row r="4247" spans="1:4" ht="38.25" x14ac:dyDescent="0.25">
      <c r="A4247" s="104">
        <v>97485</v>
      </c>
      <c r="B4247" s="105" t="s">
        <v>4318</v>
      </c>
      <c r="C4247" s="106" t="s">
        <v>801</v>
      </c>
      <c r="D4247" s="107">
        <v>97.77</v>
      </c>
    </row>
    <row r="4248" spans="1:4" ht="38.25" x14ac:dyDescent="0.25">
      <c r="A4248" s="104">
        <v>97486</v>
      </c>
      <c r="B4248" s="105" t="s">
        <v>4319</v>
      </c>
      <c r="C4248" s="106" t="s">
        <v>801</v>
      </c>
      <c r="D4248" s="107">
        <v>104.72</v>
      </c>
    </row>
    <row r="4249" spans="1:4" ht="38.25" x14ac:dyDescent="0.25">
      <c r="A4249" s="104">
        <v>97487</v>
      </c>
      <c r="B4249" s="105" t="s">
        <v>4320</v>
      </c>
      <c r="C4249" s="106" t="s">
        <v>801</v>
      </c>
      <c r="D4249" s="107">
        <v>179.65</v>
      </c>
    </row>
    <row r="4250" spans="1:4" ht="38.25" x14ac:dyDescent="0.25">
      <c r="A4250" s="104">
        <v>97488</v>
      </c>
      <c r="B4250" s="105" t="s">
        <v>4321</v>
      </c>
      <c r="C4250" s="106" t="s">
        <v>801</v>
      </c>
      <c r="D4250" s="107">
        <v>190.76</v>
      </c>
    </row>
    <row r="4251" spans="1:4" ht="38.25" x14ac:dyDescent="0.25">
      <c r="A4251" s="104">
        <v>97489</v>
      </c>
      <c r="B4251" s="105" t="s">
        <v>4322</v>
      </c>
      <c r="C4251" s="106" t="s">
        <v>801</v>
      </c>
      <c r="D4251" s="107">
        <v>425.55</v>
      </c>
    </row>
    <row r="4252" spans="1:4" ht="38.25" x14ac:dyDescent="0.25">
      <c r="A4252" s="104">
        <v>97490</v>
      </c>
      <c r="B4252" s="105" t="s">
        <v>4323</v>
      </c>
      <c r="C4252" s="106" t="s">
        <v>801</v>
      </c>
      <c r="D4252" s="107">
        <v>375.68</v>
      </c>
    </row>
    <row r="4253" spans="1:4" ht="38.25" x14ac:dyDescent="0.25">
      <c r="A4253" s="104">
        <v>97491</v>
      </c>
      <c r="B4253" s="105" t="s">
        <v>4324</v>
      </c>
      <c r="C4253" s="106" t="s">
        <v>801</v>
      </c>
      <c r="D4253" s="107">
        <v>53.99</v>
      </c>
    </row>
    <row r="4254" spans="1:4" ht="38.25" x14ac:dyDescent="0.25">
      <c r="A4254" s="104">
        <v>97492</v>
      </c>
      <c r="B4254" s="105" t="s">
        <v>4325</v>
      </c>
      <c r="C4254" s="106" t="s">
        <v>801</v>
      </c>
      <c r="D4254" s="107">
        <v>79.150000000000006</v>
      </c>
    </row>
    <row r="4255" spans="1:4" ht="38.25" x14ac:dyDescent="0.25">
      <c r="A4255" s="104">
        <v>97493</v>
      </c>
      <c r="B4255" s="105" t="s">
        <v>4326</v>
      </c>
      <c r="C4255" s="106" t="s">
        <v>801</v>
      </c>
      <c r="D4255" s="107">
        <v>102.07</v>
      </c>
    </row>
    <row r="4256" spans="1:4" ht="38.25" x14ac:dyDescent="0.25">
      <c r="A4256" s="104">
        <v>97494</v>
      </c>
      <c r="B4256" s="105" t="s">
        <v>4327</v>
      </c>
      <c r="C4256" s="106" t="s">
        <v>801</v>
      </c>
      <c r="D4256" s="107">
        <v>158.19</v>
      </c>
    </row>
    <row r="4257" spans="1:4" ht="38.25" x14ac:dyDescent="0.25">
      <c r="A4257" s="104">
        <v>97495</v>
      </c>
      <c r="B4257" s="105" t="s">
        <v>4328</v>
      </c>
      <c r="C4257" s="106" t="s">
        <v>801</v>
      </c>
      <c r="D4257" s="107">
        <v>289.35000000000002</v>
      </c>
    </row>
    <row r="4258" spans="1:4" ht="38.25" x14ac:dyDescent="0.25">
      <c r="A4258" s="104">
        <v>97496</v>
      </c>
      <c r="B4258" s="105" t="s">
        <v>4329</v>
      </c>
      <c r="C4258" s="106" t="s">
        <v>801</v>
      </c>
      <c r="D4258" s="107">
        <v>457.31</v>
      </c>
    </row>
    <row r="4259" spans="1:4" ht="38.25" x14ac:dyDescent="0.25">
      <c r="A4259" s="104">
        <v>97499</v>
      </c>
      <c r="B4259" s="105" t="s">
        <v>4330</v>
      </c>
      <c r="C4259" s="106" t="s">
        <v>801</v>
      </c>
      <c r="D4259" s="107">
        <v>19.96</v>
      </c>
    </row>
    <row r="4260" spans="1:4" ht="38.25" x14ac:dyDescent="0.25">
      <c r="A4260" s="104">
        <v>97500</v>
      </c>
      <c r="B4260" s="105" t="s">
        <v>4331</v>
      </c>
      <c r="C4260" s="106" t="s">
        <v>801</v>
      </c>
      <c r="D4260" s="107">
        <v>16.39</v>
      </c>
    </row>
    <row r="4261" spans="1:4" ht="38.25" x14ac:dyDescent="0.25">
      <c r="A4261" s="104">
        <v>97502</v>
      </c>
      <c r="B4261" s="105" t="s">
        <v>4332</v>
      </c>
      <c r="C4261" s="106" t="s">
        <v>801</v>
      </c>
      <c r="D4261" s="107">
        <v>28.04</v>
      </c>
    </row>
    <row r="4262" spans="1:4" ht="38.25" x14ac:dyDescent="0.25">
      <c r="A4262" s="104">
        <v>97503</v>
      </c>
      <c r="B4262" s="105" t="s">
        <v>4333</v>
      </c>
      <c r="C4262" s="106" t="s">
        <v>801</v>
      </c>
      <c r="D4262" s="107">
        <v>34.22</v>
      </c>
    </row>
    <row r="4263" spans="1:4" ht="38.25" x14ac:dyDescent="0.25">
      <c r="A4263" s="104">
        <v>97505</v>
      </c>
      <c r="B4263" s="105" t="s">
        <v>4334</v>
      </c>
      <c r="C4263" s="106" t="s">
        <v>801</v>
      </c>
      <c r="D4263" s="107">
        <v>35.15</v>
      </c>
    </row>
    <row r="4264" spans="1:4" ht="38.25" x14ac:dyDescent="0.25">
      <c r="A4264" s="104">
        <v>97506</v>
      </c>
      <c r="B4264" s="105" t="s">
        <v>4335</v>
      </c>
      <c r="C4264" s="106" t="s">
        <v>801</v>
      </c>
      <c r="D4264" s="107">
        <v>42.85</v>
      </c>
    </row>
    <row r="4265" spans="1:4" ht="38.25" x14ac:dyDescent="0.25">
      <c r="A4265" s="104">
        <v>97508</v>
      </c>
      <c r="B4265" s="105" t="s">
        <v>4336</v>
      </c>
      <c r="C4265" s="106" t="s">
        <v>801</v>
      </c>
      <c r="D4265" s="107">
        <v>52.15</v>
      </c>
    </row>
    <row r="4266" spans="1:4" ht="38.25" x14ac:dyDescent="0.25">
      <c r="A4266" s="104">
        <v>97509</v>
      </c>
      <c r="B4266" s="105" t="s">
        <v>4337</v>
      </c>
      <c r="C4266" s="106" t="s">
        <v>801</v>
      </c>
      <c r="D4266" s="107">
        <v>64.33</v>
      </c>
    </row>
    <row r="4267" spans="1:4" ht="38.25" x14ac:dyDescent="0.25">
      <c r="A4267" s="104">
        <v>97511</v>
      </c>
      <c r="B4267" s="105" t="s">
        <v>4338</v>
      </c>
      <c r="C4267" s="106" t="s">
        <v>801</v>
      </c>
      <c r="D4267" s="107">
        <v>97.67</v>
      </c>
    </row>
    <row r="4268" spans="1:4" ht="38.25" x14ac:dyDescent="0.25">
      <c r="A4268" s="104">
        <v>97512</v>
      </c>
      <c r="B4268" s="105" t="s">
        <v>4339</v>
      </c>
      <c r="C4268" s="106" t="s">
        <v>801</v>
      </c>
      <c r="D4268" s="107">
        <v>122.28</v>
      </c>
    </row>
    <row r="4269" spans="1:4" ht="38.25" x14ac:dyDescent="0.25">
      <c r="A4269" s="104">
        <v>97514</v>
      </c>
      <c r="B4269" s="105" t="s">
        <v>4340</v>
      </c>
      <c r="C4269" s="106" t="s">
        <v>801</v>
      </c>
      <c r="D4269" s="107">
        <v>130.24</v>
      </c>
    </row>
    <row r="4270" spans="1:4" ht="38.25" x14ac:dyDescent="0.25">
      <c r="A4270" s="104">
        <v>97515</v>
      </c>
      <c r="B4270" s="105" t="s">
        <v>4341</v>
      </c>
      <c r="C4270" s="106" t="s">
        <v>801</v>
      </c>
      <c r="D4270" s="107">
        <v>163.4</v>
      </c>
    </row>
    <row r="4271" spans="1:4" ht="38.25" x14ac:dyDescent="0.25">
      <c r="A4271" s="104">
        <v>97517</v>
      </c>
      <c r="B4271" s="105" t="s">
        <v>4342</v>
      </c>
      <c r="C4271" s="106" t="s">
        <v>801</v>
      </c>
      <c r="D4271" s="107">
        <v>32.450000000000003</v>
      </c>
    </row>
    <row r="4272" spans="1:4" ht="38.25" x14ac:dyDescent="0.25">
      <c r="A4272" s="104">
        <v>97518</v>
      </c>
      <c r="B4272" s="105" t="s">
        <v>4343</v>
      </c>
      <c r="C4272" s="106" t="s">
        <v>801</v>
      </c>
      <c r="D4272" s="107">
        <v>32.450000000000003</v>
      </c>
    </row>
    <row r="4273" spans="1:4" ht="38.25" x14ac:dyDescent="0.25">
      <c r="A4273" s="104">
        <v>97519</v>
      </c>
      <c r="B4273" s="105" t="s">
        <v>4344</v>
      </c>
      <c r="C4273" s="106" t="s">
        <v>801</v>
      </c>
      <c r="D4273" s="107">
        <v>46.21</v>
      </c>
    </row>
    <row r="4274" spans="1:4" ht="38.25" x14ac:dyDescent="0.25">
      <c r="A4274" s="104">
        <v>97520</v>
      </c>
      <c r="B4274" s="105" t="s">
        <v>4345</v>
      </c>
      <c r="C4274" s="106" t="s">
        <v>801</v>
      </c>
      <c r="D4274" s="107">
        <v>46.21</v>
      </c>
    </row>
    <row r="4275" spans="1:4" ht="38.25" x14ac:dyDescent="0.25">
      <c r="A4275" s="104">
        <v>97521</v>
      </c>
      <c r="B4275" s="105" t="s">
        <v>4346</v>
      </c>
      <c r="C4275" s="106" t="s">
        <v>801</v>
      </c>
      <c r="D4275" s="107">
        <v>64.28</v>
      </c>
    </row>
    <row r="4276" spans="1:4" ht="38.25" x14ac:dyDescent="0.25">
      <c r="A4276" s="104">
        <v>97522</v>
      </c>
      <c r="B4276" s="105" t="s">
        <v>4347</v>
      </c>
      <c r="C4276" s="106" t="s">
        <v>801</v>
      </c>
      <c r="D4276" s="107">
        <v>64.28</v>
      </c>
    </row>
    <row r="4277" spans="1:4" ht="38.25" x14ac:dyDescent="0.25">
      <c r="A4277" s="104">
        <v>97523</v>
      </c>
      <c r="B4277" s="105" t="s">
        <v>4348</v>
      </c>
      <c r="C4277" s="106" t="s">
        <v>801</v>
      </c>
      <c r="D4277" s="107">
        <v>88.39</v>
      </c>
    </row>
    <row r="4278" spans="1:4" ht="38.25" x14ac:dyDescent="0.25">
      <c r="A4278" s="104">
        <v>97524</v>
      </c>
      <c r="B4278" s="105" t="s">
        <v>4349</v>
      </c>
      <c r="C4278" s="106" t="s">
        <v>801</v>
      </c>
      <c r="D4278" s="107">
        <v>95.34</v>
      </c>
    </row>
    <row r="4279" spans="1:4" ht="38.25" x14ac:dyDescent="0.25">
      <c r="A4279" s="104">
        <v>97525</v>
      </c>
      <c r="B4279" s="105" t="s">
        <v>4350</v>
      </c>
      <c r="C4279" s="106" t="s">
        <v>801</v>
      </c>
      <c r="D4279" s="107">
        <v>166.1</v>
      </c>
    </row>
    <row r="4280" spans="1:4" ht="38.25" x14ac:dyDescent="0.25">
      <c r="A4280" s="104">
        <v>97526</v>
      </c>
      <c r="B4280" s="105" t="s">
        <v>4351</v>
      </c>
      <c r="C4280" s="106" t="s">
        <v>801</v>
      </c>
      <c r="D4280" s="107">
        <v>177.21</v>
      </c>
    </row>
    <row r="4281" spans="1:4" ht="38.25" x14ac:dyDescent="0.25">
      <c r="A4281" s="104">
        <v>97527</v>
      </c>
      <c r="B4281" s="105" t="s">
        <v>4352</v>
      </c>
      <c r="C4281" s="106" t="s">
        <v>801</v>
      </c>
      <c r="D4281" s="107">
        <v>407.88</v>
      </c>
    </row>
    <row r="4282" spans="1:4" ht="38.25" x14ac:dyDescent="0.25">
      <c r="A4282" s="104">
        <v>97528</v>
      </c>
      <c r="B4282" s="105" t="s">
        <v>4353</v>
      </c>
      <c r="C4282" s="106" t="s">
        <v>801</v>
      </c>
      <c r="D4282" s="107">
        <v>358.01</v>
      </c>
    </row>
    <row r="4283" spans="1:4" ht="38.25" x14ac:dyDescent="0.25">
      <c r="A4283" s="104">
        <v>97529</v>
      </c>
      <c r="B4283" s="105" t="s">
        <v>4354</v>
      </c>
      <c r="C4283" s="106" t="s">
        <v>801</v>
      </c>
      <c r="D4283" s="107">
        <v>50.67</v>
      </c>
    </row>
    <row r="4284" spans="1:4" ht="38.25" x14ac:dyDescent="0.25">
      <c r="A4284" s="104">
        <v>97530</v>
      </c>
      <c r="B4284" s="105" t="s">
        <v>4355</v>
      </c>
      <c r="C4284" s="106" t="s">
        <v>801</v>
      </c>
      <c r="D4284" s="107">
        <v>73.19</v>
      </c>
    </row>
    <row r="4285" spans="1:4" ht="38.25" x14ac:dyDescent="0.25">
      <c r="A4285" s="104">
        <v>97531</v>
      </c>
      <c r="B4285" s="105" t="s">
        <v>4356</v>
      </c>
      <c r="C4285" s="106" t="s">
        <v>801</v>
      </c>
      <c r="D4285" s="107">
        <v>93.19</v>
      </c>
    </row>
    <row r="4286" spans="1:4" ht="38.25" x14ac:dyDescent="0.25">
      <c r="A4286" s="104">
        <v>97532</v>
      </c>
      <c r="B4286" s="105" t="s">
        <v>4357</v>
      </c>
      <c r="C4286" s="106" t="s">
        <v>801</v>
      </c>
      <c r="D4286" s="107">
        <v>145.68</v>
      </c>
    </row>
    <row r="4287" spans="1:4" ht="38.25" x14ac:dyDescent="0.25">
      <c r="A4287" s="104">
        <v>97533</v>
      </c>
      <c r="B4287" s="105" t="s">
        <v>4358</v>
      </c>
      <c r="C4287" s="106" t="s">
        <v>801</v>
      </c>
      <c r="D4287" s="107">
        <v>273.95</v>
      </c>
    </row>
    <row r="4288" spans="1:4" ht="38.25" x14ac:dyDescent="0.25">
      <c r="A4288" s="104">
        <v>97534</v>
      </c>
      <c r="B4288" s="105" t="s">
        <v>4359</v>
      </c>
      <c r="C4288" s="106" t="s">
        <v>801</v>
      </c>
      <c r="D4288" s="107">
        <v>433.73</v>
      </c>
    </row>
    <row r="4289" spans="1:4" ht="38.25" x14ac:dyDescent="0.25">
      <c r="A4289" s="104">
        <v>97537</v>
      </c>
      <c r="B4289" s="105" t="s">
        <v>4360</v>
      </c>
      <c r="C4289" s="106" t="s">
        <v>801</v>
      </c>
      <c r="D4289" s="107">
        <v>15.05</v>
      </c>
    </row>
    <row r="4290" spans="1:4" ht="38.25" x14ac:dyDescent="0.25">
      <c r="A4290" s="104">
        <v>97540</v>
      </c>
      <c r="B4290" s="105" t="s">
        <v>4361</v>
      </c>
      <c r="C4290" s="106" t="s">
        <v>801</v>
      </c>
      <c r="D4290" s="107">
        <v>20.29</v>
      </c>
    </row>
    <row r="4291" spans="1:4" ht="38.25" x14ac:dyDescent="0.25">
      <c r="A4291" s="104">
        <v>97541</v>
      </c>
      <c r="B4291" s="105" t="s">
        <v>4362</v>
      </c>
      <c r="C4291" s="106" t="s">
        <v>801</v>
      </c>
      <c r="D4291" s="107">
        <v>17.329999999999998</v>
      </c>
    </row>
    <row r="4292" spans="1:4" ht="38.25" x14ac:dyDescent="0.25">
      <c r="A4292" s="104">
        <v>97543</v>
      </c>
      <c r="B4292" s="105" t="s">
        <v>4363</v>
      </c>
      <c r="C4292" s="106" t="s">
        <v>801</v>
      </c>
      <c r="D4292" s="107">
        <v>33.119999999999997</v>
      </c>
    </row>
    <row r="4293" spans="1:4" ht="38.25" x14ac:dyDescent="0.25">
      <c r="A4293" s="104">
        <v>97544</v>
      </c>
      <c r="B4293" s="105" t="s">
        <v>4364</v>
      </c>
      <c r="C4293" s="106" t="s">
        <v>801</v>
      </c>
      <c r="D4293" s="107">
        <v>29.55</v>
      </c>
    </row>
    <row r="4294" spans="1:4" ht="38.25" x14ac:dyDescent="0.25">
      <c r="A4294" s="104">
        <v>97546</v>
      </c>
      <c r="B4294" s="105" t="s">
        <v>4365</v>
      </c>
      <c r="C4294" s="106" t="s">
        <v>801</v>
      </c>
      <c r="D4294" s="107">
        <v>21.1</v>
      </c>
    </row>
    <row r="4295" spans="1:4" ht="38.25" x14ac:dyDescent="0.25">
      <c r="A4295" s="104">
        <v>97547</v>
      </c>
      <c r="B4295" s="105" t="s">
        <v>4366</v>
      </c>
      <c r="C4295" s="106" t="s">
        <v>801</v>
      </c>
      <c r="D4295" s="107">
        <v>21.1</v>
      </c>
    </row>
    <row r="4296" spans="1:4" ht="38.25" x14ac:dyDescent="0.25">
      <c r="A4296" s="104">
        <v>97548</v>
      </c>
      <c r="B4296" s="105" t="s">
        <v>4367</v>
      </c>
      <c r="C4296" s="106" t="s">
        <v>801</v>
      </c>
      <c r="D4296" s="107">
        <v>31.36</v>
      </c>
    </row>
    <row r="4297" spans="1:4" ht="38.25" x14ac:dyDescent="0.25">
      <c r="A4297" s="104">
        <v>97549</v>
      </c>
      <c r="B4297" s="105" t="s">
        <v>4368</v>
      </c>
      <c r="C4297" s="106" t="s">
        <v>801</v>
      </c>
      <c r="D4297" s="107">
        <v>31.36</v>
      </c>
    </row>
    <row r="4298" spans="1:4" ht="38.25" x14ac:dyDescent="0.25">
      <c r="A4298" s="104">
        <v>97550</v>
      </c>
      <c r="B4298" s="105" t="s">
        <v>4369</v>
      </c>
      <c r="C4298" s="106" t="s">
        <v>801</v>
      </c>
      <c r="D4298" s="107">
        <v>52.21</v>
      </c>
    </row>
    <row r="4299" spans="1:4" ht="38.25" x14ac:dyDescent="0.25">
      <c r="A4299" s="104">
        <v>97551</v>
      </c>
      <c r="B4299" s="105" t="s">
        <v>4370</v>
      </c>
      <c r="C4299" s="106" t="s">
        <v>801</v>
      </c>
      <c r="D4299" s="107">
        <v>52.21</v>
      </c>
    </row>
    <row r="4300" spans="1:4" ht="25.5" x14ac:dyDescent="0.25">
      <c r="A4300" s="104">
        <v>97552</v>
      </c>
      <c r="B4300" s="105" t="s">
        <v>4371</v>
      </c>
      <c r="C4300" s="106" t="s">
        <v>801</v>
      </c>
      <c r="D4300" s="107">
        <v>30.71</v>
      </c>
    </row>
    <row r="4301" spans="1:4" ht="25.5" x14ac:dyDescent="0.25">
      <c r="A4301" s="104">
        <v>97553</v>
      </c>
      <c r="B4301" s="105" t="s">
        <v>4372</v>
      </c>
      <c r="C4301" s="106" t="s">
        <v>801</v>
      </c>
      <c r="D4301" s="107">
        <v>44.38</v>
      </c>
    </row>
    <row r="4302" spans="1:4" ht="25.5" x14ac:dyDescent="0.25">
      <c r="A4302" s="104">
        <v>97554</v>
      </c>
      <c r="B4302" s="105" t="s">
        <v>4373</v>
      </c>
      <c r="C4302" s="106" t="s">
        <v>801</v>
      </c>
      <c r="D4302" s="107">
        <v>77.03</v>
      </c>
    </row>
    <row r="4303" spans="1:4" ht="38.25" x14ac:dyDescent="0.25">
      <c r="A4303" s="104">
        <v>98602</v>
      </c>
      <c r="B4303" s="105" t="s">
        <v>4374</v>
      </c>
      <c r="C4303" s="106" t="s">
        <v>801</v>
      </c>
      <c r="D4303" s="107">
        <v>12.4</v>
      </c>
    </row>
    <row r="4304" spans="1:4" x14ac:dyDescent="0.25">
      <c r="A4304" s="104">
        <v>6171</v>
      </c>
      <c r="B4304" s="105" t="s">
        <v>4375</v>
      </c>
      <c r="C4304" s="106" t="s">
        <v>801</v>
      </c>
      <c r="D4304" s="107">
        <v>23.54</v>
      </c>
    </row>
    <row r="4305" spans="1:4" ht="25.5" x14ac:dyDescent="0.25">
      <c r="A4305" s="104" t="s">
        <v>4376</v>
      </c>
      <c r="B4305" s="105" t="s">
        <v>4377</v>
      </c>
      <c r="C4305" s="106" t="s">
        <v>801</v>
      </c>
      <c r="D4305" s="107">
        <v>210.75</v>
      </c>
    </row>
    <row r="4306" spans="1:4" ht="38.25" x14ac:dyDescent="0.25">
      <c r="A4306" s="104" t="s">
        <v>4378</v>
      </c>
      <c r="B4306" s="105" t="s">
        <v>4379</v>
      </c>
      <c r="C4306" s="106" t="s">
        <v>801</v>
      </c>
      <c r="D4306" s="107">
        <v>294.01</v>
      </c>
    </row>
    <row r="4307" spans="1:4" x14ac:dyDescent="0.25">
      <c r="A4307" s="104">
        <v>88503</v>
      </c>
      <c r="B4307" s="105" t="s">
        <v>4380</v>
      </c>
      <c r="C4307" s="106" t="s">
        <v>801</v>
      </c>
      <c r="D4307" s="107">
        <v>649.49</v>
      </c>
    </row>
    <row r="4308" spans="1:4" x14ac:dyDescent="0.25">
      <c r="A4308" s="104">
        <v>88504</v>
      </c>
      <c r="B4308" s="105" t="s">
        <v>4381</v>
      </c>
      <c r="C4308" s="106" t="s">
        <v>801</v>
      </c>
      <c r="D4308" s="107">
        <v>523.86</v>
      </c>
    </row>
    <row r="4309" spans="1:4" ht="38.25" x14ac:dyDescent="0.25">
      <c r="A4309" s="104">
        <v>97900</v>
      </c>
      <c r="B4309" s="105" t="s">
        <v>4382</v>
      </c>
      <c r="C4309" s="106" t="s">
        <v>801</v>
      </c>
      <c r="D4309" s="107">
        <v>130.75</v>
      </c>
    </row>
    <row r="4310" spans="1:4" ht="38.25" x14ac:dyDescent="0.25">
      <c r="A4310" s="104">
        <v>97901</v>
      </c>
      <c r="B4310" s="105" t="s">
        <v>4383</v>
      </c>
      <c r="C4310" s="106" t="s">
        <v>801</v>
      </c>
      <c r="D4310" s="107">
        <v>207.62</v>
      </c>
    </row>
    <row r="4311" spans="1:4" ht="38.25" x14ac:dyDescent="0.25">
      <c r="A4311" s="104">
        <v>97902</v>
      </c>
      <c r="B4311" s="105" t="s">
        <v>4384</v>
      </c>
      <c r="C4311" s="106" t="s">
        <v>801</v>
      </c>
      <c r="D4311" s="107">
        <v>409.98</v>
      </c>
    </row>
    <row r="4312" spans="1:4" ht="38.25" x14ac:dyDescent="0.25">
      <c r="A4312" s="104">
        <v>97903</v>
      </c>
      <c r="B4312" s="105" t="s">
        <v>4385</v>
      </c>
      <c r="C4312" s="106" t="s">
        <v>801</v>
      </c>
      <c r="D4312" s="107">
        <v>565.70000000000005</v>
      </c>
    </row>
    <row r="4313" spans="1:4" ht="38.25" x14ac:dyDescent="0.25">
      <c r="A4313" s="104">
        <v>97904</v>
      </c>
      <c r="B4313" s="105" t="s">
        <v>4386</v>
      </c>
      <c r="C4313" s="106" t="s">
        <v>801</v>
      </c>
      <c r="D4313" s="107">
        <v>669.94</v>
      </c>
    </row>
    <row r="4314" spans="1:4" ht="38.25" x14ac:dyDescent="0.25">
      <c r="A4314" s="104">
        <v>97905</v>
      </c>
      <c r="B4314" s="105" t="s">
        <v>4387</v>
      </c>
      <c r="C4314" s="106" t="s">
        <v>801</v>
      </c>
      <c r="D4314" s="107">
        <v>167.69</v>
      </c>
    </row>
    <row r="4315" spans="1:4" ht="38.25" x14ac:dyDescent="0.25">
      <c r="A4315" s="104">
        <v>97906</v>
      </c>
      <c r="B4315" s="105" t="s">
        <v>4388</v>
      </c>
      <c r="C4315" s="106" t="s">
        <v>801</v>
      </c>
      <c r="D4315" s="107">
        <v>313.52</v>
      </c>
    </row>
    <row r="4316" spans="1:4" ht="38.25" x14ac:dyDescent="0.25">
      <c r="A4316" s="104">
        <v>97907</v>
      </c>
      <c r="B4316" s="105" t="s">
        <v>4389</v>
      </c>
      <c r="C4316" s="106" t="s">
        <v>801</v>
      </c>
      <c r="D4316" s="107">
        <v>442.6</v>
      </c>
    </row>
    <row r="4317" spans="1:4" ht="38.25" x14ac:dyDescent="0.25">
      <c r="A4317" s="104">
        <v>97908</v>
      </c>
      <c r="B4317" s="105" t="s">
        <v>4390</v>
      </c>
      <c r="C4317" s="106" t="s">
        <v>801</v>
      </c>
      <c r="D4317" s="107">
        <v>524.27</v>
      </c>
    </row>
    <row r="4318" spans="1:4" ht="38.25" x14ac:dyDescent="0.25">
      <c r="A4318" s="104">
        <v>98102</v>
      </c>
      <c r="B4318" s="105" t="s">
        <v>4391</v>
      </c>
      <c r="C4318" s="106" t="s">
        <v>801</v>
      </c>
      <c r="D4318" s="107">
        <v>77.08</v>
      </c>
    </row>
    <row r="4319" spans="1:4" ht="25.5" x14ac:dyDescent="0.25">
      <c r="A4319" s="104">
        <v>98103</v>
      </c>
      <c r="B4319" s="105" t="s">
        <v>4392</v>
      </c>
      <c r="C4319" s="106" t="s">
        <v>801</v>
      </c>
      <c r="D4319" s="107">
        <v>162.41</v>
      </c>
    </row>
    <row r="4320" spans="1:4" ht="38.25" x14ac:dyDescent="0.25">
      <c r="A4320" s="104">
        <v>98104</v>
      </c>
      <c r="B4320" s="105" t="s">
        <v>4393</v>
      </c>
      <c r="C4320" s="106" t="s">
        <v>801</v>
      </c>
      <c r="D4320" s="107">
        <v>276.41000000000003</v>
      </c>
    </row>
    <row r="4321" spans="1:4" ht="38.25" x14ac:dyDescent="0.25">
      <c r="A4321" s="104">
        <v>98105</v>
      </c>
      <c r="B4321" s="105" t="s">
        <v>4394</v>
      </c>
      <c r="C4321" s="106" t="s">
        <v>801</v>
      </c>
      <c r="D4321" s="107">
        <v>478.1</v>
      </c>
    </row>
    <row r="4322" spans="1:4" ht="51" x14ac:dyDescent="0.25">
      <c r="A4322" s="104">
        <v>98106</v>
      </c>
      <c r="B4322" s="105" t="s">
        <v>4395</v>
      </c>
      <c r="C4322" s="106" t="s">
        <v>801</v>
      </c>
      <c r="D4322" s="107">
        <v>791.08</v>
      </c>
    </row>
    <row r="4323" spans="1:4" ht="38.25" x14ac:dyDescent="0.25">
      <c r="A4323" s="104">
        <v>98107</v>
      </c>
      <c r="B4323" s="105" t="s">
        <v>4396</v>
      </c>
      <c r="C4323" s="106" t="s">
        <v>801</v>
      </c>
      <c r="D4323" s="107">
        <v>201.32</v>
      </c>
    </row>
    <row r="4324" spans="1:4" ht="38.25" x14ac:dyDescent="0.25">
      <c r="A4324" s="104">
        <v>98108</v>
      </c>
      <c r="B4324" s="105" t="s">
        <v>4397</v>
      </c>
      <c r="C4324" s="106" t="s">
        <v>801</v>
      </c>
      <c r="D4324" s="107">
        <v>357.09</v>
      </c>
    </row>
    <row r="4325" spans="1:4" ht="38.25" x14ac:dyDescent="0.25">
      <c r="A4325" s="104">
        <v>99250</v>
      </c>
      <c r="B4325" s="105" t="s">
        <v>4398</v>
      </c>
      <c r="C4325" s="106" t="s">
        <v>801</v>
      </c>
      <c r="D4325" s="107">
        <v>127.63</v>
      </c>
    </row>
    <row r="4326" spans="1:4" ht="38.25" x14ac:dyDescent="0.25">
      <c r="A4326" s="104">
        <v>99251</v>
      </c>
      <c r="B4326" s="105" t="s">
        <v>4399</v>
      </c>
      <c r="C4326" s="106" t="s">
        <v>801</v>
      </c>
      <c r="D4326" s="107">
        <v>202.26</v>
      </c>
    </row>
    <row r="4327" spans="1:4" ht="38.25" x14ac:dyDescent="0.25">
      <c r="A4327" s="104">
        <v>99253</v>
      </c>
      <c r="B4327" s="105" t="s">
        <v>4400</v>
      </c>
      <c r="C4327" s="106" t="s">
        <v>801</v>
      </c>
      <c r="D4327" s="107">
        <v>397.94</v>
      </c>
    </row>
    <row r="4328" spans="1:4" ht="38.25" x14ac:dyDescent="0.25">
      <c r="A4328" s="104">
        <v>99255</v>
      </c>
      <c r="B4328" s="105" t="s">
        <v>4401</v>
      </c>
      <c r="C4328" s="106" t="s">
        <v>801</v>
      </c>
      <c r="D4328" s="107">
        <v>549.19000000000005</v>
      </c>
    </row>
    <row r="4329" spans="1:4" ht="38.25" x14ac:dyDescent="0.25">
      <c r="A4329" s="104">
        <v>99257</v>
      </c>
      <c r="B4329" s="105" t="s">
        <v>4402</v>
      </c>
      <c r="C4329" s="106" t="s">
        <v>801</v>
      </c>
      <c r="D4329" s="107">
        <v>648.58000000000004</v>
      </c>
    </row>
    <row r="4330" spans="1:4" ht="38.25" x14ac:dyDescent="0.25">
      <c r="A4330" s="106">
        <v>99258</v>
      </c>
      <c r="B4330" s="105" t="s">
        <v>4403</v>
      </c>
      <c r="C4330" s="106" t="s">
        <v>801</v>
      </c>
      <c r="D4330" s="107">
        <v>163.26</v>
      </c>
    </row>
    <row r="4331" spans="1:4" ht="38.25" x14ac:dyDescent="0.25">
      <c r="A4331" s="106">
        <v>99260</v>
      </c>
      <c r="B4331" s="105" t="s">
        <v>4404</v>
      </c>
      <c r="C4331" s="106" t="s">
        <v>801</v>
      </c>
      <c r="D4331" s="107">
        <v>305.94</v>
      </c>
    </row>
    <row r="4332" spans="1:4" ht="38.25" x14ac:dyDescent="0.25">
      <c r="A4332" s="104">
        <v>99262</v>
      </c>
      <c r="B4332" s="105" t="s">
        <v>4405</v>
      </c>
      <c r="C4332" s="106" t="s">
        <v>801</v>
      </c>
      <c r="D4332" s="107">
        <v>431.77</v>
      </c>
    </row>
    <row r="4333" spans="1:4" ht="38.25" x14ac:dyDescent="0.25">
      <c r="A4333" s="104">
        <v>99264</v>
      </c>
      <c r="B4333" s="105" t="s">
        <v>4406</v>
      </c>
      <c r="C4333" s="106" t="s">
        <v>801</v>
      </c>
      <c r="D4333" s="107">
        <v>509.65</v>
      </c>
    </row>
    <row r="4334" spans="1:4" ht="38.25" x14ac:dyDescent="0.25">
      <c r="A4334" s="104">
        <v>89482</v>
      </c>
      <c r="B4334" s="105" t="s">
        <v>4407</v>
      </c>
      <c r="C4334" s="106" t="s">
        <v>801</v>
      </c>
      <c r="D4334" s="107">
        <v>21.02</v>
      </c>
    </row>
    <row r="4335" spans="1:4" ht="38.25" x14ac:dyDescent="0.25">
      <c r="A4335" s="104">
        <v>89491</v>
      </c>
      <c r="B4335" s="105" t="s">
        <v>4408</v>
      </c>
      <c r="C4335" s="106" t="s">
        <v>801</v>
      </c>
      <c r="D4335" s="107">
        <v>49.94</v>
      </c>
    </row>
    <row r="4336" spans="1:4" ht="38.25" x14ac:dyDescent="0.25">
      <c r="A4336" s="104">
        <v>89495</v>
      </c>
      <c r="B4336" s="105" t="s">
        <v>4409</v>
      </c>
      <c r="C4336" s="106" t="s">
        <v>801</v>
      </c>
      <c r="D4336" s="107">
        <v>8.02</v>
      </c>
    </row>
    <row r="4337" spans="1:4" ht="38.25" x14ac:dyDescent="0.25">
      <c r="A4337" s="104">
        <v>89707</v>
      </c>
      <c r="B4337" s="105" t="s">
        <v>4410</v>
      </c>
      <c r="C4337" s="106" t="s">
        <v>801</v>
      </c>
      <c r="D4337" s="107">
        <v>24.9</v>
      </c>
    </row>
    <row r="4338" spans="1:4" ht="38.25" x14ac:dyDescent="0.25">
      <c r="A4338" s="104">
        <v>89708</v>
      </c>
      <c r="B4338" s="105" t="s">
        <v>275</v>
      </c>
      <c r="C4338" s="106" t="s">
        <v>801</v>
      </c>
      <c r="D4338" s="107">
        <v>54.99</v>
      </c>
    </row>
    <row r="4339" spans="1:4" ht="38.25" x14ac:dyDescent="0.25">
      <c r="A4339" s="104">
        <v>89709</v>
      </c>
      <c r="B4339" s="105" t="s">
        <v>372</v>
      </c>
      <c r="C4339" s="106" t="s">
        <v>801</v>
      </c>
      <c r="D4339" s="107">
        <v>9.14</v>
      </c>
    </row>
    <row r="4340" spans="1:4" ht="38.25" x14ac:dyDescent="0.25">
      <c r="A4340" s="104">
        <v>89710</v>
      </c>
      <c r="B4340" s="105" t="s">
        <v>4411</v>
      </c>
      <c r="C4340" s="106" t="s">
        <v>801</v>
      </c>
      <c r="D4340" s="107">
        <v>8.9600000000000009</v>
      </c>
    </row>
    <row r="4341" spans="1:4" ht="25.5" x14ac:dyDescent="0.25">
      <c r="A4341" s="104">
        <v>86872</v>
      </c>
      <c r="B4341" s="105" t="s">
        <v>11298</v>
      </c>
      <c r="C4341" s="106" t="s">
        <v>801</v>
      </c>
      <c r="D4341" s="107">
        <v>581.97</v>
      </c>
    </row>
    <row r="4342" spans="1:4" ht="25.5" x14ac:dyDescent="0.25">
      <c r="A4342" s="104">
        <v>86874</v>
      </c>
      <c r="B4342" s="105" t="s">
        <v>11299</v>
      </c>
      <c r="C4342" s="106" t="s">
        <v>801</v>
      </c>
      <c r="D4342" s="107">
        <v>357.64</v>
      </c>
    </row>
    <row r="4343" spans="1:4" ht="25.5" x14ac:dyDescent="0.25">
      <c r="A4343" s="104">
        <v>86875</v>
      </c>
      <c r="B4343" s="105" t="s">
        <v>11300</v>
      </c>
      <c r="C4343" s="106" t="s">
        <v>801</v>
      </c>
      <c r="D4343" s="107">
        <v>327.27999999999997</v>
      </c>
    </row>
    <row r="4344" spans="1:4" ht="25.5" x14ac:dyDescent="0.25">
      <c r="A4344" s="104">
        <v>86876</v>
      </c>
      <c r="B4344" s="105" t="s">
        <v>11301</v>
      </c>
      <c r="C4344" s="106" t="s">
        <v>801</v>
      </c>
      <c r="D4344" s="107">
        <v>188.19</v>
      </c>
    </row>
    <row r="4345" spans="1:4" ht="38.25" x14ac:dyDescent="0.25">
      <c r="A4345" s="104">
        <v>86877</v>
      </c>
      <c r="B4345" s="105" t="s">
        <v>11302</v>
      </c>
      <c r="C4345" s="106" t="s">
        <v>801</v>
      </c>
      <c r="D4345" s="107">
        <v>25.53</v>
      </c>
    </row>
    <row r="4346" spans="1:4" ht="25.5" x14ac:dyDescent="0.25">
      <c r="A4346" s="104">
        <v>86878</v>
      </c>
      <c r="B4346" s="105" t="s">
        <v>11303</v>
      </c>
      <c r="C4346" s="106" t="s">
        <v>801</v>
      </c>
      <c r="D4346" s="107">
        <v>55.17</v>
      </c>
    </row>
    <row r="4347" spans="1:4" ht="25.5" x14ac:dyDescent="0.25">
      <c r="A4347" s="104">
        <v>86879</v>
      </c>
      <c r="B4347" s="105" t="s">
        <v>11304</v>
      </c>
      <c r="C4347" s="106" t="s">
        <v>801</v>
      </c>
      <c r="D4347" s="107">
        <v>5.76</v>
      </c>
    </row>
    <row r="4348" spans="1:4" ht="25.5" x14ac:dyDescent="0.25">
      <c r="A4348" s="104">
        <v>86880</v>
      </c>
      <c r="B4348" s="105" t="s">
        <v>11305</v>
      </c>
      <c r="C4348" s="106" t="s">
        <v>801</v>
      </c>
      <c r="D4348" s="107">
        <v>17.149999999999999</v>
      </c>
    </row>
    <row r="4349" spans="1:4" ht="25.5" x14ac:dyDescent="0.25">
      <c r="A4349" s="104">
        <v>86881</v>
      </c>
      <c r="B4349" s="105" t="s">
        <v>11306</v>
      </c>
      <c r="C4349" s="106" t="s">
        <v>801</v>
      </c>
      <c r="D4349" s="107">
        <v>155.87</v>
      </c>
    </row>
    <row r="4350" spans="1:4" ht="25.5" x14ac:dyDescent="0.25">
      <c r="A4350" s="104">
        <v>86882</v>
      </c>
      <c r="B4350" s="105" t="s">
        <v>11307</v>
      </c>
      <c r="C4350" s="106" t="s">
        <v>801</v>
      </c>
      <c r="D4350" s="107">
        <v>17.55</v>
      </c>
    </row>
    <row r="4351" spans="1:4" ht="25.5" x14ac:dyDescent="0.25">
      <c r="A4351" s="104">
        <v>86883</v>
      </c>
      <c r="B4351" s="105" t="s">
        <v>11308</v>
      </c>
      <c r="C4351" s="106" t="s">
        <v>801</v>
      </c>
      <c r="D4351" s="107">
        <v>10.02</v>
      </c>
    </row>
    <row r="4352" spans="1:4" ht="25.5" x14ac:dyDescent="0.25">
      <c r="A4352" s="104">
        <v>86884</v>
      </c>
      <c r="B4352" s="105" t="s">
        <v>11309</v>
      </c>
      <c r="C4352" s="106" t="s">
        <v>801</v>
      </c>
      <c r="D4352" s="107">
        <v>7.08</v>
      </c>
    </row>
    <row r="4353" spans="1:4" ht="25.5" x14ac:dyDescent="0.25">
      <c r="A4353" s="104">
        <v>86885</v>
      </c>
      <c r="B4353" s="105" t="s">
        <v>11310</v>
      </c>
      <c r="C4353" s="106" t="s">
        <v>801</v>
      </c>
      <c r="D4353" s="107">
        <v>9.5</v>
      </c>
    </row>
    <row r="4354" spans="1:4" ht="25.5" x14ac:dyDescent="0.25">
      <c r="A4354" s="104">
        <v>86886</v>
      </c>
      <c r="B4354" s="105" t="s">
        <v>11311</v>
      </c>
      <c r="C4354" s="106" t="s">
        <v>801</v>
      </c>
      <c r="D4354" s="107">
        <v>37.79</v>
      </c>
    </row>
    <row r="4355" spans="1:4" ht="25.5" x14ac:dyDescent="0.25">
      <c r="A4355" s="104">
        <v>86887</v>
      </c>
      <c r="B4355" s="105" t="s">
        <v>11312</v>
      </c>
      <c r="C4355" s="106" t="s">
        <v>801</v>
      </c>
      <c r="D4355" s="107">
        <v>41.04</v>
      </c>
    </row>
    <row r="4356" spans="1:4" ht="25.5" x14ac:dyDescent="0.25">
      <c r="A4356" s="104">
        <v>86888</v>
      </c>
      <c r="B4356" s="105" t="s">
        <v>11313</v>
      </c>
      <c r="C4356" s="106" t="s">
        <v>801</v>
      </c>
      <c r="D4356" s="107">
        <v>343.37</v>
      </c>
    </row>
    <row r="4357" spans="1:4" ht="25.5" x14ac:dyDescent="0.25">
      <c r="A4357" s="104">
        <v>86889</v>
      </c>
      <c r="B4357" s="105" t="s">
        <v>11314</v>
      </c>
      <c r="C4357" s="106" t="s">
        <v>801</v>
      </c>
      <c r="D4357" s="107">
        <v>634.91999999999996</v>
      </c>
    </row>
    <row r="4358" spans="1:4" ht="25.5" x14ac:dyDescent="0.25">
      <c r="A4358" s="104">
        <v>86893</v>
      </c>
      <c r="B4358" s="105" t="s">
        <v>11315</v>
      </c>
      <c r="C4358" s="106" t="s">
        <v>801</v>
      </c>
      <c r="D4358" s="107">
        <v>511.91</v>
      </c>
    </row>
    <row r="4359" spans="1:4" ht="25.5" x14ac:dyDescent="0.25">
      <c r="A4359" s="104">
        <v>86894</v>
      </c>
      <c r="B4359" s="105" t="s">
        <v>11316</v>
      </c>
      <c r="C4359" s="106" t="s">
        <v>801</v>
      </c>
      <c r="D4359" s="107">
        <v>182.54</v>
      </c>
    </row>
    <row r="4360" spans="1:4" ht="25.5" x14ac:dyDescent="0.25">
      <c r="A4360" s="104">
        <v>86895</v>
      </c>
      <c r="B4360" s="105" t="s">
        <v>11317</v>
      </c>
      <c r="C4360" s="106" t="s">
        <v>801</v>
      </c>
      <c r="D4360" s="107">
        <v>291.67</v>
      </c>
    </row>
    <row r="4361" spans="1:4" ht="25.5" x14ac:dyDescent="0.25">
      <c r="A4361" s="104">
        <v>86899</v>
      </c>
      <c r="B4361" s="105" t="s">
        <v>11318</v>
      </c>
      <c r="C4361" s="106" t="s">
        <v>801</v>
      </c>
      <c r="D4361" s="107">
        <v>245.53</v>
      </c>
    </row>
    <row r="4362" spans="1:4" ht="25.5" x14ac:dyDescent="0.25">
      <c r="A4362" s="104">
        <v>86900</v>
      </c>
      <c r="B4362" s="105" t="s">
        <v>11319</v>
      </c>
      <c r="C4362" s="106" t="s">
        <v>801</v>
      </c>
      <c r="D4362" s="107">
        <v>154.68</v>
      </c>
    </row>
    <row r="4363" spans="1:4" ht="25.5" x14ac:dyDescent="0.25">
      <c r="A4363" s="104">
        <v>86901</v>
      </c>
      <c r="B4363" s="105" t="s">
        <v>11320</v>
      </c>
      <c r="C4363" s="106" t="s">
        <v>801</v>
      </c>
      <c r="D4363" s="107">
        <v>107.42</v>
      </c>
    </row>
    <row r="4364" spans="1:4" ht="25.5" x14ac:dyDescent="0.25">
      <c r="A4364" s="104">
        <v>86902</v>
      </c>
      <c r="B4364" s="105" t="s">
        <v>11321</v>
      </c>
      <c r="C4364" s="106" t="s">
        <v>801</v>
      </c>
      <c r="D4364" s="107">
        <v>205.6</v>
      </c>
    </row>
    <row r="4365" spans="1:4" ht="38.25" x14ac:dyDescent="0.25">
      <c r="A4365" s="104">
        <v>86903</v>
      </c>
      <c r="B4365" s="105" t="s">
        <v>11322</v>
      </c>
      <c r="C4365" s="106" t="s">
        <v>801</v>
      </c>
      <c r="D4365" s="107">
        <v>268</v>
      </c>
    </row>
    <row r="4366" spans="1:4" ht="25.5" x14ac:dyDescent="0.25">
      <c r="A4366" s="104">
        <v>86904</v>
      </c>
      <c r="B4366" s="105" t="s">
        <v>11323</v>
      </c>
      <c r="C4366" s="106" t="s">
        <v>801</v>
      </c>
      <c r="D4366" s="107">
        <v>104.23</v>
      </c>
    </row>
    <row r="4367" spans="1:4" ht="25.5" x14ac:dyDescent="0.25">
      <c r="A4367" s="106">
        <v>86905</v>
      </c>
      <c r="B4367" s="105" t="s">
        <v>11324</v>
      </c>
      <c r="C4367" s="106" t="s">
        <v>801</v>
      </c>
      <c r="D4367" s="107">
        <v>212.78</v>
      </c>
    </row>
    <row r="4368" spans="1:4" ht="25.5" x14ac:dyDescent="0.25">
      <c r="A4368" s="104">
        <v>86906</v>
      </c>
      <c r="B4368" s="105" t="s">
        <v>11325</v>
      </c>
      <c r="C4368" s="106" t="s">
        <v>801</v>
      </c>
      <c r="D4368" s="107">
        <v>49.7</v>
      </c>
    </row>
    <row r="4369" spans="1:4" ht="25.5" x14ac:dyDescent="0.25">
      <c r="A4369" s="104">
        <v>86908</v>
      </c>
      <c r="B4369" s="105" t="s">
        <v>11326</v>
      </c>
      <c r="C4369" s="106" t="s">
        <v>801</v>
      </c>
      <c r="D4369" s="107">
        <v>256.12</v>
      </c>
    </row>
    <row r="4370" spans="1:4" ht="25.5" x14ac:dyDescent="0.25">
      <c r="A4370" s="104">
        <v>86909</v>
      </c>
      <c r="B4370" s="105" t="s">
        <v>11327</v>
      </c>
      <c r="C4370" s="106" t="s">
        <v>801</v>
      </c>
      <c r="D4370" s="107">
        <v>99.54</v>
      </c>
    </row>
    <row r="4371" spans="1:4" ht="38.25" x14ac:dyDescent="0.25">
      <c r="A4371" s="104">
        <v>86910</v>
      </c>
      <c r="B4371" s="105" t="s">
        <v>11328</v>
      </c>
      <c r="C4371" s="106" t="s">
        <v>801</v>
      </c>
      <c r="D4371" s="107">
        <v>94.08</v>
      </c>
    </row>
    <row r="4372" spans="1:4" ht="38.25" x14ac:dyDescent="0.25">
      <c r="A4372" s="104">
        <v>86911</v>
      </c>
      <c r="B4372" s="105" t="s">
        <v>11329</v>
      </c>
      <c r="C4372" s="106" t="s">
        <v>801</v>
      </c>
      <c r="D4372" s="107">
        <v>42</v>
      </c>
    </row>
    <row r="4373" spans="1:4" ht="25.5" x14ac:dyDescent="0.25">
      <c r="A4373" s="104">
        <v>86913</v>
      </c>
      <c r="B4373" s="105" t="s">
        <v>11330</v>
      </c>
      <c r="C4373" s="106" t="s">
        <v>801</v>
      </c>
      <c r="D4373" s="107">
        <v>18.5</v>
      </c>
    </row>
    <row r="4374" spans="1:4" ht="25.5" x14ac:dyDescent="0.25">
      <c r="A4374" s="104">
        <v>86914</v>
      </c>
      <c r="B4374" s="105" t="s">
        <v>11331</v>
      </c>
      <c r="C4374" s="106" t="s">
        <v>801</v>
      </c>
      <c r="D4374" s="107">
        <v>38.17</v>
      </c>
    </row>
    <row r="4375" spans="1:4" ht="25.5" x14ac:dyDescent="0.25">
      <c r="A4375" s="104">
        <v>86915</v>
      </c>
      <c r="B4375" s="105" t="s">
        <v>11332</v>
      </c>
      <c r="C4375" s="106" t="s">
        <v>801</v>
      </c>
      <c r="D4375" s="107">
        <v>83.91</v>
      </c>
    </row>
    <row r="4376" spans="1:4" ht="25.5" x14ac:dyDescent="0.25">
      <c r="A4376" s="104">
        <v>86916</v>
      </c>
      <c r="B4376" s="105" t="s">
        <v>11333</v>
      </c>
      <c r="C4376" s="106" t="s">
        <v>801</v>
      </c>
      <c r="D4376" s="107">
        <v>30.19</v>
      </c>
    </row>
    <row r="4377" spans="1:4" ht="51" x14ac:dyDescent="0.25">
      <c r="A4377" s="104">
        <v>86919</v>
      </c>
      <c r="B4377" s="105" t="s">
        <v>11334</v>
      </c>
      <c r="C4377" s="106" t="s">
        <v>801</v>
      </c>
      <c r="D4377" s="107">
        <v>655.69</v>
      </c>
    </row>
    <row r="4378" spans="1:4" ht="51" x14ac:dyDescent="0.25">
      <c r="A4378" s="104">
        <v>86920</v>
      </c>
      <c r="B4378" s="105" t="s">
        <v>11335</v>
      </c>
      <c r="C4378" s="106" t="s">
        <v>801</v>
      </c>
      <c r="D4378" s="107">
        <v>616.25</v>
      </c>
    </row>
    <row r="4379" spans="1:4" ht="38.25" x14ac:dyDescent="0.25">
      <c r="A4379" s="104">
        <v>86921</v>
      </c>
      <c r="B4379" s="105" t="s">
        <v>11336</v>
      </c>
      <c r="C4379" s="106" t="s">
        <v>801</v>
      </c>
      <c r="D4379" s="107">
        <v>627.94000000000005</v>
      </c>
    </row>
    <row r="4380" spans="1:4" ht="51" x14ac:dyDescent="0.25">
      <c r="A4380" s="104">
        <v>86922</v>
      </c>
      <c r="B4380" s="105" t="s">
        <v>11337</v>
      </c>
      <c r="C4380" s="106" t="s">
        <v>801</v>
      </c>
      <c r="D4380" s="107">
        <v>577.21</v>
      </c>
    </row>
    <row r="4381" spans="1:4" ht="51" x14ac:dyDescent="0.25">
      <c r="A4381" s="104">
        <v>86923</v>
      </c>
      <c r="B4381" s="105" t="s">
        <v>11338</v>
      </c>
      <c r="C4381" s="106" t="s">
        <v>801</v>
      </c>
      <c r="D4381" s="107">
        <v>399.45</v>
      </c>
    </row>
    <row r="4382" spans="1:4" ht="38.25" x14ac:dyDescent="0.25">
      <c r="A4382" s="104">
        <v>86924</v>
      </c>
      <c r="B4382" s="105" t="s">
        <v>11339</v>
      </c>
      <c r="C4382" s="106" t="s">
        <v>801</v>
      </c>
      <c r="D4382" s="107">
        <v>411.14</v>
      </c>
    </row>
    <row r="4383" spans="1:4" ht="51" x14ac:dyDescent="0.25">
      <c r="A4383" s="104">
        <v>86925</v>
      </c>
      <c r="B4383" s="105" t="s">
        <v>11340</v>
      </c>
      <c r="C4383" s="106" t="s">
        <v>801</v>
      </c>
      <c r="D4383" s="107">
        <v>361.56</v>
      </c>
    </row>
    <row r="4384" spans="1:4" ht="38.25" x14ac:dyDescent="0.25">
      <c r="A4384" s="104">
        <v>86926</v>
      </c>
      <c r="B4384" s="105" t="s">
        <v>11341</v>
      </c>
      <c r="C4384" s="106" t="s">
        <v>801</v>
      </c>
      <c r="D4384" s="107">
        <v>373.25</v>
      </c>
    </row>
    <row r="4385" spans="1:4" ht="51" x14ac:dyDescent="0.25">
      <c r="A4385" s="104">
        <v>86927</v>
      </c>
      <c r="B4385" s="105" t="s">
        <v>11342</v>
      </c>
      <c r="C4385" s="106" t="s">
        <v>801</v>
      </c>
      <c r="D4385" s="107">
        <v>230</v>
      </c>
    </row>
    <row r="4386" spans="1:4" ht="38.25" x14ac:dyDescent="0.25">
      <c r="A4386" s="104">
        <v>86928</v>
      </c>
      <c r="B4386" s="105" t="s">
        <v>11343</v>
      </c>
      <c r="C4386" s="106" t="s">
        <v>801</v>
      </c>
      <c r="D4386" s="107">
        <v>241.69</v>
      </c>
    </row>
    <row r="4387" spans="1:4" ht="51" x14ac:dyDescent="0.25">
      <c r="A4387" s="104">
        <v>86929</v>
      </c>
      <c r="B4387" s="105" t="s">
        <v>11344</v>
      </c>
      <c r="C4387" s="106" t="s">
        <v>801</v>
      </c>
      <c r="D4387" s="107">
        <v>222.47</v>
      </c>
    </row>
    <row r="4388" spans="1:4" ht="38.25" x14ac:dyDescent="0.25">
      <c r="A4388" s="104">
        <v>86930</v>
      </c>
      <c r="B4388" s="105" t="s">
        <v>11345</v>
      </c>
      <c r="C4388" s="106" t="s">
        <v>801</v>
      </c>
      <c r="D4388" s="107">
        <v>234.16</v>
      </c>
    </row>
    <row r="4389" spans="1:4" ht="38.25" x14ac:dyDescent="0.25">
      <c r="A4389" s="104">
        <v>86931</v>
      </c>
      <c r="B4389" s="105" t="s">
        <v>11346</v>
      </c>
      <c r="C4389" s="106" t="s">
        <v>801</v>
      </c>
      <c r="D4389" s="107">
        <v>352.87</v>
      </c>
    </row>
    <row r="4390" spans="1:4" ht="38.25" x14ac:dyDescent="0.25">
      <c r="A4390" s="104">
        <v>86932</v>
      </c>
      <c r="B4390" s="105" t="s">
        <v>11347</v>
      </c>
      <c r="C4390" s="106" t="s">
        <v>801</v>
      </c>
      <c r="D4390" s="107">
        <v>384.41</v>
      </c>
    </row>
    <row r="4391" spans="1:4" ht="63.75" x14ac:dyDescent="0.25">
      <c r="A4391" s="104">
        <v>86933</v>
      </c>
      <c r="B4391" s="105" t="s">
        <v>11348</v>
      </c>
      <c r="C4391" s="106" t="s">
        <v>801</v>
      </c>
      <c r="D4391" s="107">
        <v>259.24</v>
      </c>
    </row>
    <row r="4392" spans="1:4" ht="63.75" x14ac:dyDescent="0.25">
      <c r="A4392" s="104">
        <v>86934</v>
      </c>
      <c r="B4392" s="105" t="s">
        <v>11349</v>
      </c>
      <c r="C4392" s="106" t="s">
        <v>801</v>
      </c>
      <c r="D4392" s="107">
        <v>251.71</v>
      </c>
    </row>
    <row r="4393" spans="1:4" ht="38.25" x14ac:dyDescent="0.25">
      <c r="A4393" s="104">
        <v>86935</v>
      </c>
      <c r="B4393" s="105" t="s">
        <v>11350</v>
      </c>
      <c r="C4393" s="106" t="s">
        <v>801</v>
      </c>
      <c r="D4393" s="107">
        <v>219.87</v>
      </c>
    </row>
    <row r="4394" spans="1:4" ht="38.25" x14ac:dyDescent="0.25">
      <c r="A4394" s="104">
        <v>86936</v>
      </c>
      <c r="B4394" s="105" t="s">
        <v>11351</v>
      </c>
      <c r="C4394" s="106" t="s">
        <v>801</v>
      </c>
      <c r="D4394" s="107">
        <v>365.72</v>
      </c>
    </row>
    <row r="4395" spans="1:4" ht="38.25" x14ac:dyDescent="0.25">
      <c r="A4395" s="104">
        <v>86937</v>
      </c>
      <c r="B4395" s="105" t="s">
        <v>11352</v>
      </c>
      <c r="C4395" s="106" t="s">
        <v>801</v>
      </c>
      <c r="D4395" s="107">
        <v>142.97</v>
      </c>
    </row>
    <row r="4396" spans="1:4" ht="38.25" x14ac:dyDescent="0.25">
      <c r="A4396" s="104">
        <v>86938</v>
      </c>
      <c r="B4396" s="105" t="s">
        <v>11353</v>
      </c>
      <c r="C4396" s="106" t="s">
        <v>801</v>
      </c>
      <c r="D4396" s="107">
        <v>288.82</v>
      </c>
    </row>
    <row r="4397" spans="1:4" ht="51" x14ac:dyDescent="0.25">
      <c r="A4397" s="104">
        <v>86939</v>
      </c>
      <c r="B4397" s="105" t="s">
        <v>11354</v>
      </c>
      <c r="C4397" s="106" t="s">
        <v>801</v>
      </c>
      <c r="D4397" s="107">
        <v>278.16000000000003</v>
      </c>
    </row>
    <row r="4398" spans="1:4" ht="63.75" x14ac:dyDescent="0.25">
      <c r="A4398" s="104">
        <v>86940</v>
      </c>
      <c r="B4398" s="105" t="s">
        <v>11355</v>
      </c>
      <c r="C4398" s="106" t="s">
        <v>801</v>
      </c>
      <c r="D4398" s="107">
        <v>744.26</v>
      </c>
    </row>
    <row r="4399" spans="1:4" ht="63.75" x14ac:dyDescent="0.25">
      <c r="A4399" s="104">
        <v>86941</v>
      </c>
      <c r="B4399" s="105" t="s">
        <v>11356</v>
      </c>
      <c r="C4399" s="106" t="s">
        <v>801</v>
      </c>
      <c r="D4399" s="107">
        <v>574.35</v>
      </c>
    </row>
    <row r="4400" spans="1:4" ht="51" x14ac:dyDescent="0.25">
      <c r="A4400" s="104">
        <v>86942</v>
      </c>
      <c r="B4400" s="105" t="s">
        <v>11357</v>
      </c>
      <c r="C4400" s="106" t="s">
        <v>801</v>
      </c>
      <c r="D4400" s="107">
        <v>184.32</v>
      </c>
    </row>
    <row r="4401" spans="1:4" ht="51" x14ac:dyDescent="0.25">
      <c r="A4401" s="104">
        <v>86943</v>
      </c>
      <c r="B4401" s="105" t="s">
        <v>11358</v>
      </c>
      <c r="C4401" s="106" t="s">
        <v>801</v>
      </c>
      <c r="D4401" s="107">
        <v>176.79</v>
      </c>
    </row>
    <row r="4402" spans="1:4" ht="63.75" x14ac:dyDescent="0.25">
      <c r="A4402" s="104">
        <v>86947</v>
      </c>
      <c r="B4402" s="105" t="s">
        <v>11359</v>
      </c>
      <c r="C4402" s="106" t="s">
        <v>801</v>
      </c>
      <c r="D4402" s="107">
        <v>829.21</v>
      </c>
    </row>
    <row r="4403" spans="1:4" ht="63.75" x14ac:dyDescent="0.25">
      <c r="A4403" s="104">
        <v>93396</v>
      </c>
      <c r="B4403" s="105" t="s">
        <v>11360</v>
      </c>
      <c r="C4403" s="106" t="s">
        <v>801</v>
      </c>
      <c r="D4403" s="107">
        <v>491.42</v>
      </c>
    </row>
    <row r="4404" spans="1:4" ht="51" x14ac:dyDescent="0.25">
      <c r="A4404" s="104">
        <v>93441</v>
      </c>
      <c r="B4404" s="105" t="s">
        <v>11361</v>
      </c>
      <c r="C4404" s="106" t="s">
        <v>801</v>
      </c>
      <c r="D4404" s="107">
        <v>903.87</v>
      </c>
    </row>
    <row r="4405" spans="1:4" ht="63.75" x14ac:dyDescent="0.25">
      <c r="A4405" s="104">
        <v>93442</v>
      </c>
      <c r="B4405" s="105" t="s">
        <v>11362</v>
      </c>
      <c r="C4405" s="106" t="s">
        <v>801</v>
      </c>
      <c r="D4405" s="107">
        <v>984.25</v>
      </c>
    </row>
    <row r="4406" spans="1:4" ht="25.5" x14ac:dyDescent="0.25">
      <c r="A4406" s="104">
        <v>95469</v>
      </c>
      <c r="B4406" s="105" t="s">
        <v>11363</v>
      </c>
      <c r="C4406" s="106" t="s">
        <v>801</v>
      </c>
      <c r="D4406" s="107">
        <v>158.86000000000001</v>
      </c>
    </row>
    <row r="4407" spans="1:4" ht="38.25" x14ac:dyDescent="0.25">
      <c r="A4407" s="104">
        <v>95470</v>
      </c>
      <c r="B4407" s="105" t="s">
        <v>4412</v>
      </c>
      <c r="C4407" s="106" t="s">
        <v>801</v>
      </c>
      <c r="D4407" s="107">
        <v>165.18</v>
      </c>
    </row>
    <row r="4408" spans="1:4" ht="38.25" x14ac:dyDescent="0.25">
      <c r="A4408" s="104">
        <v>95471</v>
      </c>
      <c r="B4408" s="105" t="s">
        <v>11364</v>
      </c>
      <c r="C4408" s="106" t="s">
        <v>801</v>
      </c>
      <c r="D4408" s="107">
        <v>599.41</v>
      </c>
    </row>
    <row r="4409" spans="1:4" ht="51" x14ac:dyDescent="0.25">
      <c r="A4409" s="104">
        <v>95472</v>
      </c>
      <c r="B4409" s="105" t="s">
        <v>11365</v>
      </c>
      <c r="C4409" s="106" t="s">
        <v>801</v>
      </c>
      <c r="D4409" s="107">
        <v>605.73</v>
      </c>
    </row>
    <row r="4410" spans="1:4" ht="25.5" x14ac:dyDescent="0.25">
      <c r="A4410" s="104">
        <v>95542</v>
      </c>
      <c r="B4410" s="105" t="s">
        <v>11366</v>
      </c>
      <c r="C4410" s="106" t="s">
        <v>801</v>
      </c>
      <c r="D4410" s="107">
        <v>25.46</v>
      </c>
    </row>
    <row r="4411" spans="1:4" ht="25.5" x14ac:dyDescent="0.25">
      <c r="A4411" s="104">
        <v>95543</v>
      </c>
      <c r="B4411" s="105" t="s">
        <v>11367</v>
      </c>
      <c r="C4411" s="106" t="s">
        <v>801</v>
      </c>
      <c r="D4411" s="107">
        <v>42.78</v>
      </c>
    </row>
    <row r="4412" spans="1:4" ht="25.5" x14ac:dyDescent="0.25">
      <c r="A4412" s="104">
        <v>95544</v>
      </c>
      <c r="B4412" s="105" t="s">
        <v>11368</v>
      </c>
      <c r="C4412" s="106" t="s">
        <v>801</v>
      </c>
      <c r="D4412" s="107">
        <v>31.15</v>
      </c>
    </row>
    <row r="4413" spans="1:4" ht="25.5" x14ac:dyDescent="0.25">
      <c r="A4413" s="104">
        <v>95545</v>
      </c>
      <c r="B4413" s="105" t="s">
        <v>11369</v>
      </c>
      <c r="C4413" s="106" t="s">
        <v>801</v>
      </c>
      <c r="D4413" s="107">
        <v>30.55</v>
      </c>
    </row>
    <row r="4414" spans="1:4" ht="25.5" x14ac:dyDescent="0.25">
      <c r="A4414" s="104">
        <v>95546</v>
      </c>
      <c r="B4414" s="105" t="s">
        <v>11370</v>
      </c>
      <c r="C4414" s="106" t="s">
        <v>801</v>
      </c>
      <c r="D4414" s="107">
        <v>104.27</v>
      </c>
    </row>
    <row r="4415" spans="1:4" ht="25.5" x14ac:dyDescent="0.25">
      <c r="A4415" s="104">
        <v>95547</v>
      </c>
      <c r="B4415" s="105" t="s">
        <v>11371</v>
      </c>
      <c r="C4415" s="106" t="s">
        <v>801</v>
      </c>
      <c r="D4415" s="107">
        <v>53.3</v>
      </c>
    </row>
    <row r="4416" spans="1:4" ht="25.5" x14ac:dyDescent="0.25">
      <c r="A4416" s="104">
        <v>100848</v>
      </c>
      <c r="B4416" s="105" t="s">
        <v>11372</v>
      </c>
      <c r="C4416" s="106" t="s">
        <v>801</v>
      </c>
      <c r="D4416" s="107">
        <v>292.8</v>
      </c>
    </row>
    <row r="4417" spans="1:4" ht="25.5" x14ac:dyDescent="0.25">
      <c r="A4417" s="104">
        <v>100849</v>
      </c>
      <c r="B4417" s="105" t="s">
        <v>11373</v>
      </c>
      <c r="C4417" s="106" t="s">
        <v>801</v>
      </c>
      <c r="D4417" s="107">
        <v>31</v>
      </c>
    </row>
    <row r="4418" spans="1:4" ht="25.5" x14ac:dyDescent="0.25">
      <c r="A4418" s="104">
        <v>100851</v>
      </c>
      <c r="B4418" s="105" t="s">
        <v>11374</v>
      </c>
      <c r="C4418" s="106" t="s">
        <v>801</v>
      </c>
      <c r="D4418" s="107">
        <v>62.11</v>
      </c>
    </row>
    <row r="4419" spans="1:4" ht="25.5" x14ac:dyDescent="0.25">
      <c r="A4419" s="104">
        <v>100852</v>
      </c>
      <c r="B4419" s="105" t="s">
        <v>11375</v>
      </c>
      <c r="C4419" s="106" t="s">
        <v>801</v>
      </c>
      <c r="D4419" s="107">
        <v>169.7</v>
      </c>
    </row>
    <row r="4420" spans="1:4" ht="25.5" x14ac:dyDescent="0.25">
      <c r="A4420" s="104">
        <v>100854</v>
      </c>
      <c r="B4420" s="105" t="s">
        <v>11376</v>
      </c>
      <c r="C4420" s="106" t="s">
        <v>801</v>
      </c>
      <c r="D4420" s="107">
        <v>630.34</v>
      </c>
    </row>
    <row r="4421" spans="1:4" ht="25.5" x14ac:dyDescent="0.25">
      <c r="A4421" s="104">
        <v>100855</v>
      </c>
      <c r="B4421" s="105" t="s">
        <v>11377</v>
      </c>
      <c r="C4421" s="106" t="s">
        <v>801</v>
      </c>
      <c r="D4421" s="107">
        <v>30.55</v>
      </c>
    </row>
    <row r="4422" spans="1:4" ht="25.5" x14ac:dyDescent="0.25">
      <c r="A4422" s="104">
        <v>100856</v>
      </c>
      <c r="B4422" s="105" t="s">
        <v>11378</v>
      </c>
      <c r="C4422" s="106" t="s">
        <v>801</v>
      </c>
      <c r="D4422" s="107">
        <v>23.57</v>
      </c>
    </row>
    <row r="4423" spans="1:4" ht="25.5" x14ac:dyDescent="0.25">
      <c r="A4423" s="104">
        <v>100857</v>
      </c>
      <c r="B4423" s="105" t="s">
        <v>11379</v>
      </c>
      <c r="C4423" s="106" t="s">
        <v>801</v>
      </c>
      <c r="D4423" s="107">
        <v>235.9</v>
      </c>
    </row>
    <row r="4424" spans="1:4" ht="25.5" x14ac:dyDescent="0.25">
      <c r="A4424" s="104">
        <v>100858</v>
      </c>
      <c r="B4424" s="105" t="s">
        <v>11380</v>
      </c>
      <c r="C4424" s="106" t="s">
        <v>801</v>
      </c>
      <c r="D4424" s="107">
        <v>434.47</v>
      </c>
    </row>
    <row r="4425" spans="1:4" ht="25.5" x14ac:dyDescent="0.25">
      <c r="A4425" s="104">
        <v>100860</v>
      </c>
      <c r="B4425" s="105" t="s">
        <v>11381</v>
      </c>
      <c r="C4425" s="106" t="s">
        <v>801</v>
      </c>
      <c r="D4425" s="107">
        <v>73.790000000000006</v>
      </c>
    </row>
    <row r="4426" spans="1:4" ht="25.5" x14ac:dyDescent="0.25">
      <c r="A4426" s="104">
        <v>100861</v>
      </c>
      <c r="B4426" s="105" t="s">
        <v>11382</v>
      </c>
      <c r="C4426" s="106" t="s">
        <v>801</v>
      </c>
      <c r="D4426" s="107">
        <v>22.01</v>
      </c>
    </row>
    <row r="4427" spans="1:4" ht="25.5" x14ac:dyDescent="0.25">
      <c r="A4427" s="104">
        <v>100862</v>
      </c>
      <c r="B4427" s="105" t="s">
        <v>11383</v>
      </c>
      <c r="C4427" s="106" t="s">
        <v>801</v>
      </c>
      <c r="D4427" s="107">
        <v>24.06</v>
      </c>
    </row>
    <row r="4428" spans="1:4" ht="25.5" x14ac:dyDescent="0.25">
      <c r="A4428" s="104">
        <v>100863</v>
      </c>
      <c r="B4428" s="105" t="s">
        <v>11384</v>
      </c>
      <c r="C4428" s="106" t="s">
        <v>801</v>
      </c>
      <c r="D4428" s="107">
        <v>601.78</v>
      </c>
    </row>
    <row r="4429" spans="1:4" ht="25.5" x14ac:dyDescent="0.25">
      <c r="A4429" s="104">
        <v>100864</v>
      </c>
      <c r="B4429" s="105" t="s">
        <v>11385</v>
      </c>
      <c r="C4429" s="106" t="s">
        <v>801</v>
      </c>
      <c r="D4429" s="107">
        <v>670.59</v>
      </c>
    </row>
    <row r="4430" spans="1:4" ht="38.25" x14ac:dyDescent="0.25">
      <c r="A4430" s="104">
        <v>100865</v>
      </c>
      <c r="B4430" s="105" t="s">
        <v>11386</v>
      </c>
      <c r="C4430" s="106" t="s">
        <v>801</v>
      </c>
      <c r="D4430" s="107">
        <v>639.04</v>
      </c>
    </row>
    <row r="4431" spans="1:4" ht="25.5" x14ac:dyDescent="0.25">
      <c r="A4431" s="104">
        <v>100866</v>
      </c>
      <c r="B4431" s="105" t="s">
        <v>11387</v>
      </c>
      <c r="C4431" s="106" t="s">
        <v>801</v>
      </c>
      <c r="D4431" s="107">
        <v>295.66000000000003</v>
      </c>
    </row>
    <row r="4432" spans="1:4" ht="25.5" x14ac:dyDescent="0.25">
      <c r="A4432" s="104">
        <v>100867</v>
      </c>
      <c r="B4432" s="105" t="s">
        <v>11388</v>
      </c>
      <c r="C4432" s="106" t="s">
        <v>801</v>
      </c>
      <c r="D4432" s="107">
        <v>318.35000000000002</v>
      </c>
    </row>
    <row r="4433" spans="1:4" ht="25.5" x14ac:dyDescent="0.25">
      <c r="A4433" s="104">
        <v>100868</v>
      </c>
      <c r="B4433" s="105" t="s">
        <v>11389</v>
      </c>
      <c r="C4433" s="106" t="s">
        <v>801</v>
      </c>
      <c r="D4433" s="107">
        <v>333.45</v>
      </c>
    </row>
    <row r="4434" spans="1:4" ht="25.5" x14ac:dyDescent="0.25">
      <c r="A4434" s="104">
        <v>100869</v>
      </c>
      <c r="B4434" s="105" t="s">
        <v>11390</v>
      </c>
      <c r="C4434" s="106" t="s">
        <v>801</v>
      </c>
      <c r="D4434" s="107">
        <v>345.03</v>
      </c>
    </row>
    <row r="4435" spans="1:4" ht="25.5" x14ac:dyDescent="0.25">
      <c r="A4435" s="104">
        <v>100870</v>
      </c>
      <c r="B4435" s="105" t="s">
        <v>11391</v>
      </c>
      <c r="C4435" s="106" t="s">
        <v>801</v>
      </c>
      <c r="D4435" s="107">
        <v>190.43</v>
      </c>
    </row>
    <row r="4436" spans="1:4" ht="25.5" x14ac:dyDescent="0.25">
      <c r="A4436" s="104">
        <v>100871</v>
      </c>
      <c r="B4436" s="105" t="s">
        <v>11392</v>
      </c>
      <c r="C4436" s="106" t="s">
        <v>801</v>
      </c>
      <c r="D4436" s="107">
        <v>205.1</v>
      </c>
    </row>
    <row r="4437" spans="1:4" ht="25.5" x14ac:dyDescent="0.25">
      <c r="A4437" s="104">
        <v>100872</v>
      </c>
      <c r="B4437" s="105" t="s">
        <v>11393</v>
      </c>
      <c r="C4437" s="106" t="s">
        <v>801</v>
      </c>
      <c r="D4437" s="107">
        <v>214.46</v>
      </c>
    </row>
    <row r="4438" spans="1:4" ht="25.5" x14ac:dyDescent="0.25">
      <c r="A4438" s="104">
        <v>100873</v>
      </c>
      <c r="B4438" s="105" t="s">
        <v>11394</v>
      </c>
      <c r="C4438" s="106" t="s">
        <v>801</v>
      </c>
      <c r="D4438" s="107">
        <v>220.3</v>
      </c>
    </row>
    <row r="4439" spans="1:4" ht="25.5" x14ac:dyDescent="0.25">
      <c r="A4439" s="104">
        <v>100874</v>
      </c>
      <c r="B4439" s="105" t="s">
        <v>11395</v>
      </c>
      <c r="C4439" s="106" t="s">
        <v>801</v>
      </c>
      <c r="D4439" s="107">
        <v>295.66000000000003</v>
      </c>
    </row>
    <row r="4440" spans="1:4" ht="25.5" x14ac:dyDescent="0.25">
      <c r="A4440" s="104">
        <v>100875</v>
      </c>
      <c r="B4440" s="105" t="s">
        <v>11396</v>
      </c>
      <c r="C4440" s="106" t="s">
        <v>801</v>
      </c>
      <c r="D4440" s="107">
        <v>1172.8599999999999</v>
      </c>
    </row>
    <row r="4441" spans="1:4" ht="25.5" x14ac:dyDescent="0.25">
      <c r="A4441" s="104">
        <v>6087</v>
      </c>
      <c r="B4441" s="105" t="s">
        <v>4413</v>
      </c>
      <c r="C4441" s="106" t="s">
        <v>801</v>
      </c>
      <c r="D4441" s="107">
        <v>23.34</v>
      </c>
    </row>
    <row r="4442" spans="1:4" ht="38.25" x14ac:dyDescent="0.25">
      <c r="A4442" s="104">
        <v>98052</v>
      </c>
      <c r="B4442" s="105" t="s">
        <v>4414</v>
      </c>
      <c r="C4442" s="106" t="s">
        <v>801</v>
      </c>
      <c r="D4442" s="107">
        <v>1218.81</v>
      </c>
    </row>
    <row r="4443" spans="1:4" ht="38.25" x14ac:dyDescent="0.25">
      <c r="A4443" s="104">
        <v>98053</v>
      </c>
      <c r="B4443" s="105" t="s">
        <v>4415</v>
      </c>
      <c r="C4443" s="106" t="s">
        <v>801</v>
      </c>
      <c r="D4443" s="107">
        <v>1806.56</v>
      </c>
    </row>
    <row r="4444" spans="1:4" ht="38.25" x14ac:dyDescent="0.25">
      <c r="A4444" s="104">
        <v>98054</v>
      </c>
      <c r="B4444" s="105" t="s">
        <v>4416</v>
      </c>
      <c r="C4444" s="106" t="s">
        <v>801</v>
      </c>
      <c r="D4444" s="107">
        <v>2692.72</v>
      </c>
    </row>
    <row r="4445" spans="1:4" ht="38.25" x14ac:dyDescent="0.25">
      <c r="A4445" s="104">
        <v>98055</v>
      </c>
      <c r="B4445" s="105" t="s">
        <v>4417</v>
      </c>
      <c r="C4445" s="106" t="s">
        <v>801</v>
      </c>
      <c r="D4445" s="107">
        <v>3568.7</v>
      </c>
    </row>
    <row r="4446" spans="1:4" ht="38.25" x14ac:dyDescent="0.25">
      <c r="A4446" s="104">
        <v>98056</v>
      </c>
      <c r="B4446" s="105" t="s">
        <v>4418</v>
      </c>
      <c r="C4446" s="106" t="s">
        <v>801</v>
      </c>
      <c r="D4446" s="109">
        <v>4142.83</v>
      </c>
    </row>
    <row r="4447" spans="1:4" ht="38.25" x14ac:dyDescent="0.25">
      <c r="A4447" s="104">
        <v>98057</v>
      </c>
      <c r="B4447" s="105" t="s">
        <v>4419</v>
      </c>
      <c r="C4447" s="106" t="s">
        <v>801</v>
      </c>
      <c r="D4447" s="109">
        <v>5509.07</v>
      </c>
    </row>
    <row r="4448" spans="1:4" ht="38.25" x14ac:dyDescent="0.25">
      <c r="A4448" s="104">
        <v>98066</v>
      </c>
      <c r="B4448" s="105" t="s">
        <v>4420</v>
      </c>
      <c r="C4448" s="106" t="s">
        <v>801</v>
      </c>
      <c r="D4448" s="109">
        <v>3565.43</v>
      </c>
    </row>
    <row r="4449" spans="1:4" ht="38.25" x14ac:dyDescent="0.25">
      <c r="A4449" s="104">
        <v>98067</v>
      </c>
      <c r="B4449" s="105" t="s">
        <v>4421</v>
      </c>
      <c r="C4449" s="106" t="s">
        <v>801</v>
      </c>
      <c r="D4449" s="109">
        <v>4766.6000000000004</v>
      </c>
    </row>
    <row r="4450" spans="1:4" ht="38.25" x14ac:dyDescent="0.25">
      <c r="A4450" s="104">
        <v>98068</v>
      </c>
      <c r="B4450" s="105" t="s">
        <v>4422</v>
      </c>
      <c r="C4450" s="106" t="s">
        <v>801</v>
      </c>
      <c r="D4450" s="109">
        <v>6741.67</v>
      </c>
    </row>
    <row r="4451" spans="1:4" ht="38.25" x14ac:dyDescent="0.25">
      <c r="A4451" s="104">
        <v>98069</v>
      </c>
      <c r="B4451" s="105" t="s">
        <v>4423</v>
      </c>
      <c r="C4451" s="106" t="s">
        <v>801</v>
      </c>
      <c r="D4451" s="109">
        <v>9026.7900000000009</v>
      </c>
    </row>
    <row r="4452" spans="1:4" ht="38.25" x14ac:dyDescent="0.25">
      <c r="A4452" s="104">
        <v>98070</v>
      </c>
      <c r="B4452" s="105" t="s">
        <v>4424</v>
      </c>
      <c r="C4452" s="106" t="s">
        <v>801</v>
      </c>
      <c r="D4452" s="109">
        <v>10355.65</v>
      </c>
    </row>
    <row r="4453" spans="1:4" ht="38.25" x14ac:dyDescent="0.25">
      <c r="A4453" s="104">
        <v>98071</v>
      </c>
      <c r="B4453" s="105" t="s">
        <v>4425</v>
      </c>
      <c r="C4453" s="106" t="s">
        <v>801</v>
      </c>
      <c r="D4453" s="109">
        <v>11389.43</v>
      </c>
    </row>
    <row r="4454" spans="1:4" ht="38.25" x14ac:dyDescent="0.25">
      <c r="A4454" s="104">
        <v>98072</v>
      </c>
      <c r="B4454" s="105" t="s">
        <v>4426</v>
      </c>
      <c r="C4454" s="106" t="s">
        <v>801</v>
      </c>
      <c r="D4454" s="109">
        <v>2967.72</v>
      </c>
    </row>
    <row r="4455" spans="1:4" ht="38.25" x14ac:dyDescent="0.25">
      <c r="A4455" s="104">
        <v>98073</v>
      </c>
      <c r="B4455" s="105" t="s">
        <v>4427</v>
      </c>
      <c r="C4455" s="106" t="s">
        <v>801</v>
      </c>
      <c r="D4455" s="109">
        <v>4629.4399999999996</v>
      </c>
    </row>
    <row r="4456" spans="1:4" ht="38.25" x14ac:dyDescent="0.25">
      <c r="A4456" s="104">
        <v>98074</v>
      </c>
      <c r="B4456" s="105" t="s">
        <v>4428</v>
      </c>
      <c r="C4456" s="106" t="s">
        <v>801</v>
      </c>
      <c r="D4456" s="109">
        <v>7174.79</v>
      </c>
    </row>
    <row r="4457" spans="1:4" ht="38.25" x14ac:dyDescent="0.25">
      <c r="A4457" s="104">
        <v>98075</v>
      </c>
      <c r="B4457" s="105" t="s">
        <v>4429</v>
      </c>
      <c r="C4457" s="106" t="s">
        <v>801</v>
      </c>
      <c r="D4457" s="109">
        <v>9323.81</v>
      </c>
    </row>
    <row r="4458" spans="1:4" ht="38.25" x14ac:dyDescent="0.25">
      <c r="A4458" s="104">
        <v>98076</v>
      </c>
      <c r="B4458" s="105" t="s">
        <v>4430</v>
      </c>
      <c r="C4458" s="106" t="s">
        <v>801</v>
      </c>
      <c r="D4458" s="109">
        <v>10735.3</v>
      </c>
    </row>
    <row r="4459" spans="1:4" ht="38.25" x14ac:dyDescent="0.25">
      <c r="A4459" s="104">
        <v>98077</v>
      </c>
      <c r="B4459" s="105" t="s">
        <v>4431</v>
      </c>
      <c r="C4459" s="106" t="s">
        <v>801</v>
      </c>
      <c r="D4459" s="109">
        <v>12634.61</v>
      </c>
    </row>
    <row r="4460" spans="1:4" ht="38.25" x14ac:dyDescent="0.25">
      <c r="A4460" s="104">
        <v>98078</v>
      </c>
      <c r="B4460" s="105" t="s">
        <v>4432</v>
      </c>
      <c r="C4460" s="106" t="s">
        <v>801</v>
      </c>
      <c r="D4460" s="109">
        <v>3015.63</v>
      </c>
    </row>
    <row r="4461" spans="1:4" ht="38.25" x14ac:dyDescent="0.25">
      <c r="A4461" s="104">
        <v>98079</v>
      </c>
      <c r="B4461" s="105" t="s">
        <v>4433</v>
      </c>
      <c r="C4461" s="106" t="s">
        <v>801</v>
      </c>
      <c r="D4461" s="109">
        <v>5282.89</v>
      </c>
    </row>
    <row r="4462" spans="1:4" ht="38.25" x14ac:dyDescent="0.25">
      <c r="A4462" s="104">
        <v>98080</v>
      </c>
      <c r="B4462" s="105" t="s">
        <v>4434</v>
      </c>
      <c r="C4462" s="106" t="s">
        <v>801</v>
      </c>
      <c r="D4462" s="109">
        <v>6790.97</v>
      </c>
    </row>
    <row r="4463" spans="1:4" ht="38.25" x14ac:dyDescent="0.25">
      <c r="A4463" s="104">
        <v>98081</v>
      </c>
      <c r="B4463" s="105" t="s">
        <v>4435</v>
      </c>
      <c r="C4463" s="106" t="s">
        <v>801</v>
      </c>
      <c r="D4463" s="109">
        <v>10058.66</v>
      </c>
    </row>
    <row r="4464" spans="1:4" ht="38.25" x14ac:dyDescent="0.25">
      <c r="A4464" s="104">
        <v>98082</v>
      </c>
      <c r="B4464" s="105" t="s">
        <v>4436</v>
      </c>
      <c r="C4464" s="106" t="s">
        <v>801</v>
      </c>
      <c r="D4464" s="109">
        <v>2764.95</v>
      </c>
    </row>
    <row r="4465" spans="1:4" ht="38.25" x14ac:dyDescent="0.25">
      <c r="A4465" s="104">
        <v>98083</v>
      </c>
      <c r="B4465" s="105" t="s">
        <v>4437</v>
      </c>
      <c r="C4465" s="106" t="s">
        <v>801</v>
      </c>
      <c r="D4465" s="109">
        <v>3658.34</v>
      </c>
    </row>
    <row r="4466" spans="1:4" ht="38.25" x14ac:dyDescent="0.25">
      <c r="A4466" s="104">
        <v>98084</v>
      </c>
      <c r="B4466" s="105" t="s">
        <v>4438</v>
      </c>
      <c r="C4466" s="106" t="s">
        <v>801</v>
      </c>
      <c r="D4466" s="109">
        <v>5140.68</v>
      </c>
    </row>
    <row r="4467" spans="1:4" ht="38.25" x14ac:dyDescent="0.25">
      <c r="A4467" s="104">
        <v>98085</v>
      </c>
      <c r="B4467" s="105" t="s">
        <v>4439</v>
      </c>
      <c r="C4467" s="106" t="s">
        <v>801</v>
      </c>
      <c r="D4467" s="109">
        <v>6954.79</v>
      </c>
    </row>
    <row r="4468" spans="1:4" ht="38.25" x14ac:dyDescent="0.25">
      <c r="A4468" s="104">
        <v>98086</v>
      </c>
      <c r="B4468" s="105" t="s">
        <v>4440</v>
      </c>
      <c r="C4468" s="106" t="s">
        <v>801</v>
      </c>
      <c r="D4468" s="109">
        <v>7876.89</v>
      </c>
    </row>
    <row r="4469" spans="1:4" ht="38.25" x14ac:dyDescent="0.25">
      <c r="A4469" s="104">
        <v>98087</v>
      </c>
      <c r="B4469" s="105" t="s">
        <v>4441</v>
      </c>
      <c r="C4469" s="106" t="s">
        <v>801</v>
      </c>
      <c r="D4469" s="109">
        <v>8459.9599999999991</v>
      </c>
    </row>
    <row r="4470" spans="1:4" ht="38.25" x14ac:dyDescent="0.25">
      <c r="A4470" s="104">
        <v>98088</v>
      </c>
      <c r="B4470" s="105" t="s">
        <v>4442</v>
      </c>
      <c r="C4470" s="106" t="s">
        <v>801</v>
      </c>
      <c r="D4470" s="109">
        <v>2362.0300000000002</v>
      </c>
    </row>
    <row r="4471" spans="1:4" ht="38.25" x14ac:dyDescent="0.25">
      <c r="A4471" s="104">
        <v>98089</v>
      </c>
      <c r="B4471" s="105" t="s">
        <v>4443</v>
      </c>
      <c r="C4471" s="106" t="s">
        <v>801</v>
      </c>
      <c r="D4471" s="109">
        <v>3732.68</v>
      </c>
    </row>
    <row r="4472" spans="1:4" ht="38.25" x14ac:dyDescent="0.25">
      <c r="A4472" s="104">
        <v>98090</v>
      </c>
      <c r="B4472" s="105" t="s">
        <v>4444</v>
      </c>
      <c r="C4472" s="106" t="s">
        <v>801</v>
      </c>
      <c r="D4472" s="109">
        <v>5861.04</v>
      </c>
    </row>
    <row r="4473" spans="1:4" ht="38.25" x14ac:dyDescent="0.25">
      <c r="A4473" s="104">
        <v>98091</v>
      </c>
      <c r="B4473" s="105" t="s">
        <v>4445</v>
      </c>
      <c r="C4473" s="106" t="s">
        <v>801</v>
      </c>
      <c r="D4473" s="109">
        <v>7579.34</v>
      </c>
    </row>
    <row r="4474" spans="1:4" ht="38.25" x14ac:dyDescent="0.25">
      <c r="A4474" s="104">
        <v>98092</v>
      </c>
      <c r="B4474" s="105" t="s">
        <v>4446</v>
      </c>
      <c r="C4474" s="106" t="s">
        <v>801</v>
      </c>
      <c r="D4474" s="109">
        <v>8885.82</v>
      </c>
    </row>
    <row r="4475" spans="1:4" ht="38.25" x14ac:dyDescent="0.25">
      <c r="A4475" s="104">
        <v>98093</v>
      </c>
      <c r="B4475" s="105" t="s">
        <v>4447</v>
      </c>
      <c r="C4475" s="106" t="s">
        <v>801</v>
      </c>
      <c r="D4475" s="109">
        <v>10488.53</v>
      </c>
    </row>
    <row r="4476" spans="1:4" ht="38.25" x14ac:dyDescent="0.25">
      <c r="A4476" s="104">
        <v>98094</v>
      </c>
      <c r="B4476" s="105" t="s">
        <v>4448</v>
      </c>
      <c r="C4476" s="106" t="s">
        <v>801</v>
      </c>
      <c r="D4476" s="109">
        <v>1990.03</v>
      </c>
    </row>
    <row r="4477" spans="1:4" ht="38.25" x14ac:dyDescent="0.25">
      <c r="A4477" s="104">
        <v>98099</v>
      </c>
      <c r="B4477" s="105" t="s">
        <v>4449</v>
      </c>
      <c r="C4477" s="106" t="s">
        <v>801</v>
      </c>
      <c r="D4477" s="109">
        <v>3417.41</v>
      </c>
    </row>
    <row r="4478" spans="1:4" ht="38.25" x14ac:dyDescent="0.25">
      <c r="A4478" s="104">
        <v>98100</v>
      </c>
      <c r="B4478" s="105" t="s">
        <v>4450</v>
      </c>
      <c r="C4478" s="106" t="s">
        <v>801</v>
      </c>
      <c r="D4478" s="109">
        <v>4458.88</v>
      </c>
    </row>
    <row r="4479" spans="1:4" ht="38.25" x14ac:dyDescent="0.25">
      <c r="A4479" s="104">
        <v>98101</v>
      </c>
      <c r="B4479" s="105" t="s">
        <v>4451</v>
      </c>
      <c r="C4479" s="106" t="s">
        <v>801</v>
      </c>
      <c r="D4479" s="109">
        <v>6594.06</v>
      </c>
    </row>
    <row r="4480" spans="1:4" ht="51" x14ac:dyDescent="0.25">
      <c r="A4480" s="104">
        <v>98109</v>
      </c>
      <c r="B4480" s="105" t="s">
        <v>4452</v>
      </c>
      <c r="C4480" s="106" t="s">
        <v>801</v>
      </c>
      <c r="D4480" s="109">
        <v>582.27</v>
      </c>
    </row>
    <row r="4481" spans="1:4" ht="25.5" x14ac:dyDescent="0.25">
      <c r="A4481" s="104">
        <v>98110</v>
      </c>
      <c r="B4481" s="105" t="s">
        <v>4453</v>
      </c>
      <c r="C4481" s="106" t="s">
        <v>801</v>
      </c>
      <c r="D4481" s="109">
        <v>394.32</v>
      </c>
    </row>
    <row r="4482" spans="1:4" ht="25.5" x14ac:dyDescent="0.25">
      <c r="A4482" s="104">
        <v>98111</v>
      </c>
      <c r="B4482" s="105" t="s">
        <v>4454</v>
      </c>
      <c r="C4482" s="106" t="s">
        <v>801</v>
      </c>
      <c r="D4482" s="109">
        <v>19.899999999999999</v>
      </c>
    </row>
    <row r="4483" spans="1:4" ht="25.5" x14ac:dyDescent="0.25">
      <c r="A4483" s="104">
        <v>98114</v>
      </c>
      <c r="B4483" s="105" t="s">
        <v>4455</v>
      </c>
      <c r="C4483" s="106" t="s">
        <v>801</v>
      </c>
      <c r="D4483" s="109">
        <v>459.81</v>
      </c>
    </row>
    <row r="4484" spans="1:4" ht="25.5" x14ac:dyDescent="0.25">
      <c r="A4484" s="104">
        <v>98115</v>
      </c>
      <c r="B4484" s="105" t="s">
        <v>4456</v>
      </c>
      <c r="C4484" s="106" t="s">
        <v>801</v>
      </c>
      <c r="D4484" s="107">
        <v>83.23</v>
      </c>
    </row>
    <row r="4485" spans="1:4" ht="38.25" x14ac:dyDescent="0.25">
      <c r="A4485" s="104">
        <v>89957</v>
      </c>
      <c r="B4485" s="105" t="s">
        <v>4457</v>
      </c>
      <c r="C4485" s="106" t="s">
        <v>801</v>
      </c>
      <c r="D4485" s="107">
        <v>97.56</v>
      </c>
    </row>
    <row r="4486" spans="1:4" ht="38.25" x14ac:dyDescent="0.25">
      <c r="A4486" s="104">
        <v>89959</v>
      </c>
      <c r="B4486" s="105" t="s">
        <v>4458</v>
      </c>
      <c r="C4486" s="106" t="s">
        <v>801</v>
      </c>
      <c r="D4486" s="107">
        <v>188.08</v>
      </c>
    </row>
    <row r="4487" spans="1:4" ht="25.5" x14ac:dyDescent="0.25">
      <c r="A4487" s="104">
        <v>89349</v>
      </c>
      <c r="B4487" s="105" t="s">
        <v>4459</v>
      </c>
      <c r="C4487" s="106" t="s">
        <v>801</v>
      </c>
      <c r="D4487" s="107">
        <v>20.010000000000002</v>
      </c>
    </row>
    <row r="4488" spans="1:4" ht="25.5" x14ac:dyDescent="0.25">
      <c r="A4488" s="104">
        <v>89351</v>
      </c>
      <c r="B4488" s="105" t="s">
        <v>4460</v>
      </c>
      <c r="C4488" s="106" t="s">
        <v>801</v>
      </c>
      <c r="D4488" s="107">
        <v>22.63</v>
      </c>
    </row>
    <row r="4489" spans="1:4" ht="25.5" x14ac:dyDescent="0.25">
      <c r="A4489" s="104">
        <v>89352</v>
      </c>
      <c r="B4489" s="105" t="s">
        <v>4461</v>
      </c>
      <c r="C4489" s="106" t="s">
        <v>801</v>
      </c>
      <c r="D4489" s="107">
        <v>25.56</v>
      </c>
    </row>
    <row r="4490" spans="1:4" ht="25.5" x14ac:dyDescent="0.25">
      <c r="A4490" s="104">
        <v>89353</v>
      </c>
      <c r="B4490" s="105" t="s">
        <v>370</v>
      </c>
      <c r="C4490" s="106" t="s">
        <v>801</v>
      </c>
      <c r="D4490" s="107">
        <v>26.6</v>
      </c>
    </row>
    <row r="4491" spans="1:4" ht="38.25" x14ac:dyDescent="0.25">
      <c r="A4491" s="104">
        <v>89354</v>
      </c>
      <c r="B4491" s="105" t="s">
        <v>4462</v>
      </c>
      <c r="C4491" s="106" t="s">
        <v>801</v>
      </c>
      <c r="D4491" s="107">
        <v>241.17</v>
      </c>
    </row>
    <row r="4492" spans="1:4" ht="38.25" x14ac:dyDescent="0.25">
      <c r="A4492" s="106">
        <v>89969</v>
      </c>
      <c r="B4492" s="105" t="s">
        <v>4463</v>
      </c>
      <c r="C4492" s="106" t="s">
        <v>801</v>
      </c>
      <c r="D4492" s="107">
        <v>30.74</v>
      </c>
    </row>
    <row r="4493" spans="1:4" ht="38.25" x14ac:dyDescent="0.25">
      <c r="A4493" s="106">
        <v>89970</v>
      </c>
      <c r="B4493" s="105" t="s">
        <v>4464</v>
      </c>
      <c r="C4493" s="106" t="s">
        <v>801</v>
      </c>
      <c r="D4493" s="107">
        <v>33.29</v>
      </c>
    </row>
    <row r="4494" spans="1:4" ht="38.25" x14ac:dyDescent="0.25">
      <c r="A4494" s="106">
        <v>89971</v>
      </c>
      <c r="B4494" s="105" t="s">
        <v>4465</v>
      </c>
      <c r="C4494" s="106" t="s">
        <v>801</v>
      </c>
      <c r="D4494" s="107">
        <v>34.04</v>
      </c>
    </row>
    <row r="4495" spans="1:4" ht="38.25" x14ac:dyDescent="0.25">
      <c r="A4495" s="106">
        <v>89972</v>
      </c>
      <c r="B4495" s="105" t="s">
        <v>4466</v>
      </c>
      <c r="C4495" s="106" t="s">
        <v>801</v>
      </c>
      <c r="D4495" s="107">
        <v>36.700000000000003</v>
      </c>
    </row>
    <row r="4496" spans="1:4" ht="38.25" x14ac:dyDescent="0.25">
      <c r="A4496" s="106">
        <v>89973</v>
      </c>
      <c r="B4496" s="105" t="s">
        <v>4467</v>
      </c>
      <c r="C4496" s="106" t="s">
        <v>801</v>
      </c>
      <c r="D4496" s="107">
        <v>443.64</v>
      </c>
    </row>
    <row r="4497" spans="1:4" ht="38.25" x14ac:dyDescent="0.25">
      <c r="A4497" s="104">
        <v>89974</v>
      </c>
      <c r="B4497" s="105" t="s">
        <v>4468</v>
      </c>
      <c r="C4497" s="106" t="s">
        <v>801</v>
      </c>
      <c r="D4497" s="107">
        <v>265.38</v>
      </c>
    </row>
    <row r="4498" spans="1:4" ht="38.25" x14ac:dyDescent="0.25">
      <c r="A4498" s="104">
        <v>89984</v>
      </c>
      <c r="B4498" s="105" t="s">
        <v>4469</v>
      </c>
      <c r="C4498" s="106" t="s">
        <v>801</v>
      </c>
      <c r="D4498" s="107">
        <v>53.43</v>
      </c>
    </row>
    <row r="4499" spans="1:4" ht="38.25" x14ac:dyDescent="0.25">
      <c r="A4499" s="104">
        <v>89985</v>
      </c>
      <c r="B4499" s="105" t="s">
        <v>366</v>
      </c>
      <c r="C4499" s="106" t="s">
        <v>801</v>
      </c>
      <c r="D4499" s="107">
        <v>54.93</v>
      </c>
    </row>
    <row r="4500" spans="1:4" ht="38.25" x14ac:dyDescent="0.25">
      <c r="A4500" s="104">
        <v>89986</v>
      </c>
      <c r="B4500" s="105" t="s">
        <v>4470</v>
      </c>
      <c r="C4500" s="106" t="s">
        <v>801</v>
      </c>
      <c r="D4500" s="107">
        <v>52.15</v>
      </c>
    </row>
    <row r="4501" spans="1:4" ht="38.25" x14ac:dyDescent="0.25">
      <c r="A4501" s="104">
        <v>89987</v>
      </c>
      <c r="B4501" s="105" t="s">
        <v>365</v>
      </c>
      <c r="C4501" s="106" t="s">
        <v>801</v>
      </c>
      <c r="D4501" s="107">
        <v>57.72</v>
      </c>
    </row>
    <row r="4502" spans="1:4" ht="25.5" x14ac:dyDescent="0.25">
      <c r="A4502" s="104">
        <v>90371</v>
      </c>
      <c r="B4502" s="105" t="s">
        <v>4471</v>
      </c>
      <c r="C4502" s="106" t="s">
        <v>801</v>
      </c>
      <c r="D4502" s="107">
        <v>16.079999999999998</v>
      </c>
    </row>
    <row r="4503" spans="1:4" ht="38.25" x14ac:dyDescent="0.25">
      <c r="A4503" s="104">
        <v>94489</v>
      </c>
      <c r="B4503" s="105" t="s">
        <v>4472</v>
      </c>
      <c r="C4503" s="106" t="s">
        <v>801</v>
      </c>
      <c r="D4503" s="107">
        <v>13.96</v>
      </c>
    </row>
    <row r="4504" spans="1:4" ht="38.25" x14ac:dyDescent="0.25">
      <c r="A4504" s="104">
        <v>94490</v>
      </c>
      <c r="B4504" s="105" t="s">
        <v>4473</v>
      </c>
      <c r="C4504" s="106" t="s">
        <v>801</v>
      </c>
      <c r="D4504" s="107">
        <v>23.02</v>
      </c>
    </row>
    <row r="4505" spans="1:4" ht="38.25" x14ac:dyDescent="0.25">
      <c r="A4505" s="104">
        <v>94491</v>
      </c>
      <c r="B4505" s="105" t="s">
        <v>4474</v>
      </c>
      <c r="C4505" s="106" t="s">
        <v>801</v>
      </c>
      <c r="D4505" s="107">
        <v>32.549999999999997</v>
      </c>
    </row>
    <row r="4506" spans="1:4" ht="38.25" x14ac:dyDescent="0.25">
      <c r="A4506" s="104">
        <v>94492</v>
      </c>
      <c r="B4506" s="105" t="s">
        <v>4475</v>
      </c>
      <c r="C4506" s="106" t="s">
        <v>801</v>
      </c>
      <c r="D4506" s="107">
        <v>33.22</v>
      </c>
    </row>
    <row r="4507" spans="1:4" ht="38.25" x14ac:dyDescent="0.25">
      <c r="A4507" s="104">
        <v>94493</v>
      </c>
      <c r="B4507" s="105" t="s">
        <v>4476</v>
      </c>
      <c r="C4507" s="106" t="s">
        <v>801</v>
      </c>
      <c r="D4507" s="107">
        <v>61.16</v>
      </c>
    </row>
    <row r="4508" spans="1:4" ht="38.25" x14ac:dyDescent="0.25">
      <c r="A4508" s="104">
        <v>94494</v>
      </c>
      <c r="B4508" s="105" t="s">
        <v>268</v>
      </c>
      <c r="C4508" s="106" t="s">
        <v>801</v>
      </c>
      <c r="D4508" s="107">
        <v>44.73</v>
      </c>
    </row>
    <row r="4509" spans="1:4" ht="38.25" x14ac:dyDescent="0.25">
      <c r="A4509" s="104">
        <v>94495</v>
      </c>
      <c r="B4509" s="105" t="s">
        <v>269</v>
      </c>
      <c r="C4509" s="106" t="s">
        <v>801</v>
      </c>
      <c r="D4509" s="107">
        <v>56.35</v>
      </c>
    </row>
    <row r="4510" spans="1:4" ht="38.25" x14ac:dyDescent="0.25">
      <c r="A4510" s="104">
        <v>94496</v>
      </c>
      <c r="B4510" s="105" t="s">
        <v>271</v>
      </c>
      <c r="C4510" s="106" t="s">
        <v>801</v>
      </c>
      <c r="D4510" s="107">
        <v>68.459999999999994</v>
      </c>
    </row>
    <row r="4511" spans="1:4" ht="38.25" x14ac:dyDescent="0.25">
      <c r="A4511" s="104">
        <v>94497</v>
      </c>
      <c r="B4511" s="105" t="s">
        <v>270</v>
      </c>
      <c r="C4511" s="106" t="s">
        <v>801</v>
      </c>
      <c r="D4511" s="107">
        <v>79.81</v>
      </c>
    </row>
    <row r="4512" spans="1:4" ht="38.25" x14ac:dyDescent="0.25">
      <c r="A4512" s="104">
        <v>94498</v>
      </c>
      <c r="B4512" s="105" t="s">
        <v>4477</v>
      </c>
      <c r="C4512" s="106" t="s">
        <v>801</v>
      </c>
      <c r="D4512" s="107">
        <v>102.46</v>
      </c>
    </row>
    <row r="4513" spans="1:4" ht="38.25" x14ac:dyDescent="0.25">
      <c r="A4513" s="104">
        <v>94499</v>
      </c>
      <c r="B4513" s="105" t="s">
        <v>272</v>
      </c>
      <c r="C4513" s="106" t="s">
        <v>801</v>
      </c>
      <c r="D4513" s="107">
        <v>184.05</v>
      </c>
    </row>
    <row r="4514" spans="1:4" ht="38.25" x14ac:dyDescent="0.25">
      <c r="A4514" s="104">
        <v>94500</v>
      </c>
      <c r="B4514" s="105" t="s">
        <v>4478</v>
      </c>
      <c r="C4514" s="106" t="s">
        <v>801</v>
      </c>
      <c r="D4514" s="107">
        <v>218.46</v>
      </c>
    </row>
    <row r="4515" spans="1:4" ht="38.25" x14ac:dyDescent="0.25">
      <c r="A4515" s="104">
        <v>94501</v>
      </c>
      <c r="B4515" s="105" t="s">
        <v>273</v>
      </c>
      <c r="C4515" s="106" t="s">
        <v>801</v>
      </c>
      <c r="D4515" s="107">
        <v>425.19</v>
      </c>
    </row>
    <row r="4516" spans="1:4" ht="51" x14ac:dyDescent="0.25">
      <c r="A4516" s="104">
        <v>94792</v>
      </c>
      <c r="B4516" s="105" t="s">
        <v>4479</v>
      </c>
      <c r="C4516" s="106" t="s">
        <v>801</v>
      </c>
      <c r="D4516" s="107">
        <v>84.63</v>
      </c>
    </row>
    <row r="4517" spans="1:4" ht="51" x14ac:dyDescent="0.25">
      <c r="A4517" s="104">
        <v>94793</v>
      </c>
      <c r="B4517" s="105" t="s">
        <v>4480</v>
      </c>
      <c r="C4517" s="106" t="s">
        <v>801</v>
      </c>
      <c r="D4517" s="107">
        <v>108.65</v>
      </c>
    </row>
    <row r="4518" spans="1:4" ht="51" x14ac:dyDescent="0.25">
      <c r="A4518" s="104">
        <v>94794</v>
      </c>
      <c r="B4518" s="105" t="s">
        <v>364</v>
      </c>
      <c r="C4518" s="106" t="s">
        <v>801</v>
      </c>
      <c r="D4518" s="107">
        <v>112.48</v>
      </c>
    </row>
    <row r="4519" spans="1:4" ht="25.5" x14ac:dyDescent="0.25">
      <c r="A4519" s="104">
        <v>94795</v>
      </c>
      <c r="B4519" s="105" t="s">
        <v>4481</v>
      </c>
      <c r="C4519" s="106" t="s">
        <v>801</v>
      </c>
      <c r="D4519" s="107">
        <v>22.08</v>
      </c>
    </row>
    <row r="4520" spans="1:4" ht="25.5" x14ac:dyDescent="0.25">
      <c r="A4520" s="104">
        <v>94796</v>
      </c>
      <c r="B4520" s="105" t="s">
        <v>4482</v>
      </c>
      <c r="C4520" s="106" t="s">
        <v>801</v>
      </c>
      <c r="D4520" s="107">
        <v>25.69</v>
      </c>
    </row>
    <row r="4521" spans="1:4" ht="25.5" x14ac:dyDescent="0.25">
      <c r="A4521" s="104">
        <v>94797</v>
      </c>
      <c r="B4521" s="105" t="s">
        <v>4483</v>
      </c>
      <c r="C4521" s="106" t="s">
        <v>801</v>
      </c>
      <c r="D4521" s="107">
        <v>39.119999999999997</v>
      </c>
    </row>
    <row r="4522" spans="1:4" ht="25.5" x14ac:dyDescent="0.25">
      <c r="A4522" s="104">
        <v>94798</v>
      </c>
      <c r="B4522" s="105" t="s">
        <v>4484</v>
      </c>
      <c r="C4522" s="106" t="s">
        <v>801</v>
      </c>
      <c r="D4522" s="107">
        <v>84.95</v>
      </c>
    </row>
    <row r="4523" spans="1:4" ht="25.5" x14ac:dyDescent="0.25">
      <c r="A4523" s="104">
        <v>94799</v>
      </c>
      <c r="B4523" s="105" t="s">
        <v>4485</v>
      </c>
      <c r="C4523" s="106" t="s">
        <v>801</v>
      </c>
      <c r="D4523" s="107">
        <v>82.39</v>
      </c>
    </row>
    <row r="4524" spans="1:4" ht="25.5" x14ac:dyDescent="0.25">
      <c r="A4524" s="104">
        <v>94800</v>
      </c>
      <c r="B4524" s="105" t="s">
        <v>4486</v>
      </c>
      <c r="C4524" s="106" t="s">
        <v>801</v>
      </c>
      <c r="D4524" s="107">
        <v>140.38999999999999</v>
      </c>
    </row>
    <row r="4525" spans="1:4" ht="38.25" x14ac:dyDescent="0.25">
      <c r="A4525" s="104">
        <v>95248</v>
      </c>
      <c r="B4525" s="105" t="s">
        <v>4487</v>
      </c>
      <c r="C4525" s="106" t="s">
        <v>801</v>
      </c>
      <c r="D4525" s="107">
        <v>53.19</v>
      </c>
    </row>
    <row r="4526" spans="1:4" ht="38.25" x14ac:dyDescent="0.25">
      <c r="A4526" s="104">
        <v>95249</v>
      </c>
      <c r="B4526" s="105" t="s">
        <v>4488</v>
      </c>
      <c r="C4526" s="106" t="s">
        <v>801</v>
      </c>
      <c r="D4526" s="107">
        <v>57.59</v>
      </c>
    </row>
    <row r="4527" spans="1:4" ht="38.25" x14ac:dyDescent="0.25">
      <c r="A4527" s="104">
        <v>95250</v>
      </c>
      <c r="B4527" s="105" t="s">
        <v>4489</v>
      </c>
      <c r="C4527" s="106" t="s">
        <v>801</v>
      </c>
      <c r="D4527" s="107">
        <v>69.13</v>
      </c>
    </row>
    <row r="4528" spans="1:4" ht="38.25" x14ac:dyDescent="0.25">
      <c r="A4528" s="104">
        <v>95251</v>
      </c>
      <c r="B4528" s="105" t="s">
        <v>4490</v>
      </c>
      <c r="C4528" s="106" t="s">
        <v>801</v>
      </c>
      <c r="D4528" s="107">
        <v>91.55</v>
      </c>
    </row>
    <row r="4529" spans="1:4" ht="38.25" x14ac:dyDescent="0.25">
      <c r="A4529" s="104">
        <v>95252</v>
      </c>
      <c r="B4529" s="105" t="s">
        <v>4491</v>
      </c>
      <c r="C4529" s="106" t="s">
        <v>801</v>
      </c>
      <c r="D4529" s="107">
        <v>105.15</v>
      </c>
    </row>
    <row r="4530" spans="1:4" ht="38.25" x14ac:dyDescent="0.25">
      <c r="A4530" s="104">
        <v>95253</v>
      </c>
      <c r="B4530" s="105" t="s">
        <v>4492</v>
      </c>
      <c r="C4530" s="106" t="s">
        <v>801</v>
      </c>
      <c r="D4530" s="107">
        <v>149.66999999999999</v>
      </c>
    </row>
    <row r="4531" spans="1:4" ht="25.5" x14ac:dyDescent="0.25">
      <c r="A4531" s="104">
        <v>99619</v>
      </c>
      <c r="B4531" s="105" t="s">
        <v>4493</v>
      </c>
      <c r="C4531" s="106" t="s">
        <v>801</v>
      </c>
      <c r="D4531" s="107">
        <v>59.45</v>
      </c>
    </row>
    <row r="4532" spans="1:4" ht="25.5" x14ac:dyDescent="0.25">
      <c r="A4532" s="104">
        <v>99620</v>
      </c>
      <c r="B4532" s="105" t="s">
        <v>4494</v>
      </c>
      <c r="C4532" s="106" t="s">
        <v>801</v>
      </c>
      <c r="D4532" s="107">
        <v>96.6</v>
      </c>
    </row>
    <row r="4533" spans="1:4" ht="25.5" x14ac:dyDescent="0.25">
      <c r="A4533" s="104">
        <v>99621</v>
      </c>
      <c r="B4533" s="105" t="s">
        <v>4495</v>
      </c>
      <c r="C4533" s="106" t="s">
        <v>801</v>
      </c>
      <c r="D4533" s="107">
        <v>132.97</v>
      </c>
    </row>
    <row r="4534" spans="1:4" ht="25.5" x14ac:dyDescent="0.25">
      <c r="A4534" s="104">
        <v>99622</v>
      </c>
      <c r="B4534" s="105" t="s">
        <v>4496</v>
      </c>
      <c r="C4534" s="106" t="s">
        <v>801</v>
      </c>
      <c r="D4534" s="107">
        <v>145.63</v>
      </c>
    </row>
    <row r="4535" spans="1:4" ht="25.5" x14ac:dyDescent="0.25">
      <c r="A4535" s="104">
        <v>99623</v>
      </c>
      <c r="B4535" s="105" t="s">
        <v>4497</v>
      </c>
      <c r="C4535" s="106" t="s">
        <v>801</v>
      </c>
      <c r="D4535" s="107">
        <v>195.12</v>
      </c>
    </row>
    <row r="4536" spans="1:4" ht="25.5" x14ac:dyDescent="0.25">
      <c r="A4536" s="104">
        <v>99624</v>
      </c>
      <c r="B4536" s="105" t="s">
        <v>4498</v>
      </c>
      <c r="C4536" s="106" t="s">
        <v>801</v>
      </c>
      <c r="D4536" s="107">
        <v>267.64</v>
      </c>
    </row>
    <row r="4537" spans="1:4" ht="25.5" x14ac:dyDescent="0.25">
      <c r="A4537" s="104">
        <v>99625</v>
      </c>
      <c r="B4537" s="105" t="s">
        <v>4499</v>
      </c>
      <c r="C4537" s="106" t="s">
        <v>801</v>
      </c>
      <c r="D4537" s="107">
        <v>360.79</v>
      </c>
    </row>
    <row r="4538" spans="1:4" ht="25.5" x14ac:dyDescent="0.25">
      <c r="A4538" s="104">
        <v>99626</v>
      </c>
      <c r="B4538" s="105" t="s">
        <v>4500</v>
      </c>
      <c r="C4538" s="106" t="s">
        <v>801</v>
      </c>
      <c r="D4538" s="107">
        <v>544.32000000000005</v>
      </c>
    </row>
    <row r="4539" spans="1:4" ht="25.5" x14ac:dyDescent="0.25">
      <c r="A4539" s="104">
        <v>99627</v>
      </c>
      <c r="B4539" s="105" t="s">
        <v>4501</v>
      </c>
      <c r="C4539" s="106" t="s">
        <v>801</v>
      </c>
      <c r="D4539" s="107">
        <v>57.06</v>
      </c>
    </row>
    <row r="4540" spans="1:4" ht="25.5" x14ac:dyDescent="0.25">
      <c r="A4540" s="104">
        <v>99628</v>
      </c>
      <c r="B4540" s="105" t="s">
        <v>4502</v>
      </c>
      <c r="C4540" s="106" t="s">
        <v>801</v>
      </c>
      <c r="D4540" s="107">
        <v>40.450000000000003</v>
      </c>
    </row>
    <row r="4541" spans="1:4" ht="25.5" x14ac:dyDescent="0.25">
      <c r="A4541" s="104">
        <v>99629</v>
      </c>
      <c r="B4541" s="105" t="s">
        <v>4503</v>
      </c>
      <c r="C4541" s="106" t="s">
        <v>801</v>
      </c>
      <c r="D4541" s="107">
        <v>61.72</v>
      </c>
    </row>
    <row r="4542" spans="1:4" ht="25.5" x14ac:dyDescent="0.25">
      <c r="A4542" s="104">
        <v>99630</v>
      </c>
      <c r="B4542" s="105" t="s">
        <v>4504</v>
      </c>
      <c r="C4542" s="106" t="s">
        <v>801</v>
      </c>
      <c r="D4542" s="107">
        <v>80.88</v>
      </c>
    </row>
    <row r="4543" spans="1:4" ht="25.5" x14ac:dyDescent="0.25">
      <c r="A4543" s="104">
        <v>99631</v>
      </c>
      <c r="B4543" s="105" t="s">
        <v>4505</v>
      </c>
      <c r="C4543" s="106" t="s">
        <v>801</v>
      </c>
      <c r="D4543" s="107">
        <v>89.34</v>
      </c>
    </row>
    <row r="4544" spans="1:4" ht="25.5" x14ac:dyDescent="0.25">
      <c r="A4544" s="104">
        <v>99632</v>
      </c>
      <c r="B4544" s="105" t="s">
        <v>4506</v>
      </c>
      <c r="C4544" s="106" t="s">
        <v>801</v>
      </c>
      <c r="D4544" s="107">
        <v>119.85</v>
      </c>
    </row>
    <row r="4545" spans="1:4" ht="25.5" x14ac:dyDescent="0.25">
      <c r="A4545" s="104">
        <v>99633</v>
      </c>
      <c r="B4545" s="105" t="s">
        <v>4507</v>
      </c>
      <c r="C4545" s="106" t="s">
        <v>801</v>
      </c>
      <c r="D4545" s="107">
        <v>232</v>
      </c>
    </row>
    <row r="4546" spans="1:4" ht="25.5" x14ac:dyDescent="0.25">
      <c r="A4546" s="104">
        <v>99634</v>
      </c>
      <c r="B4546" s="105" t="s">
        <v>4508</v>
      </c>
      <c r="C4546" s="106" t="s">
        <v>801</v>
      </c>
      <c r="D4546" s="107">
        <v>382.29</v>
      </c>
    </row>
    <row r="4547" spans="1:4" ht="25.5" x14ac:dyDescent="0.25">
      <c r="A4547" s="104">
        <v>99635</v>
      </c>
      <c r="B4547" s="105" t="s">
        <v>4509</v>
      </c>
      <c r="C4547" s="106" t="s">
        <v>801</v>
      </c>
      <c r="D4547" s="107">
        <v>187.04</v>
      </c>
    </row>
    <row r="4548" spans="1:4" ht="38.25" x14ac:dyDescent="0.25">
      <c r="A4548" s="104">
        <v>95634</v>
      </c>
      <c r="B4548" s="105" t="s">
        <v>4510</v>
      </c>
      <c r="C4548" s="106" t="s">
        <v>801</v>
      </c>
      <c r="D4548" s="107">
        <v>116.8</v>
      </c>
    </row>
    <row r="4549" spans="1:4" ht="38.25" x14ac:dyDescent="0.25">
      <c r="A4549" s="104">
        <v>95635</v>
      </c>
      <c r="B4549" s="105" t="s">
        <v>4511</v>
      </c>
      <c r="C4549" s="106" t="s">
        <v>801</v>
      </c>
      <c r="D4549" s="107">
        <v>126.69</v>
      </c>
    </row>
    <row r="4550" spans="1:4" ht="38.25" x14ac:dyDescent="0.25">
      <c r="A4550" s="104">
        <v>95637</v>
      </c>
      <c r="B4550" s="105" t="s">
        <v>4512</v>
      </c>
      <c r="C4550" s="106" t="s">
        <v>801</v>
      </c>
      <c r="D4550" s="107">
        <v>340.19</v>
      </c>
    </row>
    <row r="4551" spans="1:4" ht="38.25" x14ac:dyDescent="0.25">
      <c r="A4551" s="104">
        <v>95638</v>
      </c>
      <c r="B4551" s="105" t="s">
        <v>4513</v>
      </c>
      <c r="C4551" s="106" t="s">
        <v>801</v>
      </c>
      <c r="D4551" s="107">
        <v>411.46</v>
      </c>
    </row>
    <row r="4552" spans="1:4" ht="38.25" x14ac:dyDescent="0.25">
      <c r="A4552" s="104">
        <v>95639</v>
      </c>
      <c r="B4552" s="105" t="s">
        <v>618</v>
      </c>
      <c r="C4552" s="106" t="s">
        <v>801</v>
      </c>
      <c r="D4552" s="107">
        <v>517.48</v>
      </c>
    </row>
    <row r="4553" spans="1:4" ht="38.25" x14ac:dyDescent="0.25">
      <c r="A4553" s="104">
        <v>95641</v>
      </c>
      <c r="B4553" s="105" t="s">
        <v>4514</v>
      </c>
      <c r="C4553" s="106" t="s">
        <v>801</v>
      </c>
      <c r="D4553" s="107">
        <v>213.67</v>
      </c>
    </row>
    <row r="4554" spans="1:4" ht="38.25" x14ac:dyDescent="0.25">
      <c r="A4554" s="104">
        <v>95642</v>
      </c>
      <c r="B4554" s="105" t="s">
        <v>4515</v>
      </c>
      <c r="C4554" s="106" t="s">
        <v>801</v>
      </c>
      <c r="D4554" s="107">
        <v>315.70999999999998</v>
      </c>
    </row>
    <row r="4555" spans="1:4" ht="38.25" x14ac:dyDescent="0.25">
      <c r="A4555" s="104">
        <v>95643</v>
      </c>
      <c r="B4555" s="105" t="s">
        <v>4516</v>
      </c>
      <c r="C4555" s="106" t="s">
        <v>801</v>
      </c>
      <c r="D4555" s="107">
        <v>413.38</v>
      </c>
    </row>
    <row r="4556" spans="1:4" ht="38.25" x14ac:dyDescent="0.25">
      <c r="A4556" s="104">
        <v>95644</v>
      </c>
      <c r="B4556" s="105" t="s">
        <v>4517</v>
      </c>
      <c r="C4556" s="106" t="s">
        <v>801</v>
      </c>
      <c r="D4556" s="107">
        <v>153.96</v>
      </c>
    </row>
    <row r="4557" spans="1:4" ht="38.25" x14ac:dyDescent="0.25">
      <c r="A4557" s="104">
        <v>95645</v>
      </c>
      <c r="B4557" s="105" t="s">
        <v>4518</v>
      </c>
      <c r="C4557" s="106" t="s">
        <v>801</v>
      </c>
      <c r="D4557" s="107">
        <v>282.64999999999998</v>
      </c>
    </row>
    <row r="4558" spans="1:4" ht="38.25" x14ac:dyDescent="0.25">
      <c r="A4558" s="104">
        <v>95646</v>
      </c>
      <c r="B4558" s="105" t="s">
        <v>4519</v>
      </c>
      <c r="C4558" s="106" t="s">
        <v>801</v>
      </c>
      <c r="D4558" s="107">
        <v>420.9</v>
      </c>
    </row>
    <row r="4559" spans="1:4" ht="38.25" x14ac:dyDescent="0.25">
      <c r="A4559" s="104">
        <v>95647</v>
      </c>
      <c r="B4559" s="105" t="s">
        <v>4520</v>
      </c>
      <c r="C4559" s="106" t="s">
        <v>801</v>
      </c>
      <c r="D4559" s="107">
        <v>552.24</v>
      </c>
    </row>
    <row r="4560" spans="1:4" ht="25.5" x14ac:dyDescent="0.25">
      <c r="A4560" s="104">
        <v>95673</v>
      </c>
      <c r="B4560" s="105" t="s">
        <v>4521</v>
      </c>
      <c r="C4560" s="106" t="s">
        <v>801</v>
      </c>
      <c r="D4560" s="107">
        <v>99.62</v>
      </c>
    </row>
    <row r="4561" spans="1:4" ht="25.5" x14ac:dyDescent="0.25">
      <c r="A4561" s="104">
        <v>95674</v>
      </c>
      <c r="B4561" s="105" t="s">
        <v>4522</v>
      </c>
      <c r="C4561" s="106" t="s">
        <v>801</v>
      </c>
      <c r="D4561" s="107">
        <v>105.86</v>
      </c>
    </row>
    <row r="4562" spans="1:4" ht="25.5" x14ac:dyDescent="0.25">
      <c r="A4562" s="104">
        <v>95675</v>
      </c>
      <c r="B4562" s="105" t="s">
        <v>411</v>
      </c>
      <c r="C4562" s="106" t="s">
        <v>801</v>
      </c>
      <c r="D4562" s="107">
        <v>129.43</v>
      </c>
    </row>
    <row r="4563" spans="1:4" ht="25.5" x14ac:dyDescent="0.25">
      <c r="A4563" s="104">
        <v>95676</v>
      </c>
      <c r="B4563" s="105" t="s">
        <v>4523</v>
      </c>
      <c r="C4563" s="106" t="s">
        <v>801</v>
      </c>
      <c r="D4563" s="107">
        <v>85.51</v>
      </c>
    </row>
    <row r="4564" spans="1:4" ht="38.25" x14ac:dyDescent="0.25">
      <c r="A4564" s="104">
        <v>97741</v>
      </c>
      <c r="B4564" s="105" t="s">
        <v>4524</v>
      </c>
      <c r="C4564" s="106" t="s">
        <v>801</v>
      </c>
      <c r="D4564" s="107">
        <v>119.12</v>
      </c>
    </row>
    <row r="4565" spans="1:4" x14ac:dyDescent="0.25">
      <c r="A4565" s="104">
        <v>72285</v>
      </c>
      <c r="B4565" s="105" t="s">
        <v>4525</v>
      </c>
      <c r="C4565" s="106" t="s">
        <v>801</v>
      </c>
      <c r="D4565" s="107">
        <v>77.88</v>
      </c>
    </row>
    <row r="4566" spans="1:4" ht="25.5" x14ac:dyDescent="0.25">
      <c r="A4566" s="104">
        <v>90436</v>
      </c>
      <c r="B4566" s="105" t="s">
        <v>4526</v>
      </c>
      <c r="C4566" s="106" t="s">
        <v>801</v>
      </c>
      <c r="D4566" s="107">
        <v>9.84</v>
      </c>
    </row>
    <row r="4567" spans="1:4" ht="25.5" x14ac:dyDescent="0.25">
      <c r="A4567" s="104">
        <v>90437</v>
      </c>
      <c r="B4567" s="105" t="s">
        <v>4527</v>
      </c>
      <c r="C4567" s="106" t="s">
        <v>801</v>
      </c>
      <c r="D4567" s="107">
        <v>23.93</v>
      </c>
    </row>
    <row r="4568" spans="1:4" ht="25.5" x14ac:dyDescent="0.25">
      <c r="A4568" s="104">
        <v>90438</v>
      </c>
      <c r="B4568" s="105" t="s">
        <v>4528</v>
      </c>
      <c r="C4568" s="106" t="s">
        <v>801</v>
      </c>
      <c r="D4568" s="107">
        <v>34.31</v>
      </c>
    </row>
    <row r="4569" spans="1:4" ht="25.5" x14ac:dyDescent="0.25">
      <c r="A4569" s="104">
        <v>90439</v>
      </c>
      <c r="B4569" s="105" t="s">
        <v>4529</v>
      </c>
      <c r="C4569" s="106" t="s">
        <v>801</v>
      </c>
      <c r="D4569" s="107">
        <v>39.549999999999997</v>
      </c>
    </row>
    <row r="4570" spans="1:4" ht="25.5" x14ac:dyDescent="0.25">
      <c r="A4570" s="104">
        <v>90440</v>
      </c>
      <c r="B4570" s="105" t="s">
        <v>4530</v>
      </c>
      <c r="C4570" s="106" t="s">
        <v>801</v>
      </c>
      <c r="D4570" s="107">
        <v>63.36</v>
      </c>
    </row>
    <row r="4571" spans="1:4" ht="25.5" x14ac:dyDescent="0.25">
      <c r="A4571" s="104">
        <v>90441</v>
      </c>
      <c r="B4571" s="105" t="s">
        <v>4531</v>
      </c>
      <c r="C4571" s="106" t="s">
        <v>801</v>
      </c>
      <c r="D4571" s="107">
        <v>80.95</v>
      </c>
    </row>
    <row r="4572" spans="1:4" ht="25.5" x14ac:dyDescent="0.25">
      <c r="A4572" s="104">
        <v>90443</v>
      </c>
      <c r="B4572" s="105" t="s">
        <v>245</v>
      </c>
      <c r="C4572" s="106" t="s">
        <v>16</v>
      </c>
      <c r="D4572" s="107">
        <v>8.9499999999999993</v>
      </c>
    </row>
    <row r="4573" spans="1:4" ht="25.5" x14ac:dyDescent="0.25">
      <c r="A4573" s="104">
        <v>90444</v>
      </c>
      <c r="B4573" s="105" t="s">
        <v>4532</v>
      </c>
      <c r="C4573" s="106" t="s">
        <v>16</v>
      </c>
      <c r="D4573" s="107">
        <v>16.97</v>
      </c>
    </row>
    <row r="4574" spans="1:4" ht="38.25" x14ac:dyDescent="0.25">
      <c r="A4574" s="104">
        <v>90445</v>
      </c>
      <c r="B4574" s="105" t="s">
        <v>4533</v>
      </c>
      <c r="C4574" s="106" t="s">
        <v>16</v>
      </c>
      <c r="D4574" s="107">
        <v>18.12</v>
      </c>
    </row>
    <row r="4575" spans="1:4" ht="25.5" x14ac:dyDescent="0.25">
      <c r="A4575" s="104">
        <v>90446</v>
      </c>
      <c r="B4575" s="105" t="s">
        <v>4534</v>
      </c>
      <c r="C4575" s="106" t="s">
        <v>16</v>
      </c>
      <c r="D4575" s="107">
        <v>19.690000000000001</v>
      </c>
    </row>
    <row r="4576" spans="1:4" ht="25.5" x14ac:dyDescent="0.25">
      <c r="A4576" s="104">
        <v>90447</v>
      </c>
      <c r="B4576" s="105" t="s">
        <v>4535</v>
      </c>
      <c r="C4576" s="106" t="s">
        <v>16</v>
      </c>
      <c r="D4576" s="107">
        <v>4.45</v>
      </c>
    </row>
    <row r="4577" spans="1:4" ht="25.5" x14ac:dyDescent="0.25">
      <c r="A4577" s="104">
        <v>90451</v>
      </c>
      <c r="B4577" s="105" t="s">
        <v>4536</v>
      </c>
      <c r="C4577" s="106" t="s">
        <v>801</v>
      </c>
      <c r="D4577" s="107">
        <v>3.02</v>
      </c>
    </row>
    <row r="4578" spans="1:4" ht="25.5" x14ac:dyDescent="0.25">
      <c r="A4578" s="104">
        <v>90452</v>
      </c>
      <c r="B4578" s="105" t="s">
        <v>4537</v>
      </c>
      <c r="C4578" s="106" t="s">
        <v>801</v>
      </c>
      <c r="D4578" s="107">
        <v>13.04</v>
      </c>
    </row>
    <row r="4579" spans="1:4" ht="25.5" x14ac:dyDescent="0.25">
      <c r="A4579" s="104">
        <v>90453</v>
      </c>
      <c r="B4579" s="105" t="s">
        <v>4538</v>
      </c>
      <c r="C4579" s="106" t="s">
        <v>801</v>
      </c>
      <c r="D4579" s="107">
        <v>1.91</v>
      </c>
    </row>
    <row r="4580" spans="1:4" ht="25.5" x14ac:dyDescent="0.25">
      <c r="A4580" s="104">
        <v>90454</v>
      </c>
      <c r="B4580" s="105" t="s">
        <v>4539</v>
      </c>
      <c r="C4580" s="106" t="s">
        <v>801</v>
      </c>
      <c r="D4580" s="107">
        <v>3.43</v>
      </c>
    </row>
    <row r="4581" spans="1:4" ht="25.5" x14ac:dyDescent="0.25">
      <c r="A4581" s="104">
        <v>90455</v>
      </c>
      <c r="B4581" s="105" t="s">
        <v>4540</v>
      </c>
      <c r="C4581" s="106" t="s">
        <v>801</v>
      </c>
      <c r="D4581" s="107">
        <v>4.51</v>
      </c>
    </row>
    <row r="4582" spans="1:4" ht="25.5" x14ac:dyDescent="0.25">
      <c r="A4582" s="104">
        <v>90456</v>
      </c>
      <c r="B4582" s="105" t="s">
        <v>4541</v>
      </c>
      <c r="C4582" s="106" t="s">
        <v>801</v>
      </c>
      <c r="D4582" s="107">
        <v>2.87</v>
      </c>
    </row>
    <row r="4583" spans="1:4" ht="25.5" x14ac:dyDescent="0.25">
      <c r="A4583" s="104">
        <v>90457</v>
      </c>
      <c r="B4583" s="105" t="s">
        <v>4542</v>
      </c>
      <c r="C4583" s="106" t="s">
        <v>801</v>
      </c>
      <c r="D4583" s="107">
        <v>6.55</v>
      </c>
    </row>
    <row r="4584" spans="1:4" ht="25.5" x14ac:dyDescent="0.25">
      <c r="A4584" s="104">
        <v>90458</v>
      </c>
      <c r="B4584" s="105" t="s">
        <v>4543</v>
      </c>
      <c r="C4584" s="106" t="s">
        <v>801</v>
      </c>
      <c r="D4584" s="107">
        <v>18.600000000000001</v>
      </c>
    </row>
    <row r="4585" spans="1:4" ht="25.5" x14ac:dyDescent="0.25">
      <c r="A4585" s="104">
        <v>90459</v>
      </c>
      <c r="B4585" s="105" t="s">
        <v>4544</v>
      </c>
      <c r="C4585" s="106" t="s">
        <v>801</v>
      </c>
      <c r="D4585" s="107">
        <v>26.23</v>
      </c>
    </row>
    <row r="4586" spans="1:4" ht="38.25" x14ac:dyDescent="0.25">
      <c r="A4586" s="104">
        <v>90460</v>
      </c>
      <c r="B4586" s="105" t="s">
        <v>11397</v>
      </c>
      <c r="C4586" s="106" t="s">
        <v>16</v>
      </c>
      <c r="D4586" s="107">
        <v>22.06</v>
      </c>
    </row>
    <row r="4587" spans="1:4" ht="38.25" x14ac:dyDescent="0.25">
      <c r="A4587" s="104">
        <v>90461</v>
      </c>
      <c r="B4587" s="105" t="s">
        <v>11398</v>
      </c>
      <c r="C4587" s="106" t="s">
        <v>16</v>
      </c>
      <c r="D4587" s="107">
        <v>12.07</v>
      </c>
    </row>
    <row r="4588" spans="1:4" ht="38.25" x14ac:dyDescent="0.25">
      <c r="A4588" s="104">
        <v>90462</v>
      </c>
      <c r="B4588" s="105" t="s">
        <v>11399</v>
      </c>
      <c r="C4588" s="106" t="s">
        <v>16</v>
      </c>
      <c r="D4588" s="107">
        <v>2.63</v>
      </c>
    </row>
    <row r="4589" spans="1:4" ht="38.25" x14ac:dyDescent="0.25">
      <c r="A4589" s="104">
        <v>90463</v>
      </c>
      <c r="B4589" s="105" t="s">
        <v>11400</v>
      </c>
      <c r="C4589" s="106" t="s">
        <v>16</v>
      </c>
      <c r="D4589" s="107">
        <v>2.1</v>
      </c>
    </row>
    <row r="4590" spans="1:4" ht="25.5" x14ac:dyDescent="0.25">
      <c r="A4590" s="104">
        <v>90466</v>
      </c>
      <c r="B4590" s="105" t="s">
        <v>4545</v>
      </c>
      <c r="C4590" s="106" t="s">
        <v>16</v>
      </c>
      <c r="D4590" s="107">
        <v>8.99</v>
      </c>
    </row>
    <row r="4591" spans="1:4" ht="38.25" x14ac:dyDescent="0.25">
      <c r="A4591" s="104">
        <v>90467</v>
      </c>
      <c r="B4591" s="105" t="s">
        <v>4546</v>
      </c>
      <c r="C4591" s="106" t="s">
        <v>16</v>
      </c>
      <c r="D4591" s="107">
        <v>14.22</v>
      </c>
    </row>
    <row r="4592" spans="1:4" ht="25.5" x14ac:dyDescent="0.25">
      <c r="A4592" s="104">
        <v>90468</v>
      </c>
      <c r="B4592" s="105" t="s">
        <v>4547</v>
      </c>
      <c r="C4592" s="106" t="s">
        <v>16</v>
      </c>
      <c r="D4592" s="107">
        <v>3.97</v>
      </c>
    </row>
    <row r="4593" spans="1:4" ht="38.25" x14ac:dyDescent="0.25">
      <c r="A4593" s="104">
        <v>90469</v>
      </c>
      <c r="B4593" s="105" t="s">
        <v>4548</v>
      </c>
      <c r="C4593" s="106" t="s">
        <v>16</v>
      </c>
      <c r="D4593" s="107">
        <v>6.36</v>
      </c>
    </row>
    <row r="4594" spans="1:4" ht="25.5" x14ac:dyDescent="0.25">
      <c r="A4594" s="104">
        <v>90470</v>
      </c>
      <c r="B4594" s="105" t="s">
        <v>4549</v>
      </c>
      <c r="C4594" s="106" t="s">
        <v>16</v>
      </c>
      <c r="D4594" s="107">
        <v>8.76</v>
      </c>
    </row>
    <row r="4595" spans="1:4" ht="38.25" x14ac:dyDescent="0.25">
      <c r="A4595" s="104">
        <v>91166</v>
      </c>
      <c r="B4595" s="105" t="s">
        <v>4550</v>
      </c>
      <c r="C4595" s="106" t="s">
        <v>16</v>
      </c>
      <c r="D4595" s="107">
        <v>2.99</v>
      </c>
    </row>
    <row r="4596" spans="1:4" ht="38.25" x14ac:dyDescent="0.25">
      <c r="A4596" s="104">
        <v>91167</v>
      </c>
      <c r="B4596" s="105" t="s">
        <v>4551</v>
      </c>
      <c r="C4596" s="106" t="s">
        <v>16</v>
      </c>
      <c r="D4596" s="107">
        <v>8.6300000000000008</v>
      </c>
    </row>
    <row r="4597" spans="1:4" ht="38.25" x14ac:dyDescent="0.25">
      <c r="A4597" s="104">
        <v>91168</v>
      </c>
      <c r="B4597" s="105" t="s">
        <v>4552</v>
      </c>
      <c r="C4597" s="106" t="s">
        <v>16</v>
      </c>
      <c r="D4597" s="107">
        <v>6.56</v>
      </c>
    </row>
    <row r="4598" spans="1:4" ht="38.25" x14ac:dyDescent="0.25">
      <c r="A4598" s="104">
        <v>91169</v>
      </c>
      <c r="B4598" s="105" t="s">
        <v>4553</v>
      </c>
      <c r="C4598" s="106" t="s">
        <v>16</v>
      </c>
      <c r="D4598" s="107">
        <v>7.76</v>
      </c>
    </row>
    <row r="4599" spans="1:4" ht="51" x14ac:dyDescent="0.25">
      <c r="A4599" s="104">
        <v>91170</v>
      </c>
      <c r="B4599" s="105" t="s">
        <v>4554</v>
      </c>
      <c r="C4599" s="106" t="s">
        <v>16</v>
      </c>
      <c r="D4599" s="107">
        <v>2.21</v>
      </c>
    </row>
    <row r="4600" spans="1:4" ht="51" x14ac:dyDescent="0.25">
      <c r="A4600" s="104">
        <v>91171</v>
      </c>
      <c r="B4600" s="105" t="s">
        <v>4555</v>
      </c>
      <c r="C4600" s="106" t="s">
        <v>16</v>
      </c>
      <c r="D4600" s="107">
        <v>2.79</v>
      </c>
    </row>
    <row r="4601" spans="1:4" ht="38.25" x14ac:dyDescent="0.25">
      <c r="A4601" s="104">
        <v>91172</v>
      </c>
      <c r="B4601" s="105" t="s">
        <v>4556</v>
      </c>
      <c r="C4601" s="106" t="s">
        <v>16</v>
      </c>
      <c r="D4601" s="107">
        <v>4.0999999999999996</v>
      </c>
    </row>
    <row r="4602" spans="1:4" ht="38.25" x14ac:dyDescent="0.25">
      <c r="A4602" s="104">
        <v>91173</v>
      </c>
      <c r="B4602" s="105" t="s">
        <v>345</v>
      </c>
      <c r="C4602" s="106" t="s">
        <v>16</v>
      </c>
      <c r="D4602" s="107">
        <v>1.1200000000000001</v>
      </c>
    </row>
    <row r="4603" spans="1:4" ht="51" x14ac:dyDescent="0.25">
      <c r="A4603" s="104">
        <v>91174</v>
      </c>
      <c r="B4603" s="105" t="s">
        <v>4557</v>
      </c>
      <c r="C4603" s="106" t="s">
        <v>16</v>
      </c>
      <c r="D4603" s="107">
        <v>2.2200000000000002</v>
      </c>
    </row>
    <row r="4604" spans="1:4" ht="38.25" x14ac:dyDescent="0.25">
      <c r="A4604" s="104">
        <v>91175</v>
      </c>
      <c r="B4604" s="105" t="s">
        <v>4558</v>
      </c>
      <c r="C4604" s="106" t="s">
        <v>16</v>
      </c>
      <c r="D4604" s="107">
        <v>3.6</v>
      </c>
    </row>
    <row r="4605" spans="1:4" ht="38.25" x14ac:dyDescent="0.25">
      <c r="A4605" s="104">
        <v>91176</v>
      </c>
      <c r="B4605" s="105" t="s">
        <v>4559</v>
      </c>
      <c r="C4605" s="106" t="s">
        <v>16</v>
      </c>
      <c r="D4605" s="107">
        <v>31.79</v>
      </c>
    </row>
    <row r="4606" spans="1:4" ht="38.25" x14ac:dyDescent="0.25">
      <c r="A4606" s="104">
        <v>91177</v>
      </c>
      <c r="B4606" s="105" t="s">
        <v>4560</v>
      </c>
      <c r="C4606" s="106" t="s">
        <v>16</v>
      </c>
      <c r="D4606" s="107">
        <v>14.15</v>
      </c>
    </row>
    <row r="4607" spans="1:4" ht="38.25" x14ac:dyDescent="0.25">
      <c r="A4607" s="104">
        <v>91178</v>
      </c>
      <c r="B4607" s="105" t="s">
        <v>4561</v>
      </c>
      <c r="C4607" s="106" t="s">
        <v>16</v>
      </c>
      <c r="D4607" s="107">
        <v>14.31</v>
      </c>
    </row>
    <row r="4608" spans="1:4" ht="51" x14ac:dyDescent="0.25">
      <c r="A4608" s="104">
        <v>91179</v>
      </c>
      <c r="B4608" s="105" t="s">
        <v>4562</v>
      </c>
      <c r="C4608" s="106" t="s">
        <v>16</v>
      </c>
      <c r="D4608" s="107">
        <v>8.14</v>
      </c>
    </row>
    <row r="4609" spans="1:4" ht="51" x14ac:dyDescent="0.25">
      <c r="A4609" s="104">
        <v>91180</v>
      </c>
      <c r="B4609" s="105" t="s">
        <v>4563</v>
      </c>
      <c r="C4609" s="106" t="s">
        <v>16</v>
      </c>
      <c r="D4609" s="107">
        <v>6.58</v>
      </c>
    </row>
    <row r="4610" spans="1:4" ht="38.25" x14ac:dyDescent="0.25">
      <c r="A4610" s="104">
        <v>91181</v>
      </c>
      <c r="B4610" s="105" t="s">
        <v>4564</v>
      </c>
      <c r="C4610" s="106" t="s">
        <v>16</v>
      </c>
      <c r="D4610" s="107">
        <v>6.93</v>
      </c>
    </row>
    <row r="4611" spans="1:4" ht="38.25" x14ac:dyDescent="0.25">
      <c r="A4611" s="104">
        <v>91182</v>
      </c>
      <c r="B4611" s="105" t="s">
        <v>4565</v>
      </c>
      <c r="C4611" s="106" t="s">
        <v>16</v>
      </c>
      <c r="D4611" s="107">
        <v>19.28</v>
      </c>
    </row>
    <row r="4612" spans="1:4" ht="38.25" x14ac:dyDescent="0.25">
      <c r="A4612" s="104">
        <v>91183</v>
      </c>
      <c r="B4612" s="105" t="s">
        <v>4566</v>
      </c>
      <c r="C4612" s="106" t="s">
        <v>16</v>
      </c>
      <c r="D4612" s="107">
        <v>9.48</v>
      </c>
    </row>
    <row r="4613" spans="1:4" ht="38.25" x14ac:dyDescent="0.25">
      <c r="A4613" s="104">
        <v>91184</v>
      </c>
      <c r="B4613" s="105" t="s">
        <v>4567</v>
      </c>
      <c r="C4613" s="106" t="s">
        <v>16</v>
      </c>
      <c r="D4613" s="107">
        <v>8.82</v>
      </c>
    </row>
    <row r="4614" spans="1:4" ht="51" x14ac:dyDescent="0.25">
      <c r="A4614" s="104">
        <v>91185</v>
      </c>
      <c r="B4614" s="105" t="s">
        <v>4568</v>
      </c>
      <c r="C4614" s="106" t="s">
        <v>16</v>
      </c>
      <c r="D4614" s="107">
        <v>4.95</v>
      </c>
    </row>
    <row r="4615" spans="1:4" ht="51" x14ac:dyDescent="0.25">
      <c r="A4615" s="104">
        <v>91186</v>
      </c>
      <c r="B4615" s="105" t="s">
        <v>4569</v>
      </c>
      <c r="C4615" s="106" t="s">
        <v>16</v>
      </c>
      <c r="D4615" s="107">
        <v>4.04</v>
      </c>
    </row>
    <row r="4616" spans="1:4" ht="38.25" x14ac:dyDescent="0.25">
      <c r="A4616" s="104">
        <v>91187</v>
      </c>
      <c r="B4616" s="105" t="s">
        <v>4570</v>
      </c>
      <c r="C4616" s="106" t="s">
        <v>16</v>
      </c>
      <c r="D4616" s="107">
        <v>4.66</v>
      </c>
    </row>
    <row r="4617" spans="1:4" ht="25.5" x14ac:dyDescent="0.25">
      <c r="A4617" s="104">
        <v>91188</v>
      </c>
      <c r="B4617" s="105" t="s">
        <v>4571</v>
      </c>
      <c r="C4617" s="106" t="s">
        <v>801</v>
      </c>
      <c r="D4617" s="107">
        <v>4.84</v>
      </c>
    </row>
    <row r="4618" spans="1:4" ht="38.25" x14ac:dyDescent="0.25">
      <c r="A4618" s="104">
        <v>91189</v>
      </c>
      <c r="B4618" s="105" t="s">
        <v>4572</v>
      </c>
      <c r="C4618" s="106" t="s">
        <v>801</v>
      </c>
      <c r="D4618" s="107">
        <v>32.950000000000003</v>
      </c>
    </row>
    <row r="4619" spans="1:4" ht="25.5" x14ac:dyDescent="0.25">
      <c r="A4619" s="104">
        <v>91190</v>
      </c>
      <c r="B4619" s="105" t="s">
        <v>4573</v>
      </c>
      <c r="C4619" s="106" t="s">
        <v>801</v>
      </c>
      <c r="D4619" s="107">
        <v>3.47</v>
      </c>
    </row>
    <row r="4620" spans="1:4" ht="25.5" x14ac:dyDescent="0.25">
      <c r="A4620" s="104">
        <v>91191</v>
      </c>
      <c r="B4620" s="105" t="s">
        <v>4574</v>
      </c>
      <c r="C4620" s="106" t="s">
        <v>801</v>
      </c>
      <c r="D4620" s="107">
        <v>3.68</v>
      </c>
    </row>
    <row r="4621" spans="1:4" ht="25.5" x14ac:dyDescent="0.25">
      <c r="A4621" s="104">
        <v>91192</v>
      </c>
      <c r="B4621" s="105" t="s">
        <v>4575</v>
      </c>
      <c r="C4621" s="106" t="s">
        <v>801</v>
      </c>
      <c r="D4621" s="107">
        <v>4.08</v>
      </c>
    </row>
    <row r="4622" spans="1:4" ht="25.5" x14ac:dyDescent="0.25">
      <c r="A4622" s="104">
        <v>91222</v>
      </c>
      <c r="B4622" s="105" t="s">
        <v>703</v>
      </c>
      <c r="C4622" s="106" t="s">
        <v>16</v>
      </c>
      <c r="D4622" s="107">
        <v>9.64</v>
      </c>
    </row>
    <row r="4623" spans="1:4" ht="51" x14ac:dyDescent="0.25">
      <c r="A4623" s="104">
        <v>94480</v>
      </c>
      <c r="B4623" s="105" t="s">
        <v>4576</v>
      </c>
      <c r="C4623" s="106" t="s">
        <v>801</v>
      </c>
      <c r="D4623" s="107">
        <v>1584.8</v>
      </c>
    </row>
    <row r="4624" spans="1:4" ht="51" x14ac:dyDescent="0.25">
      <c r="A4624" s="104">
        <v>94481</v>
      </c>
      <c r="B4624" s="105" t="s">
        <v>4577</v>
      </c>
      <c r="C4624" s="106" t="s">
        <v>801</v>
      </c>
      <c r="D4624" s="107">
        <v>1131.4000000000001</v>
      </c>
    </row>
    <row r="4625" spans="1:4" ht="51" x14ac:dyDescent="0.25">
      <c r="A4625" s="104">
        <v>94482</v>
      </c>
      <c r="B4625" s="105" t="s">
        <v>4578</v>
      </c>
      <c r="C4625" s="106" t="s">
        <v>801</v>
      </c>
      <c r="D4625" s="107">
        <v>905.76</v>
      </c>
    </row>
    <row r="4626" spans="1:4" ht="51" x14ac:dyDescent="0.25">
      <c r="A4626" s="104">
        <v>94483</v>
      </c>
      <c r="B4626" s="105" t="s">
        <v>4579</v>
      </c>
      <c r="C4626" s="106" t="s">
        <v>801</v>
      </c>
      <c r="D4626" s="107">
        <v>768.75</v>
      </c>
    </row>
    <row r="4627" spans="1:4" ht="25.5" x14ac:dyDescent="0.25">
      <c r="A4627" s="104">
        <v>95541</v>
      </c>
      <c r="B4627" s="105" t="s">
        <v>453</v>
      </c>
      <c r="C4627" s="106" t="s">
        <v>801</v>
      </c>
      <c r="D4627" s="107">
        <v>3.19</v>
      </c>
    </row>
    <row r="4628" spans="1:4" ht="38.25" x14ac:dyDescent="0.25">
      <c r="A4628" s="104">
        <v>96559</v>
      </c>
      <c r="B4628" s="105" t="s">
        <v>11401</v>
      </c>
      <c r="C4628" s="106" t="s">
        <v>8</v>
      </c>
      <c r="D4628" s="107">
        <v>62.24</v>
      </c>
    </row>
    <row r="4629" spans="1:4" ht="38.25" x14ac:dyDescent="0.25">
      <c r="A4629" s="104">
        <v>96560</v>
      </c>
      <c r="B4629" s="105" t="s">
        <v>11402</v>
      </c>
      <c r="C4629" s="106" t="s">
        <v>8</v>
      </c>
      <c r="D4629" s="107">
        <v>32.07</v>
      </c>
    </row>
    <row r="4630" spans="1:4" ht="38.25" x14ac:dyDescent="0.25">
      <c r="A4630" s="104">
        <v>96561</v>
      </c>
      <c r="B4630" s="105" t="s">
        <v>11403</v>
      </c>
      <c r="C4630" s="106" t="s">
        <v>8</v>
      </c>
      <c r="D4630" s="107">
        <v>20.05</v>
      </c>
    </row>
    <row r="4631" spans="1:4" ht="51" x14ac:dyDescent="0.25">
      <c r="A4631" s="104">
        <v>96562</v>
      </c>
      <c r="B4631" s="105" t="s">
        <v>11404</v>
      </c>
      <c r="C4631" s="106" t="s">
        <v>16</v>
      </c>
      <c r="D4631" s="107">
        <v>32.299999999999997</v>
      </c>
    </row>
    <row r="4632" spans="1:4" ht="51" x14ac:dyDescent="0.25">
      <c r="A4632" s="104">
        <v>96563</v>
      </c>
      <c r="B4632" s="105" t="s">
        <v>11405</v>
      </c>
      <c r="C4632" s="106" t="s">
        <v>16</v>
      </c>
      <c r="D4632" s="107">
        <v>35.29</v>
      </c>
    </row>
    <row r="4633" spans="1:4" x14ac:dyDescent="0.25">
      <c r="A4633" s="104" t="s">
        <v>4580</v>
      </c>
      <c r="B4633" s="105" t="s">
        <v>4581</v>
      </c>
      <c r="C4633" s="106" t="s">
        <v>801</v>
      </c>
      <c r="D4633" s="109">
        <v>355.05</v>
      </c>
    </row>
    <row r="4634" spans="1:4" x14ac:dyDescent="0.25">
      <c r="A4634" s="104" t="s">
        <v>4582</v>
      </c>
      <c r="B4634" s="105" t="s">
        <v>4583</v>
      </c>
      <c r="C4634" s="106" t="s">
        <v>801</v>
      </c>
      <c r="D4634" s="109">
        <v>461.56</v>
      </c>
    </row>
    <row r="4635" spans="1:4" x14ac:dyDescent="0.25">
      <c r="A4635" s="104" t="s">
        <v>4584</v>
      </c>
      <c r="B4635" s="105" t="s">
        <v>4585</v>
      </c>
      <c r="C4635" s="106" t="s">
        <v>801</v>
      </c>
      <c r="D4635" s="107">
        <v>150.41999999999999</v>
      </c>
    </row>
    <row r="4636" spans="1:4" x14ac:dyDescent="0.25">
      <c r="A4636" s="104" t="s">
        <v>4586</v>
      </c>
      <c r="B4636" s="105" t="s">
        <v>4587</v>
      </c>
      <c r="C4636" s="106" t="s">
        <v>801</v>
      </c>
      <c r="D4636" s="107">
        <v>240.68</v>
      </c>
    </row>
    <row r="4637" spans="1:4" x14ac:dyDescent="0.25">
      <c r="A4637" s="104" t="s">
        <v>4588</v>
      </c>
      <c r="B4637" s="105" t="s">
        <v>4589</v>
      </c>
      <c r="C4637" s="106" t="s">
        <v>801</v>
      </c>
      <c r="D4637" s="107">
        <v>481.36</v>
      </c>
    </row>
    <row r="4638" spans="1:4" x14ac:dyDescent="0.25">
      <c r="A4638" s="104" t="s">
        <v>4590</v>
      </c>
      <c r="B4638" s="105" t="s">
        <v>4591</v>
      </c>
      <c r="C4638" s="106" t="s">
        <v>801</v>
      </c>
      <c r="D4638" s="107">
        <v>722.04</v>
      </c>
    </row>
    <row r="4639" spans="1:4" x14ac:dyDescent="0.25">
      <c r="A4639" s="104" t="s">
        <v>4592</v>
      </c>
      <c r="B4639" s="105" t="s">
        <v>4593</v>
      </c>
      <c r="C4639" s="106" t="s">
        <v>801</v>
      </c>
      <c r="D4639" s="107">
        <v>921.87</v>
      </c>
    </row>
    <row r="4640" spans="1:4" x14ac:dyDescent="0.25">
      <c r="A4640" s="104" t="s">
        <v>4594</v>
      </c>
      <c r="B4640" s="105" t="s">
        <v>4595</v>
      </c>
      <c r="C4640" s="106" t="s">
        <v>801</v>
      </c>
      <c r="D4640" s="107">
        <v>1253.75</v>
      </c>
    </row>
    <row r="4641" spans="1:4" x14ac:dyDescent="0.25">
      <c r="A4641" s="104" t="s">
        <v>4596</v>
      </c>
      <c r="B4641" s="105" t="s">
        <v>4597</v>
      </c>
      <c r="C4641" s="106" t="s">
        <v>801</v>
      </c>
      <c r="D4641" s="107">
        <v>1401.25</v>
      </c>
    </row>
    <row r="4642" spans="1:4" x14ac:dyDescent="0.25">
      <c r="A4642" s="104" t="s">
        <v>4598</v>
      </c>
      <c r="B4642" s="105" t="s">
        <v>4599</v>
      </c>
      <c r="C4642" s="106" t="s">
        <v>801</v>
      </c>
      <c r="D4642" s="107">
        <v>368.75</v>
      </c>
    </row>
    <row r="4643" spans="1:4" x14ac:dyDescent="0.25">
      <c r="A4643" s="104" t="s">
        <v>4600</v>
      </c>
      <c r="B4643" s="105" t="s">
        <v>4601</v>
      </c>
      <c r="C4643" s="106" t="s">
        <v>801</v>
      </c>
      <c r="D4643" s="107">
        <v>479.37</v>
      </c>
    </row>
    <row r="4644" spans="1:4" x14ac:dyDescent="0.25">
      <c r="A4644" s="104" t="s">
        <v>4602</v>
      </c>
      <c r="B4644" s="105" t="s">
        <v>4603</v>
      </c>
      <c r="C4644" s="106" t="s">
        <v>801</v>
      </c>
      <c r="D4644" s="107">
        <v>737.5</v>
      </c>
    </row>
    <row r="4645" spans="1:4" x14ac:dyDescent="0.25">
      <c r="A4645" s="104" t="s">
        <v>4604</v>
      </c>
      <c r="B4645" s="105" t="s">
        <v>4605</v>
      </c>
      <c r="C4645" s="106" t="s">
        <v>801</v>
      </c>
      <c r="D4645" s="109">
        <v>1180</v>
      </c>
    </row>
    <row r="4646" spans="1:4" x14ac:dyDescent="0.25">
      <c r="A4646" s="106" t="s">
        <v>4606</v>
      </c>
      <c r="B4646" s="105" t="s">
        <v>4607</v>
      </c>
      <c r="C4646" s="106" t="s">
        <v>801</v>
      </c>
      <c r="D4646" s="107">
        <v>150.41999999999999</v>
      </c>
    </row>
    <row r="4647" spans="1:4" x14ac:dyDescent="0.25">
      <c r="A4647" s="106" t="s">
        <v>4608</v>
      </c>
      <c r="B4647" s="105" t="s">
        <v>4609</v>
      </c>
      <c r="C4647" s="106" t="s">
        <v>801</v>
      </c>
      <c r="D4647" s="107">
        <v>300.85000000000002</v>
      </c>
    </row>
    <row r="4648" spans="1:4" x14ac:dyDescent="0.25">
      <c r="A4648" s="106" t="s">
        <v>4610</v>
      </c>
      <c r="B4648" s="105" t="s">
        <v>4611</v>
      </c>
      <c r="C4648" s="106" t="s">
        <v>801</v>
      </c>
      <c r="D4648" s="107">
        <v>601.70000000000005</v>
      </c>
    </row>
    <row r="4649" spans="1:4" ht="76.5" x14ac:dyDescent="0.25">
      <c r="A4649" s="106">
        <v>93350</v>
      </c>
      <c r="B4649" s="105" t="s">
        <v>4612</v>
      </c>
      <c r="C4649" s="106" t="s">
        <v>801</v>
      </c>
      <c r="D4649" s="107">
        <v>712.88</v>
      </c>
    </row>
    <row r="4650" spans="1:4" ht="76.5" x14ac:dyDescent="0.25">
      <c r="A4650" s="106">
        <v>93351</v>
      </c>
      <c r="B4650" s="105" t="s">
        <v>4613</v>
      </c>
      <c r="C4650" s="106" t="s">
        <v>801</v>
      </c>
      <c r="D4650" s="107">
        <v>583.04</v>
      </c>
    </row>
    <row r="4651" spans="1:4" ht="76.5" x14ac:dyDescent="0.25">
      <c r="A4651" s="106">
        <v>93352</v>
      </c>
      <c r="B4651" s="105" t="s">
        <v>4614</v>
      </c>
      <c r="C4651" s="106" t="s">
        <v>801</v>
      </c>
      <c r="D4651" s="107">
        <v>453.31</v>
      </c>
    </row>
    <row r="4652" spans="1:4" ht="76.5" x14ac:dyDescent="0.25">
      <c r="A4652" s="106">
        <v>93353</v>
      </c>
      <c r="B4652" s="105" t="s">
        <v>4615</v>
      </c>
      <c r="C4652" s="106" t="s">
        <v>801</v>
      </c>
      <c r="D4652" s="107">
        <v>327.42</v>
      </c>
    </row>
    <row r="4653" spans="1:4" ht="63.75" x14ac:dyDescent="0.25">
      <c r="A4653" s="106">
        <v>93354</v>
      </c>
      <c r="B4653" s="105" t="s">
        <v>4616</v>
      </c>
      <c r="C4653" s="106" t="s">
        <v>801</v>
      </c>
      <c r="D4653" s="109">
        <v>457.5</v>
      </c>
    </row>
    <row r="4654" spans="1:4" ht="63.75" x14ac:dyDescent="0.25">
      <c r="A4654" s="106">
        <v>93355</v>
      </c>
      <c r="B4654" s="105" t="s">
        <v>4617</v>
      </c>
      <c r="C4654" s="106" t="s">
        <v>801</v>
      </c>
      <c r="D4654" s="109">
        <v>381.73</v>
      </c>
    </row>
    <row r="4655" spans="1:4" ht="63.75" x14ac:dyDescent="0.25">
      <c r="A4655" s="106">
        <v>93356</v>
      </c>
      <c r="B4655" s="105" t="s">
        <v>4618</v>
      </c>
      <c r="C4655" s="106" t="s">
        <v>801</v>
      </c>
      <c r="D4655" s="107">
        <v>304.56</v>
      </c>
    </row>
    <row r="4656" spans="1:4" ht="63.75" x14ac:dyDescent="0.25">
      <c r="A4656" s="106">
        <v>93357</v>
      </c>
      <c r="B4656" s="105" t="s">
        <v>4619</v>
      </c>
      <c r="C4656" s="106" t="s">
        <v>801</v>
      </c>
      <c r="D4656" s="107">
        <v>229.76</v>
      </c>
    </row>
    <row r="4657" spans="1:4" ht="38.25" x14ac:dyDescent="0.25">
      <c r="A4657" s="106" t="s">
        <v>4620</v>
      </c>
      <c r="B4657" s="105" t="s">
        <v>4621</v>
      </c>
      <c r="C4657" s="106" t="s">
        <v>13</v>
      </c>
      <c r="D4657" s="107">
        <v>2.31</v>
      </c>
    </row>
    <row r="4658" spans="1:4" ht="38.25" x14ac:dyDescent="0.25">
      <c r="A4658" s="106" t="s">
        <v>4622</v>
      </c>
      <c r="B4658" s="105" t="s">
        <v>4623</v>
      </c>
      <c r="C4658" s="106" t="s">
        <v>13</v>
      </c>
      <c r="D4658" s="109">
        <v>3.39</v>
      </c>
    </row>
    <row r="4659" spans="1:4" ht="25.5" x14ac:dyDescent="0.25">
      <c r="A4659" s="106" t="s">
        <v>4624</v>
      </c>
      <c r="B4659" s="105" t="s">
        <v>4625</v>
      </c>
      <c r="C4659" s="106" t="s">
        <v>13</v>
      </c>
      <c r="D4659" s="107">
        <v>1.22</v>
      </c>
    </row>
    <row r="4660" spans="1:4" ht="25.5" x14ac:dyDescent="0.25">
      <c r="A4660" s="106" t="s">
        <v>4626</v>
      </c>
      <c r="B4660" s="105" t="s">
        <v>4627</v>
      </c>
      <c r="C4660" s="106" t="s">
        <v>13</v>
      </c>
      <c r="D4660" s="107">
        <v>2.37</v>
      </c>
    </row>
    <row r="4661" spans="1:4" ht="25.5" x14ac:dyDescent="0.25">
      <c r="A4661" s="106" t="s">
        <v>4628</v>
      </c>
      <c r="B4661" s="105" t="s">
        <v>4629</v>
      </c>
      <c r="C4661" s="106" t="s">
        <v>13</v>
      </c>
      <c r="D4661" s="107">
        <v>1.1599999999999999</v>
      </c>
    </row>
    <row r="4662" spans="1:4" ht="25.5" x14ac:dyDescent="0.25">
      <c r="A4662" s="104">
        <v>79480</v>
      </c>
      <c r="B4662" s="105" t="s">
        <v>4630</v>
      </c>
      <c r="C4662" s="106" t="s">
        <v>13</v>
      </c>
      <c r="D4662" s="107">
        <v>1.71</v>
      </c>
    </row>
    <row r="4663" spans="1:4" ht="25.5" x14ac:dyDescent="0.25">
      <c r="A4663" s="104">
        <v>83336</v>
      </c>
      <c r="B4663" s="105" t="s">
        <v>4631</v>
      </c>
      <c r="C4663" s="106" t="s">
        <v>13</v>
      </c>
      <c r="D4663" s="107">
        <v>3.6</v>
      </c>
    </row>
    <row r="4664" spans="1:4" ht="25.5" x14ac:dyDescent="0.25">
      <c r="A4664" s="104">
        <v>83338</v>
      </c>
      <c r="B4664" s="105" t="s">
        <v>4632</v>
      </c>
      <c r="C4664" s="106" t="s">
        <v>13</v>
      </c>
      <c r="D4664" s="107">
        <v>1.97</v>
      </c>
    </row>
    <row r="4665" spans="1:4" ht="25.5" x14ac:dyDescent="0.25">
      <c r="A4665" s="104">
        <v>96520</v>
      </c>
      <c r="B4665" s="105" t="s">
        <v>4633</v>
      </c>
      <c r="C4665" s="106" t="s">
        <v>13</v>
      </c>
      <c r="D4665" s="107">
        <v>62.31</v>
      </c>
    </row>
    <row r="4666" spans="1:4" ht="25.5" x14ac:dyDescent="0.25">
      <c r="A4666" s="104">
        <v>96521</v>
      </c>
      <c r="B4666" s="105" t="s">
        <v>4634</v>
      </c>
      <c r="C4666" s="106" t="s">
        <v>13</v>
      </c>
      <c r="D4666" s="107">
        <v>25.59</v>
      </c>
    </row>
    <row r="4667" spans="1:4" ht="25.5" x14ac:dyDescent="0.25">
      <c r="A4667" s="106">
        <v>96522</v>
      </c>
      <c r="B4667" s="105" t="s">
        <v>4635</v>
      </c>
      <c r="C4667" s="106" t="s">
        <v>13</v>
      </c>
      <c r="D4667" s="107">
        <v>101.52</v>
      </c>
    </row>
    <row r="4668" spans="1:4" ht="25.5" x14ac:dyDescent="0.25">
      <c r="A4668" s="106">
        <v>96523</v>
      </c>
      <c r="B4668" s="105" t="s">
        <v>4636</v>
      </c>
      <c r="C4668" s="106" t="s">
        <v>13</v>
      </c>
      <c r="D4668" s="107">
        <v>64.98</v>
      </c>
    </row>
    <row r="4669" spans="1:4" ht="25.5" x14ac:dyDescent="0.25">
      <c r="A4669" s="106">
        <v>96524</v>
      </c>
      <c r="B4669" s="105" t="s">
        <v>4637</v>
      </c>
      <c r="C4669" s="106" t="s">
        <v>13</v>
      </c>
      <c r="D4669" s="107">
        <v>119.48</v>
      </c>
    </row>
    <row r="4670" spans="1:4" ht="25.5" x14ac:dyDescent="0.25">
      <c r="A4670" s="106">
        <v>96525</v>
      </c>
      <c r="B4670" s="105" t="s">
        <v>4638</v>
      </c>
      <c r="C4670" s="106" t="s">
        <v>13</v>
      </c>
      <c r="D4670" s="107">
        <v>25.24</v>
      </c>
    </row>
    <row r="4671" spans="1:4" ht="25.5" x14ac:dyDescent="0.25">
      <c r="A4671" s="106">
        <v>96526</v>
      </c>
      <c r="B4671" s="105" t="s">
        <v>4639</v>
      </c>
      <c r="C4671" s="106" t="s">
        <v>13</v>
      </c>
      <c r="D4671" s="107">
        <v>204.77</v>
      </c>
    </row>
    <row r="4672" spans="1:4" ht="25.5" x14ac:dyDescent="0.25">
      <c r="A4672" s="106">
        <v>96527</v>
      </c>
      <c r="B4672" s="105" t="s">
        <v>4640</v>
      </c>
      <c r="C4672" s="106" t="s">
        <v>13</v>
      </c>
      <c r="D4672" s="107">
        <v>85.37</v>
      </c>
    </row>
    <row r="4673" spans="1:4" ht="38.25" x14ac:dyDescent="0.25">
      <c r="A4673" s="106">
        <v>96528</v>
      </c>
      <c r="B4673" s="105" t="s">
        <v>4641</v>
      </c>
      <c r="C4673" s="106" t="s">
        <v>8</v>
      </c>
      <c r="D4673" s="107">
        <v>99.79</v>
      </c>
    </row>
    <row r="4674" spans="1:4" ht="63.75" x14ac:dyDescent="0.25">
      <c r="A4674" s="106">
        <v>101206</v>
      </c>
      <c r="B4674" s="105" t="s">
        <v>11406</v>
      </c>
      <c r="C4674" s="106" t="s">
        <v>13</v>
      </c>
      <c r="D4674" s="107">
        <v>6.56</v>
      </c>
    </row>
    <row r="4675" spans="1:4" ht="63.75" x14ac:dyDescent="0.25">
      <c r="A4675" s="106">
        <v>101207</v>
      </c>
      <c r="B4675" s="105" t="s">
        <v>11407</v>
      </c>
      <c r="C4675" s="106" t="s">
        <v>13</v>
      </c>
      <c r="D4675" s="107">
        <v>5.72</v>
      </c>
    </row>
    <row r="4676" spans="1:4" ht="63.75" x14ac:dyDescent="0.25">
      <c r="A4676" s="106">
        <v>101208</v>
      </c>
      <c r="B4676" s="105" t="s">
        <v>11408</v>
      </c>
      <c r="C4676" s="106" t="s">
        <v>13</v>
      </c>
      <c r="D4676" s="107">
        <v>5.56</v>
      </c>
    </row>
    <row r="4677" spans="1:4" ht="63.75" x14ac:dyDescent="0.25">
      <c r="A4677" s="104">
        <v>101209</v>
      </c>
      <c r="B4677" s="105" t="s">
        <v>11409</v>
      </c>
      <c r="C4677" s="106" t="s">
        <v>13</v>
      </c>
      <c r="D4677" s="107">
        <v>5.14</v>
      </c>
    </row>
    <row r="4678" spans="1:4" ht="63.75" x14ac:dyDescent="0.25">
      <c r="A4678" s="104">
        <v>101210</v>
      </c>
      <c r="B4678" s="105" t="s">
        <v>11410</v>
      </c>
      <c r="C4678" s="106" t="s">
        <v>13</v>
      </c>
      <c r="D4678" s="107">
        <v>9.24</v>
      </c>
    </row>
    <row r="4679" spans="1:4" ht="63.75" x14ac:dyDescent="0.25">
      <c r="A4679" s="104">
        <v>101211</v>
      </c>
      <c r="B4679" s="105" t="s">
        <v>11411</v>
      </c>
      <c r="C4679" s="106" t="s">
        <v>13</v>
      </c>
      <c r="D4679" s="107">
        <v>9.92</v>
      </c>
    </row>
    <row r="4680" spans="1:4" ht="63.75" x14ac:dyDescent="0.25">
      <c r="A4680" s="104">
        <v>101212</v>
      </c>
      <c r="B4680" s="105" t="s">
        <v>11412</v>
      </c>
      <c r="C4680" s="106" t="s">
        <v>13</v>
      </c>
      <c r="D4680" s="107">
        <v>11.54</v>
      </c>
    </row>
    <row r="4681" spans="1:4" ht="63.75" x14ac:dyDescent="0.25">
      <c r="A4681" s="104">
        <v>101213</v>
      </c>
      <c r="B4681" s="105" t="s">
        <v>11413</v>
      </c>
      <c r="C4681" s="106" t="s">
        <v>13</v>
      </c>
      <c r="D4681" s="107">
        <v>12.87</v>
      </c>
    </row>
    <row r="4682" spans="1:4" ht="63.75" x14ac:dyDescent="0.25">
      <c r="A4682" s="104">
        <v>101214</v>
      </c>
      <c r="B4682" s="105" t="s">
        <v>11414</v>
      </c>
      <c r="C4682" s="106" t="s">
        <v>13</v>
      </c>
      <c r="D4682" s="107">
        <v>15.6</v>
      </c>
    </row>
    <row r="4683" spans="1:4" ht="63.75" x14ac:dyDescent="0.25">
      <c r="A4683" s="104">
        <v>101215</v>
      </c>
      <c r="B4683" s="105" t="s">
        <v>11415</v>
      </c>
      <c r="C4683" s="106" t="s">
        <v>13</v>
      </c>
      <c r="D4683" s="107">
        <v>8.82</v>
      </c>
    </row>
    <row r="4684" spans="1:4" ht="63.75" x14ac:dyDescent="0.25">
      <c r="A4684" s="104">
        <v>101216</v>
      </c>
      <c r="B4684" s="105" t="s">
        <v>11416</v>
      </c>
      <c r="C4684" s="106" t="s">
        <v>13</v>
      </c>
      <c r="D4684" s="107">
        <v>9.26</v>
      </c>
    </row>
    <row r="4685" spans="1:4" ht="63.75" x14ac:dyDescent="0.25">
      <c r="A4685" s="104">
        <v>101217</v>
      </c>
      <c r="B4685" s="105" t="s">
        <v>11417</v>
      </c>
      <c r="C4685" s="106" t="s">
        <v>13</v>
      </c>
      <c r="D4685" s="107">
        <v>10.76</v>
      </c>
    </row>
    <row r="4686" spans="1:4" ht="63.75" x14ac:dyDescent="0.25">
      <c r="A4686" s="104">
        <v>101218</v>
      </c>
      <c r="B4686" s="105" t="s">
        <v>11418</v>
      </c>
      <c r="C4686" s="106" t="s">
        <v>13</v>
      </c>
      <c r="D4686" s="107">
        <v>11.42</v>
      </c>
    </row>
    <row r="4687" spans="1:4" ht="63.75" x14ac:dyDescent="0.25">
      <c r="A4687" s="104">
        <v>101219</v>
      </c>
      <c r="B4687" s="105" t="s">
        <v>11419</v>
      </c>
      <c r="C4687" s="106" t="s">
        <v>13</v>
      </c>
      <c r="D4687" s="107">
        <v>13.87</v>
      </c>
    </row>
    <row r="4688" spans="1:4" ht="63.75" x14ac:dyDescent="0.25">
      <c r="A4688" s="104">
        <v>101220</v>
      </c>
      <c r="B4688" s="105" t="s">
        <v>11420</v>
      </c>
      <c r="C4688" s="106" t="s">
        <v>13</v>
      </c>
      <c r="D4688" s="107">
        <v>8.67</v>
      </c>
    </row>
    <row r="4689" spans="1:4" ht="63.75" x14ac:dyDescent="0.25">
      <c r="A4689" s="104">
        <v>101221</v>
      </c>
      <c r="B4689" s="105" t="s">
        <v>11421</v>
      </c>
      <c r="C4689" s="106" t="s">
        <v>13</v>
      </c>
      <c r="D4689" s="107">
        <v>9.1999999999999993</v>
      </c>
    </row>
    <row r="4690" spans="1:4" ht="63.75" x14ac:dyDescent="0.25">
      <c r="A4690" s="106">
        <v>101222</v>
      </c>
      <c r="B4690" s="105" t="s">
        <v>11422</v>
      </c>
      <c r="C4690" s="106" t="s">
        <v>13</v>
      </c>
      <c r="D4690" s="107">
        <v>10.68</v>
      </c>
    </row>
    <row r="4691" spans="1:4" ht="63.75" x14ac:dyDescent="0.25">
      <c r="A4691" s="106">
        <v>101223</v>
      </c>
      <c r="B4691" s="105" t="s">
        <v>11423</v>
      </c>
      <c r="C4691" s="106" t="s">
        <v>13</v>
      </c>
      <c r="D4691" s="107">
        <v>11.87</v>
      </c>
    </row>
    <row r="4692" spans="1:4" ht="63.75" x14ac:dyDescent="0.25">
      <c r="A4692" s="106">
        <v>101224</v>
      </c>
      <c r="B4692" s="105" t="s">
        <v>11424</v>
      </c>
      <c r="C4692" s="106" t="s">
        <v>13</v>
      </c>
      <c r="D4692" s="107">
        <v>14.88</v>
      </c>
    </row>
    <row r="4693" spans="1:4" ht="63.75" x14ac:dyDescent="0.25">
      <c r="A4693" s="106">
        <v>101225</v>
      </c>
      <c r="B4693" s="105" t="s">
        <v>11425</v>
      </c>
      <c r="C4693" s="106" t="s">
        <v>13</v>
      </c>
      <c r="D4693" s="107">
        <v>7.93</v>
      </c>
    </row>
    <row r="4694" spans="1:4" ht="63.75" x14ac:dyDescent="0.25">
      <c r="A4694" s="106">
        <v>101226</v>
      </c>
      <c r="B4694" s="105" t="s">
        <v>11426</v>
      </c>
      <c r="C4694" s="106" t="s">
        <v>13</v>
      </c>
      <c r="D4694" s="107">
        <v>8.3800000000000008</v>
      </c>
    </row>
    <row r="4695" spans="1:4" ht="63.75" x14ac:dyDescent="0.25">
      <c r="A4695" s="106">
        <v>101227</v>
      </c>
      <c r="B4695" s="105" t="s">
        <v>11427</v>
      </c>
      <c r="C4695" s="106" t="s">
        <v>13</v>
      </c>
      <c r="D4695" s="107">
        <v>9.6999999999999993</v>
      </c>
    </row>
    <row r="4696" spans="1:4" ht="63.75" x14ac:dyDescent="0.25">
      <c r="A4696" s="106">
        <v>101228</v>
      </c>
      <c r="B4696" s="105" t="s">
        <v>11428</v>
      </c>
      <c r="C4696" s="106" t="s">
        <v>13</v>
      </c>
      <c r="D4696" s="107">
        <v>10.39</v>
      </c>
    </row>
    <row r="4697" spans="1:4" ht="63.75" x14ac:dyDescent="0.25">
      <c r="A4697" s="104">
        <v>101229</v>
      </c>
      <c r="B4697" s="105" t="s">
        <v>11429</v>
      </c>
      <c r="C4697" s="106" t="s">
        <v>13</v>
      </c>
      <c r="D4697" s="107">
        <v>13.08</v>
      </c>
    </row>
    <row r="4698" spans="1:4" ht="63.75" x14ac:dyDescent="0.25">
      <c r="A4698" s="104">
        <v>101230</v>
      </c>
      <c r="B4698" s="105" t="s">
        <v>11430</v>
      </c>
      <c r="C4698" s="106" t="s">
        <v>13</v>
      </c>
      <c r="D4698" s="107">
        <v>5.79</v>
      </c>
    </row>
    <row r="4699" spans="1:4" ht="63.75" x14ac:dyDescent="0.25">
      <c r="A4699" s="104">
        <v>101231</v>
      </c>
      <c r="B4699" s="105" t="s">
        <v>11431</v>
      </c>
      <c r="C4699" s="106" t="s">
        <v>13</v>
      </c>
      <c r="D4699" s="107">
        <v>5.49</v>
      </c>
    </row>
    <row r="4700" spans="1:4" ht="63.75" x14ac:dyDescent="0.25">
      <c r="A4700" s="104">
        <v>101232</v>
      </c>
      <c r="B4700" s="105" t="s">
        <v>11432</v>
      </c>
      <c r="C4700" s="106" t="s">
        <v>13</v>
      </c>
      <c r="D4700" s="107">
        <v>4.97</v>
      </c>
    </row>
    <row r="4701" spans="1:4" ht="63.75" x14ac:dyDescent="0.25">
      <c r="A4701" s="104">
        <v>101233</v>
      </c>
      <c r="B4701" s="105" t="s">
        <v>11433</v>
      </c>
      <c r="C4701" s="106" t="s">
        <v>13</v>
      </c>
      <c r="D4701" s="107">
        <v>4.57</v>
      </c>
    </row>
    <row r="4702" spans="1:4" ht="63.75" x14ac:dyDescent="0.25">
      <c r="A4702" s="104">
        <v>101234</v>
      </c>
      <c r="B4702" s="105" t="s">
        <v>11434</v>
      </c>
      <c r="C4702" s="106" t="s">
        <v>13</v>
      </c>
      <c r="D4702" s="107">
        <v>9</v>
      </c>
    </row>
    <row r="4703" spans="1:4" ht="63.75" x14ac:dyDescent="0.25">
      <c r="A4703" s="104">
        <v>101235</v>
      </c>
      <c r="B4703" s="105" t="s">
        <v>11435</v>
      </c>
      <c r="C4703" s="106" t="s">
        <v>13</v>
      </c>
      <c r="D4703" s="107">
        <v>9.51</v>
      </c>
    </row>
    <row r="4704" spans="1:4" ht="63.75" x14ac:dyDescent="0.25">
      <c r="A4704" s="104">
        <v>101236</v>
      </c>
      <c r="B4704" s="105" t="s">
        <v>11436</v>
      </c>
      <c r="C4704" s="106" t="s">
        <v>13</v>
      </c>
      <c r="D4704" s="107">
        <v>11.06</v>
      </c>
    </row>
    <row r="4705" spans="1:4" ht="63.75" x14ac:dyDescent="0.25">
      <c r="A4705" s="104">
        <v>101237</v>
      </c>
      <c r="B4705" s="105" t="s">
        <v>11437</v>
      </c>
      <c r="C4705" s="106" t="s">
        <v>13</v>
      </c>
      <c r="D4705" s="107">
        <v>11.83</v>
      </c>
    </row>
    <row r="4706" spans="1:4" ht="63.75" x14ac:dyDescent="0.25">
      <c r="A4706" s="104">
        <v>101238</v>
      </c>
      <c r="B4706" s="105" t="s">
        <v>11438</v>
      </c>
      <c r="C4706" s="106" t="s">
        <v>13</v>
      </c>
      <c r="D4706" s="107">
        <v>14.94</v>
      </c>
    </row>
    <row r="4707" spans="1:4" ht="63.75" x14ac:dyDescent="0.25">
      <c r="A4707" s="104">
        <v>101239</v>
      </c>
      <c r="B4707" s="105" t="s">
        <v>11439</v>
      </c>
      <c r="C4707" s="106" t="s">
        <v>13</v>
      </c>
      <c r="D4707" s="107">
        <v>7.92</v>
      </c>
    </row>
    <row r="4708" spans="1:4" ht="63.75" x14ac:dyDescent="0.25">
      <c r="A4708" s="104">
        <v>101240</v>
      </c>
      <c r="B4708" s="105" t="s">
        <v>11440</v>
      </c>
      <c r="C4708" s="106" t="s">
        <v>13</v>
      </c>
      <c r="D4708" s="107">
        <v>8.39</v>
      </c>
    </row>
    <row r="4709" spans="1:4" ht="63.75" x14ac:dyDescent="0.25">
      <c r="A4709" s="104">
        <v>101241</v>
      </c>
      <c r="B4709" s="105" t="s">
        <v>11441</v>
      </c>
      <c r="C4709" s="106" t="s">
        <v>13</v>
      </c>
      <c r="D4709" s="107">
        <v>9.7799999999999994</v>
      </c>
    </row>
    <row r="4710" spans="1:4" ht="63.75" x14ac:dyDescent="0.25">
      <c r="A4710" s="104">
        <v>101242</v>
      </c>
      <c r="B4710" s="105" t="s">
        <v>11442</v>
      </c>
      <c r="C4710" s="106" t="s">
        <v>13</v>
      </c>
      <c r="D4710" s="107">
        <v>10.89</v>
      </c>
    </row>
    <row r="4711" spans="1:4" ht="63.75" x14ac:dyDescent="0.25">
      <c r="A4711" s="104">
        <v>101243</v>
      </c>
      <c r="B4711" s="105" t="s">
        <v>11443</v>
      </c>
      <c r="C4711" s="106" t="s">
        <v>13</v>
      </c>
      <c r="D4711" s="107">
        <v>13.24</v>
      </c>
    </row>
    <row r="4712" spans="1:4" ht="63.75" x14ac:dyDescent="0.25">
      <c r="A4712" s="104">
        <v>101244</v>
      </c>
      <c r="B4712" s="105" t="s">
        <v>11444</v>
      </c>
      <c r="C4712" s="106" t="s">
        <v>13</v>
      </c>
      <c r="D4712" s="107">
        <v>8.33</v>
      </c>
    </row>
    <row r="4713" spans="1:4" ht="63.75" x14ac:dyDescent="0.25">
      <c r="A4713" s="104">
        <v>101245</v>
      </c>
      <c r="B4713" s="105" t="s">
        <v>11445</v>
      </c>
      <c r="C4713" s="106" t="s">
        <v>13</v>
      </c>
      <c r="D4713" s="107">
        <v>8.84</v>
      </c>
    </row>
    <row r="4714" spans="1:4" ht="63.75" x14ac:dyDescent="0.25">
      <c r="A4714" s="104">
        <v>101246</v>
      </c>
      <c r="B4714" s="105" t="s">
        <v>11446</v>
      </c>
      <c r="C4714" s="106" t="s">
        <v>13</v>
      </c>
      <c r="D4714" s="107">
        <v>10.28</v>
      </c>
    </row>
    <row r="4715" spans="1:4" ht="63.75" x14ac:dyDescent="0.25">
      <c r="A4715" s="104">
        <v>101247</v>
      </c>
      <c r="B4715" s="105" t="s">
        <v>11447</v>
      </c>
      <c r="C4715" s="106" t="s">
        <v>13</v>
      </c>
      <c r="D4715" s="107">
        <v>11.39</v>
      </c>
    </row>
    <row r="4716" spans="1:4" ht="63.75" x14ac:dyDescent="0.25">
      <c r="A4716" s="104">
        <v>101248</v>
      </c>
      <c r="B4716" s="105" t="s">
        <v>11448</v>
      </c>
      <c r="C4716" s="106" t="s">
        <v>13</v>
      </c>
      <c r="D4716" s="107">
        <v>14.28</v>
      </c>
    </row>
    <row r="4717" spans="1:4" ht="63.75" x14ac:dyDescent="0.25">
      <c r="A4717" s="104">
        <v>101249</v>
      </c>
      <c r="B4717" s="105" t="s">
        <v>11449</v>
      </c>
      <c r="C4717" s="106" t="s">
        <v>13</v>
      </c>
      <c r="D4717" s="107">
        <v>7.24</v>
      </c>
    </row>
    <row r="4718" spans="1:4" ht="63.75" x14ac:dyDescent="0.25">
      <c r="A4718" s="104">
        <v>101250</v>
      </c>
      <c r="B4718" s="105" t="s">
        <v>11450</v>
      </c>
      <c r="C4718" s="106" t="s">
        <v>13</v>
      </c>
      <c r="D4718" s="107">
        <v>8.02</v>
      </c>
    </row>
    <row r="4719" spans="1:4" ht="63.75" x14ac:dyDescent="0.25">
      <c r="A4719" s="104">
        <v>101251</v>
      </c>
      <c r="B4719" s="105" t="s">
        <v>11451</v>
      </c>
      <c r="C4719" s="106" t="s">
        <v>13</v>
      </c>
      <c r="D4719" s="107">
        <v>9.17</v>
      </c>
    </row>
    <row r="4720" spans="1:4" ht="63.75" x14ac:dyDescent="0.25">
      <c r="A4720" s="104">
        <v>101252</v>
      </c>
      <c r="B4720" s="105" t="s">
        <v>11452</v>
      </c>
      <c r="C4720" s="106" t="s">
        <v>13</v>
      </c>
      <c r="D4720" s="107">
        <v>9.9499999999999993</v>
      </c>
    </row>
    <row r="4721" spans="1:4" ht="63.75" x14ac:dyDescent="0.25">
      <c r="A4721" s="104">
        <v>101253</v>
      </c>
      <c r="B4721" s="105" t="s">
        <v>11453</v>
      </c>
      <c r="C4721" s="106" t="s">
        <v>13</v>
      </c>
      <c r="D4721" s="107">
        <v>12.53</v>
      </c>
    </row>
    <row r="4722" spans="1:4" ht="63.75" x14ac:dyDescent="0.25">
      <c r="A4722" s="104">
        <v>101254</v>
      </c>
      <c r="B4722" s="105" t="s">
        <v>11454</v>
      </c>
      <c r="C4722" s="106" t="s">
        <v>13</v>
      </c>
      <c r="D4722" s="107">
        <v>6.41</v>
      </c>
    </row>
    <row r="4723" spans="1:4" ht="63.75" x14ac:dyDescent="0.25">
      <c r="A4723" s="104">
        <v>101255</v>
      </c>
      <c r="B4723" s="105" t="s">
        <v>11455</v>
      </c>
      <c r="C4723" s="106" t="s">
        <v>13</v>
      </c>
      <c r="D4723" s="107">
        <v>5.7</v>
      </c>
    </row>
    <row r="4724" spans="1:4" ht="63.75" x14ac:dyDescent="0.25">
      <c r="A4724" s="104">
        <v>101256</v>
      </c>
      <c r="B4724" s="105" t="s">
        <v>11456</v>
      </c>
      <c r="C4724" s="106" t="s">
        <v>13</v>
      </c>
      <c r="D4724" s="107">
        <v>9.84</v>
      </c>
    </row>
    <row r="4725" spans="1:4" ht="63.75" x14ac:dyDescent="0.25">
      <c r="A4725" s="104">
        <v>101257</v>
      </c>
      <c r="B4725" s="105" t="s">
        <v>11457</v>
      </c>
      <c r="C4725" s="106" t="s">
        <v>13</v>
      </c>
      <c r="D4725" s="107">
        <v>10.4</v>
      </c>
    </row>
    <row r="4726" spans="1:4" ht="63.75" x14ac:dyDescent="0.25">
      <c r="A4726" s="104">
        <v>101258</v>
      </c>
      <c r="B4726" s="105" t="s">
        <v>11458</v>
      </c>
      <c r="C4726" s="106" t="s">
        <v>13</v>
      </c>
      <c r="D4726" s="107">
        <v>12.04</v>
      </c>
    </row>
    <row r="4727" spans="1:4" ht="63.75" x14ac:dyDescent="0.25">
      <c r="A4727" s="104">
        <v>101259</v>
      </c>
      <c r="B4727" s="105" t="s">
        <v>11459</v>
      </c>
      <c r="C4727" s="106" t="s">
        <v>13</v>
      </c>
      <c r="D4727" s="107">
        <v>13.33</v>
      </c>
    </row>
    <row r="4728" spans="1:4" ht="63.75" x14ac:dyDescent="0.25">
      <c r="A4728" s="104">
        <v>101260</v>
      </c>
      <c r="B4728" s="105" t="s">
        <v>11460</v>
      </c>
      <c r="C4728" s="106" t="s">
        <v>13</v>
      </c>
      <c r="D4728" s="107">
        <v>16.64</v>
      </c>
    </row>
    <row r="4729" spans="1:4" ht="63.75" x14ac:dyDescent="0.25">
      <c r="A4729" s="104">
        <v>101261</v>
      </c>
      <c r="B4729" s="105" t="s">
        <v>11461</v>
      </c>
      <c r="C4729" s="106" t="s">
        <v>13</v>
      </c>
      <c r="D4729" s="107">
        <v>9.32</v>
      </c>
    </row>
    <row r="4730" spans="1:4" ht="63.75" x14ac:dyDescent="0.25">
      <c r="A4730" s="104">
        <v>101262</v>
      </c>
      <c r="B4730" s="105" t="s">
        <v>11462</v>
      </c>
      <c r="C4730" s="106" t="s">
        <v>13</v>
      </c>
      <c r="D4730" s="107">
        <v>9.8699999999999992</v>
      </c>
    </row>
    <row r="4731" spans="1:4" ht="63.75" x14ac:dyDescent="0.25">
      <c r="A4731" s="104">
        <v>101263</v>
      </c>
      <c r="B4731" s="105" t="s">
        <v>11463</v>
      </c>
      <c r="C4731" s="106" t="s">
        <v>13</v>
      </c>
      <c r="D4731" s="107">
        <v>11.4</v>
      </c>
    </row>
    <row r="4732" spans="1:4" ht="63.75" x14ac:dyDescent="0.25">
      <c r="A4732" s="104">
        <v>101264</v>
      </c>
      <c r="B4732" s="105" t="s">
        <v>11464</v>
      </c>
      <c r="C4732" s="106" t="s">
        <v>13</v>
      </c>
      <c r="D4732" s="107">
        <v>12.61</v>
      </c>
    </row>
    <row r="4733" spans="1:4" ht="63.75" x14ac:dyDescent="0.25">
      <c r="A4733" s="104">
        <v>101265</v>
      </c>
      <c r="B4733" s="105" t="s">
        <v>11465</v>
      </c>
      <c r="C4733" s="106" t="s">
        <v>13</v>
      </c>
      <c r="D4733" s="107">
        <v>15.71</v>
      </c>
    </row>
    <row r="4734" spans="1:4" ht="63.75" x14ac:dyDescent="0.25">
      <c r="A4734" s="104">
        <v>101266</v>
      </c>
      <c r="B4734" s="105" t="s">
        <v>11466</v>
      </c>
      <c r="C4734" s="106" t="s">
        <v>13</v>
      </c>
      <c r="D4734" s="107">
        <v>5.72</v>
      </c>
    </row>
    <row r="4735" spans="1:4" ht="63.75" x14ac:dyDescent="0.25">
      <c r="A4735" s="104">
        <v>101267</v>
      </c>
      <c r="B4735" s="105" t="s">
        <v>11467</v>
      </c>
      <c r="C4735" s="106" t="s">
        <v>13</v>
      </c>
      <c r="D4735" s="107">
        <v>5.45</v>
      </c>
    </row>
    <row r="4736" spans="1:4" ht="63.75" x14ac:dyDescent="0.25">
      <c r="A4736" s="104">
        <v>101268</v>
      </c>
      <c r="B4736" s="105" t="s">
        <v>11468</v>
      </c>
      <c r="C4736" s="106" t="s">
        <v>13</v>
      </c>
      <c r="D4736" s="107">
        <v>8.99</v>
      </c>
    </row>
    <row r="4737" spans="1:4" ht="63.75" x14ac:dyDescent="0.25">
      <c r="A4737" s="104">
        <v>101269</v>
      </c>
      <c r="B4737" s="105" t="s">
        <v>11469</v>
      </c>
      <c r="C4737" s="106" t="s">
        <v>13</v>
      </c>
      <c r="D4737" s="107">
        <v>9.9600000000000009</v>
      </c>
    </row>
    <row r="4738" spans="1:4" ht="63.75" x14ac:dyDescent="0.25">
      <c r="A4738" s="104">
        <v>101270</v>
      </c>
      <c r="B4738" s="105" t="s">
        <v>11470</v>
      </c>
      <c r="C4738" s="106" t="s">
        <v>13</v>
      </c>
      <c r="D4738" s="107">
        <v>11.52</v>
      </c>
    </row>
    <row r="4739" spans="1:4" ht="63.75" x14ac:dyDescent="0.25">
      <c r="A4739" s="104">
        <v>101271</v>
      </c>
      <c r="B4739" s="105" t="s">
        <v>11471</v>
      </c>
      <c r="C4739" s="106" t="s">
        <v>13</v>
      </c>
      <c r="D4739" s="107">
        <v>12.75</v>
      </c>
    </row>
    <row r="4740" spans="1:4" ht="63.75" x14ac:dyDescent="0.25">
      <c r="A4740" s="104">
        <v>101272</v>
      </c>
      <c r="B4740" s="105" t="s">
        <v>11472</v>
      </c>
      <c r="C4740" s="106" t="s">
        <v>13</v>
      </c>
      <c r="D4740" s="107">
        <v>15.91</v>
      </c>
    </row>
    <row r="4741" spans="1:4" ht="63.75" x14ac:dyDescent="0.25">
      <c r="A4741" s="104">
        <v>101273</v>
      </c>
      <c r="B4741" s="105" t="s">
        <v>11473</v>
      </c>
      <c r="C4741" s="106" t="s">
        <v>13</v>
      </c>
      <c r="D4741" s="107">
        <v>8.57</v>
      </c>
    </row>
    <row r="4742" spans="1:4" ht="63.75" x14ac:dyDescent="0.25">
      <c r="A4742" s="104">
        <v>101274</v>
      </c>
      <c r="B4742" s="105" t="s">
        <v>11474</v>
      </c>
      <c r="C4742" s="106" t="s">
        <v>13</v>
      </c>
      <c r="D4742" s="107">
        <v>9.4499999999999993</v>
      </c>
    </row>
    <row r="4743" spans="1:4" ht="63.75" x14ac:dyDescent="0.25">
      <c r="A4743" s="104">
        <v>101275</v>
      </c>
      <c r="B4743" s="105" t="s">
        <v>11475</v>
      </c>
      <c r="C4743" s="106" t="s">
        <v>13</v>
      </c>
      <c r="D4743" s="107">
        <v>10.94</v>
      </c>
    </row>
    <row r="4744" spans="1:4" ht="63.75" x14ac:dyDescent="0.25">
      <c r="A4744" s="104">
        <v>101276</v>
      </c>
      <c r="B4744" s="105" t="s">
        <v>11476</v>
      </c>
      <c r="C4744" s="106" t="s">
        <v>13</v>
      </c>
      <c r="D4744" s="107">
        <v>12.08</v>
      </c>
    </row>
    <row r="4745" spans="1:4" ht="63.75" x14ac:dyDescent="0.25">
      <c r="A4745" s="104">
        <v>101277</v>
      </c>
      <c r="B4745" s="105" t="s">
        <v>11477</v>
      </c>
      <c r="C4745" s="106" t="s">
        <v>13</v>
      </c>
      <c r="D4745" s="107">
        <v>15.4</v>
      </c>
    </row>
    <row r="4746" spans="1:4" ht="25.5" x14ac:dyDescent="0.25">
      <c r="A4746" s="104">
        <v>72915</v>
      </c>
      <c r="B4746" s="105" t="s">
        <v>4642</v>
      </c>
      <c r="C4746" s="106" t="s">
        <v>13</v>
      </c>
      <c r="D4746" s="107">
        <v>8.57</v>
      </c>
    </row>
    <row r="4747" spans="1:4" ht="38.25" x14ac:dyDescent="0.25">
      <c r="A4747" s="104">
        <v>72917</v>
      </c>
      <c r="B4747" s="105" t="s">
        <v>4643</v>
      </c>
      <c r="C4747" s="106" t="s">
        <v>13</v>
      </c>
      <c r="D4747" s="107">
        <v>9.8000000000000007</v>
      </c>
    </row>
    <row r="4748" spans="1:4" ht="38.25" x14ac:dyDescent="0.25">
      <c r="A4748" s="104">
        <v>72918</v>
      </c>
      <c r="B4748" s="105" t="s">
        <v>4644</v>
      </c>
      <c r="C4748" s="106" t="s">
        <v>13</v>
      </c>
      <c r="D4748" s="107">
        <v>11.43</v>
      </c>
    </row>
    <row r="4749" spans="1:4" ht="25.5" x14ac:dyDescent="0.25">
      <c r="A4749" s="104" t="s">
        <v>4645</v>
      </c>
      <c r="B4749" s="105" t="s">
        <v>4646</v>
      </c>
      <c r="C4749" s="106" t="s">
        <v>13</v>
      </c>
      <c r="D4749" s="107">
        <v>143.69999999999999</v>
      </c>
    </row>
    <row r="4750" spans="1:4" ht="25.5" x14ac:dyDescent="0.25">
      <c r="A4750" s="104" t="s">
        <v>4647</v>
      </c>
      <c r="B4750" s="105" t="s">
        <v>4648</v>
      </c>
      <c r="C4750" s="106" t="s">
        <v>13</v>
      </c>
      <c r="D4750" s="107">
        <v>215.55</v>
      </c>
    </row>
    <row r="4751" spans="1:4" ht="25.5" x14ac:dyDescent="0.25">
      <c r="A4751" s="104">
        <v>83343</v>
      </c>
      <c r="B4751" s="105" t="s">
        <v>4649</v>
      </c>
      <c r="C4751" s="106" t="s">
        <v>13</v>
      </c>
      <c r="D4751" s="107">
        <v>10.57</v>
      </c>
    </row>
    <row r="4752" spans="1:4" ht="63.75" x14ac:dyDescent="0.25">
      <c r="A4752" s="104">
        <v>90082</v>
      </c>
      <c r="B4752" s="105" t="s">
        <v>4650</v>
      </c>
      <c r="C4752" s="106" t="s">
        <v>13</v>
      </c>
      <c r="D4752" s="107">
        <v>6.77</v>
      </c>
    </row>
    <row r="4753" spans="1:4" ht="63.75" x14ac:dyDescent="0.25">
      <c r="A4753" s="104">
        <v>90084</v>
      </c>
      <c r="B4753" s="105" t="s">
        <v>4651</v>
      </c>
      <c r="C4753" s="106" t="s">
        <v>13</v>
      </c>
      <c r="D4753" s="107">
        <v>6.58</v>
      </c>
    </row>
    <row r="4754" spans="1:4" ht="63.75" x14ac:dyDescent="0.25">
      <c r="A4754" s="106">
        <v>90085</v>
      </c>
      <c r="B4754" s="105" t="s">
        <v>4652</v>
      </c>
      <c r="C4754" s="106" t="s">
        <v>13</v>
      </c>
      <c r="D4754" s="107">
        <v>6.18</v>
      </c>
    </row>
    <row r="4755" spans="1:4" ht="63.75" x14ac:dyDescent="0.25">
      <c r="A4755" s="106">
        <v>90086</v>
      </c>
      <c r="B4755" s="105" t="s">
        <v>4653</v>
      </c>
      <c r="C4755" s="106" t="s">
        <v>13</v>
      </c>
      <c r="D4755" s="107">
        <v>6.25</v>
      </c>
    </row>
    <row r="4756" spans="1:4" ht="63.75" x14ac:dyDescent="0.25">
      <c r="A4756" s="104">
        <v>90087</v>
      </c>
      <c r="B4756" s="105" t="s">
        <v>4654</v>
      </c>
      <c r="C4756" s="106" t="s">
        <v>13</v>
      </c>
      <c r="D4756" s="107">
        <v>5.38</v>
      </c>
    </row>
    <row r="4757" spans="1:4" ht="63.75" x14ac:dyDescent="0.25">
      <c r="A4757" s="104">
        <v>90088</v>
      </c>
      <c r="B4757" s="105" t="s">
        <v>4655</v>
      </c>
      <c r="C4757" s="106" t="s">
        <v>13</v>
      </c>
      <c r="D4757" s="107">
        <v>5.48</v>
      </c>
    </row>
    <row r="4758" spans="1:4" ht="63.75" x14ac:dyDescent="0.25">
      <c r="A4758" s="104">
        <v>90090</v>
      </c>
      <c r="B4758" s="105" t="s">
        <v>4656</v>
      </c>
      <c r="C4758" s="106" t="s">
        <v>13</v>
      </c>
      <c r="D4758" s="107">
        <v>5.26</v>
      </c>
    </row>
    <row r="4759" spans="1:4" ht="63.75" x14ac:dyDescent="0.25">
      <c r="A4759" s="104">
        <v>90091</v>
      </c>
      <c r="B4759" s="105" t="s">
        <v>4657</v>
      </c>
      <c r="C4759" s="106" t="s">
        <v>13</v>
      </c>
      <c r="D4759" s="107">
        <v>4.04</v>
      </c>
    </row>
    <row r="4760" spans="1:4" ht="63.75" x14ac:dyDescent="0.25">
      <c r="A4760" s="104">
        <v>90092</v>
      </c>
      <c r="B4760" s="105" t="s">
        <v>4658</v>
      </c>
      <c r="C4760" s="106" t="s">
        <v>13</v>
      </c>
      <c r="D4760" s="107">
        <v>3.91</v>
      </c>
    </row>
    <row r="4761" spans="1:4" ht="63.75" x14ac:dyDescent="0.25">
      <c r="A4761" s="104">
        <v>90093</v>
      </c>
      <c r="B4761" s="105" t="s">
        <v>4659</v>
      </c>
      <c r="C4761" s="106" t="s">
        <v>13</v>
      </c>
      <c r="D4761" s="107">
        <v>3.69</v>
      </c>
    </row>
    <row r="4762" spans="1:4" ht="63.75" x14ac:dyDescent="0.25">
      <c r="A4762" s="104">
        <v>90094</v>
      </c>
      <c r="B4762" s="105" t="s">
        <v>4660</v>
      </c>
      <c r="C4762" s="106" t="s">
        <v>13</v>
      </c>
      <c r="D4762" s="107">
        <v>3.71</v>
      </c>
    </row>
    <row r="4763" spans="1:4" ht="63.75" x14ac:dyDescent="0.25">
      <c r="A4763" s="104">
        <v>90095</v>
      </c>
      <c r="B4763" s="105" t="s">
        <v>4661</v>
      </c>
      <c r="C4763" s="106" t="s">
        <v>13</v>
      </c>
      <c r="D4763" s="107">
        <v>3.2</v>
      </c>
    </row>
    <row r="4764" spans="1:4" ht="63.75" x14ac:dyDescent="0.25">
      <c r="A4764" s="104">
        <v>90096</v>
      </c>
      <c r="B4764" s="105" t="s">
        <v>4662</v>
      </c>
      <c r="C4764" s="106" t="s">
        <v>13</v>
      </c>
      <c r="D4764" s="107">
        <v>3.27</v>
      </c>
    </row>
    <row r="4765" spans="1:4" ht="63.75" x14ac:dyDescent="0.25">
      <c r="A4765" s="104">
        <v>90098</v>
      </c>
      <c r="B4765" s="105" t="s">
        <v>4663</v>
      </c>
      <c r="C4765" s="106" t="s">
        <v>13</v>
      </c>
      <c r="D4765" s="107">
        <v>3.13</v>
      </c>
    </row>
    <row r="4766" spans="1:4" ht="63.75" x14ac:dyDescent="0.25">
      <c r="A4766" s="104">
        <v>90099</v>
      </c>
      <c r="B4766" s="105" t="s">
        <v>4664</v>
      </c>
      <c r="C4766" s="106" t="s">
        <v>13</v>
      </c>
      <c r="D4766" s="107">
        <v>8.93</v>
      </c>
    </row>
    <row r="4767" spans="1:4" ht="63.75" x14ac:dyDescent="0.25">
      <c r="A4767" s="104">
        <v>90100</v>
      </c>
      <c r="B4767" s="105" t="s">
        <v>4665</v>
      </c>
      <c r="C4767" s="106" t="s">
        <v>13</v>
      </c>
      <c r="D4767" s="107">
        <v>7.6</v>
      </c>
    </row>
    <row r="4768" spans="1:4" ht="63.75" x14ac:dyDescent="0.25">
      <c r="A4768" s="104">
        <v>90101</v>
      </c>
      <c r="B4768" s="105" t="s">
        <v>4666</v>
      </c>
      <c r="C4768" s="106" t="s">
        <v>13</v>
      </c>
      <c r="D4768" s="107">
        <v>7.5</v>
      </c>
    </row>
    <row r="4769" spans="1:4" ht="63.75" x14ac:dyDescent="0.25">
      <c r="A4769" s="104">
        <v>90102</v>
      </c>
      <c r="B4769" s="105" t="s">
        <v>4667</v>
      </c>
      <c r="C4769" s="106" t="s">
        <v>13</v>
      </c>
      <c r="D4769" s="107">
        <v>6.82</v>
      </c>
    </row>
    <row r="4770" spans="1:4" ht="76.5" x14ac:dyDescent="0.25">
      <c r="A4770" s="104">
        <v>90105</v>
      </c>
      <c r="B4770" s="105" t="s">
        <v>4668</v>
      </c>
      <c r="C4770" s="106" t="s">
        <v>13</v>
      </c>
      <c r="D4770" s="107">
        <v>5.33</v>
      </c>
    </row>
    <row r="4771" spans="1:4" ht="76.5" x14ac:dyDescent="0.25">
      <c r="A4771" s="104">
        <v>90106</v>
      </c>
      <c r="B4771" s="105" t="s">
        <v>4669</v>
      </c>
      <c r="C4771" s="106" t="s">
        <v>13</v>
      </c>
      <c r="D4771" s="107">
        <v>4.5199999999999996</v>
      </c>
    </row>
    <row r="4772" spans="1:4" ht="76.5" x14ac:dyDescent="0.25">
      <c r="A4772" s="104">
        <v>90107</v>
      </c>
      <c r="B4772" s="105" t="s">
        <v>4670</v>
      </c>
      <c r="C4772" s="106" t="s">
        <v>13</v>
      </c>
      <c r="D4772" s="107">
        <v>4.47</v>
      </c>
    </row>
    <row r="4773" spans="1:4" ht="76.5" x14ac:dyDescent="0.25">
      <c r="A4773" s="104">
        <v>90108</v>
      </c>
      <c r="B4773" s="105" t="s">
        <v>4671</v>
      </c>
      <c r="C4773" s="106" t="s">
        <v>13</v>
      </c>
      <c r="D4773" s="107">
        <v>4.07</v>
      </c>
    </row>
    <row r="4774" spans="1:4" ht="25.5" x14ac:dyDescent="0.25">
      <c r="A4774" s="104">
        <v>93358</v>
      </c>
      <c r="B4774" s="105" t="s">
        <v>4672</v>
      </c>
      <c r="C4774" s="106" t="s">
        <v>13</v>
      </c>
      <c r="D4774" s="107">
        <v>56.84</v>
      </c>
    </row>
    <row r="4775" spans="1:4" ht="51" x14ac:dyDescent="0.25">
      <c r="A4775" s="104">
        <v>94304</v>
      </c>
      <c r="B4775" s="105" t="s">
        <v>4673</v>
      </c>
      <c r="C4775" s="106" t="s">
        <v>13</v>
      </c>
      <c r="D4775" s="107">
        <v>22.96</v>
      </c>
    </row>
    <row r="4776" spans="1:4" ht="51" x14ac:dyDescent="0.25">
      <c r="A4776" s="104">
        <v>94305</v>
      </c>
      <c r="B4776" s="105" t="s">
        <v>4674</v>
      </c>
      <c r="C4776" s="106" t="s">
        <v>13</v>
      </c>
      <c r="D4776" s="107">
        <v>20.85</v>
      </c>
    </row>
    <row r="4777" spans="1:4" ht="51" x14ac:dyDescent="0.25">
      <c r="A4777" s="104">
        <v>94306</v>
      </c>
      <c r="B4777" s="105" t="s">
        <v>4675</v>
      </c>
      <c r="C4777" s="106" t="s">
        <v>13</v>
      </c>
      <c r="D4777" s="107">
        <v>18.149999999999999</v>
      </c>
    </row>
    <row r="4778" spans="1:4" ht="51" x14ac:dyDescent="0.25">
      <c r="A4778" s="104">
        <v>94307</v>
      </c>
      <c r="B4778" s="105" t="s">
        <v>4676</v>
      </c>
      <c r="C4778" s="106" t="s">
        <v>13</v>
      </c>
      <c r="D4778" s="107">
        <v>18.77</v>
      </c>
    </row>
    <row r="4779" spans="1:4" ht="51" x14ac:dyDescent="0.25">
      <c r="A4779" s="104">
        <v>94308</v>
      </c>
      <c r="B4779" s="105" t="s">
        <v>4677</v>
      </c>
      <c r="C4779" s="106" t="s">
        <v>13</v>
      </c>
      <c r="D4779" s="107">
        <v>17.100000000000001</v>
      </c>
    </row>
    <row r="4780" spans="1:4" ht="51" x14ac:dyDescent="0.25">
      <c r="A4780" s="104">
        <v>94309</v>
      </c>
      <c r="B4780" s="105" t="s">
        <v>4678</v>
      </c>
      <c r="C4780" s="106" t="s">
        <v>13</v>
      </c>
      <c r="D4780" s="107">
        <v>17.86</v>
      </c>
    </row>
    <row r="4781" spans="1:4" ht="51" x14ac:dyDescent="0.25">
      <c r="A4781" s="104">
        <v>94310</v>
      </c>
      <c r="B4781" s="105" t="s">
        <v>4679</v>
      </c>
      <c r="C4781" s="106" t="s">
        <v>13</v>
      </c>
      <c r="D4781" s="107">
        <v>16.579999999999998</v>
      </c>
    </row>
    <row r="4782" spans="1:4" ht="51" x14ac:dyDescent="0.25">
      <c r="A4782" s="104">
        <v>94315</v>
      </c>
      <c r="B4782" s="105" t="s">
        <v>4680</v>
      </c>
      <c r="C4782" s="106" t="s">
        <v>13</v>
      </c>
      <c r="D4782" s="107">
        <v>27.09</v>
      </c>
    </row>
    <row r="4783" spans="1:4" ht="51" x14ac:dyDescent="0.25">
      <c r="A4783" s="104">
        <v>94316</v>
      </c>
      <c r="B4783" s="105" t="s">
        <v>4681</v>
      </c>
      <c r="C4783" s="106" t="s">
        <v>13</v>
      </c>
      <c r="D4783" s="107">
        <v>22.19</v>
      </c>
    </row>
    <row r="4784" spans="1:4" ht="51" x14ac:dyDescent="0.25">
      <c r="A4784" s="104">
        <v>94317</v>
      </c>
      <c r="B4784" s="105" t="s">
        <v>4682</v>
      </c>
      <c r="C4784" s="106" t="s">
        <v>13</v>
      </c>
      <c r="D4784" s="107">
        <v>20.010000000000002</v>
      </c>
    </row>
    <row r="4785" spans="1:4" ht="51" x14ac:dyDescent="0.25">
      <c r="A4785" s="104">
        <v>94318</v>
      </c>
      <c r="B4785" s="105" t="s">
        <v>4683</v>
      </c>
      <c r="C4785" s="106" t="s">
        <v>13</v>
      </c>
      <c r="D4785" s="107">
        <v>17.23</v>
      </c>
    </row>
    <row r="4786" spans="1:4" ht="25.5" x14ac:dyDescent="0.25">
      <c r="A4786" s="104">
        <v>94319</v>
      </c>
      <c r="B4786" s="105" t="s">
        <v>4684</v>
      </c>
      <c r="C4786" s="106" t="s">
        <v>13</v>
      </c>
      <c r="D4786" s="107">
        <v>30.8</v>
      </c>
    </row>
    <row r="4787" spans="1:4" ht="51" x14ac:dyDescent="0.25">
      <c r="A4787" s="104">
        <v>94327</v>
      </c>
      <c r="B4787" s="105" t="s">
        <v>4685</v>
      </c>
      <c r="C4787" s="106" t="s">
        <v>13</v>
      </c>
      <c r="D4787" s="107">
        <v>73.66</v>
      </c>
    </row>
    <row r="4788" spans="1:4" ht="51" x14ac:dyDescent="0.25">
      <c r="A4788" s="104">
        <v>94328</v>
      </c>
      <c r="B4788" s="105" t="s">
        <v>4686</v>
      </c>
      <c r="C4788" s="106" t="s">
        <v>13</v>
      </c>
      <c r="D4788" s="107">
        <v>71.55</v>
      </c>
    </row>
    <row r="4789" spans="1:4" ht="51" x14ac:dyDescent="0.25">
      <c r="A4789" s="104">
        <v>94329</v>
      </c>
      <c r="B4789" s="105" t="s">
        <v>4687</v>
      </c>
      <c r="C4789" s="106" t="s">
        <v>13</v>
      </c>
      <c r="D4789" s="107">
        <v>68.849999999999994</v>
      </c>
    </row>
    <row r="4790" spans="1:4" ht="51" x14ac:dyDescent="0.25">
      <c r="A4790" s="104">
        <v>94330</v>
      </c>
      <c r="B4790" s="105" t="s">
        <v>4688</v>
      </c>
      <c r="C4790" s="106" t="s">
        <v>13</v>
      </c>
      <c r="D4790" s="107">
        <v>69.47</v>
      </c>
    </row>
    <row r="4791" spans="1:4" ht="51" x14ac:dyDescent="0.25">
      <c r="A4791" s="104">
        <v>94331</v>
      </c>
      <c r="B4791" s="105" t="s">
        <v>4689</v>
      </c>
      <c r="C4791" s="106" t="s">
        <v>13</v>
      </c>
      <c r="D4791" s="107">
        <v>67.8</v>
      </c>
    </row>
    <row r="4792" spans="1:4" ht="51" x14ac:dyDescent="0.25">
      <c r="A4792" s="104">
        <v>94332</v>
      </c>
      <c r="B4792" s="105" t="s">
        <v>4690</v>
      </c>
      <c r="C4792" s="106" t="s">
        <v>13</v>
      </c>
      <c r="D4792" s="107">
        <v>68.56</v>
      </c>
    </row>
    <row r="4793" spans="1:4" ht="51" x14ac:dyDescent="0.25">
      <c r="A4793" s="104">
        <v>94333</v>
      </c>
      <c r="B4793" s="105" t="s">
        <v>4691</v>
      </c>
      <c r="C4793" s="106" t="s">
        <v>13</v>
      </c>
      <c r="D4793" s="107">
        <v>67.28</v>
      </c>
    </row>
    <row r="4794" spans="1:4" ht="38.25" x14ac:dyDescent="0.25">
      <c r="A4794" s="104">
        <v>94338</v>
      </c>
      <c r="B4794" s="105" t="s">
        <v>4692</v>
      </c>
      <c r="C4794" s="106" t="s">
        <v>13</v>
      </c>
      <c r="D4794" s="107">
        <v>77.790000000000006</v>
      </c>
    </row>
    <row r="4795" spans="1:4" ht="51" x14ac:dyDescent="0.25">
      <c r="A4795" s="104">
        <v>94339</v>
      </c>
      <c r="B4795" s="105" t="s">
        <v>4693</v>
      </c>
      <c r="C4795" s="106" t="s">
        <v>13</v>
      </c>
      <c r="D4795" s="107">
        <v>72.89</v>
      </c>
    </row>
    <row r="4796" spans="1:4" ht="51" x14ac:dyDescent="0.25">
      <c r="A4796" s="104">
        <v>94340</v>
      </c>
      <c r="B4796" s="105" t="s">
        <v>4694</v>
      </c>
      <c r="C4796" s="106" t="s">
        <v>13</v>
      </c>
      <c r="D4796" s="107">
        <v>70.709999999999994</v>
      </c>
    </row>
    <row r="4797" spans="1:4" ht="51" x14ac:dyDescent="0.25">
      <c r="A4797" s="104">
        <v>94341</v>
      </c>
      <c r="B4797" s="105" t="s">
        <v>4695</v>
      </c>
      <c r="C4797" s="106" t="s">
        <v>13</v>
      </c>
      <c r="D4797" s="107">
        <v>67.930000000000007</v>
      </c>
    </row>
    <row r="4798" spans="1:4" ht="25.5" x14ac:dyDescent="0.25">
      <c r="A4798" s="104">
        <v>94342</v>
      </c>
      <c r="B4798" s="105" t="s">
        <v>4696</v>
      </c>
      <c r="C4798" s="106" t="s">
        <v>13</v>
      </c>
      <c r="D4798" s="107">
        <v>81.5</v>
      </c>
    </row>
    <row r="4799" spans="1:4" ht="38.25" x14ac:dyDescent="0.25">
      <c r="A4799" s="104">
        <v>96385</v>
      </c>
      <c r="B4799" s="105" t="s">
        <v>11478</v>
      </c>
      <c r="C4799" s="106" t="s">
        <v>13</v>
      </c>
      <c r="D4799" s="107">
        <v>5.74</v>
      </c>
    </row>
    <row r="4800" spans="1:4" ht="38.25" x14ac:dyDescent="0.25">
      <c r="A4800" s="104">
        <v>96386</v>
      </c>
      <c r="B4800" s="105" t="s">
        <v>11479</v>
      </c>
      <c r="C4800" s="106" t="s">
        <v>13</v>
      </c>
      <c r="D4800" s="107">
        <v>4.1100000000000003</v>
      </c>
    </row>
    <row r="4801" spans="1:4" ht="51" x14ac:dyDescent="0.25">
      <c r="A4801" s="104">
        <v>93360</v>
      </c>
      <c r="B4801" s="105" t="s">
        <v>4697</v>
      </c>
      <c r="C4801" s="106" t="s">
        <v>13</v>
      </c>
      <c r="D4801" s="107">
        <v>12.11</v>
      </c>
    </row>
    <row r="4802" spans="1:4" ht="51" x14ac:dyDescent="0.25">
      <c r="A4802" s="104">
        <v>93361</v>
      </c>
      <c r="B4802" s="105" t="s">
        <v>4698</v>
      </c>
      <c r="C4802" s="106" t="s">
        <v>13</v>
      </c>
      <c r="D4802" s="107">
        <v>10.06</v>
      </c>
    </row>
    <row r="4803" spans="1:4" ht="63.75" x14ac:dyDescent="0.25">
      <c r="A4803" s="104">
        <v>93362</v>
      </c>
      <c r="B4803" s="105" t="s">
        <v>4699</v>
      </c>
      <c r="C4803" s="106" t="s">
        <v>13</v>
      </c>
      <c r="D4803" s="107">
        <v>7.32</v>
      </c>
    </row>
    <row r="4804" spans="1:4" ht="51" x14ac:dyDescent="0.25">
      <c r="A4804" s="104">
        <v>93363</v>
      </c>
      <c r="B4804" s="105" t="s">
        <v>4700</v>
      </c>
      <c r="C4804" s="106" t="s">
        <v>13</v>
      </c>
      <c r="D4804" s="107">
        <v>7.92</v>
      </c>
    </row>
    <row r="4805" spans="1:4" ht="63.75" x14ac:dyDescent="0.25">
      <c r="A4805" s="104">
        <v>93364</v>
      </c>
      <c r="B4805" s="105" t="s">
        <v>4701</v>
      </c>
      <c r="C4805" s="106" t="s">
        <v>13</v>
      </c>
      <c r="D4805" s="107">
        <v>6.25</v>
      </c>
    </row>
    <row r="4806" spans="1:4" ht="51" x14ac:dyDescent="0.25">
      <c r="A4806" s="104">
        <v>93365</v>
      </c>
      <c r="B4806" s="105" t="s">
        <v>4702</v>
      </c>
      <c r="C4806" s="106" t="s">
        <v>13</v>
      </c>
      <c r="D4806" s="107">
        <v>6.96</v>
      </c>
    </row>
    <row r="4807" spans="1:4" ht="63.75" x14ac:dyDescent="0.25">
      <c r="A4807" s="104">
        <v>93366</v>
      </c>
      <c r="B4807" s="105" t="s">
        <v>4703</v>
      </c>
      <c r="C4807" s="106" t="s">
        <v>13</v>
      </c>
      <c r="D4807" s="107">
        <v>5.75</v>
      </c>
    </row>
    <row r="4808" spans="1:4" ht="51" x14ac:dyDescent="0.25">
      <c r="A4808" s="104">
        <v>93367</v>
      </c>
      <c r="B4808" s="105" t="s">
        <v>4704</v>
      </c>
      <c r="C4808" s="106" t="s">
        <v>13</v>
      </c>
      <c r="D4808" s="107">
        <v>11.31</v>
      </c>
    </row>
    <row r="4809" spans="1:4" ht="51" x14ac:dyDescent="0.25">
      <c r="A4809" s="104">
        <v>93368</v>
      </c>
      <c r="B4809" s="105" t="s">
        <v>4705</v>
      </c>
      <c r="C4809" s="106" t="s">
        <v>13</v>
      </c>
      <c r="D4809" s="107">
        <v>9.2100000000000009</v>
      </c>
    </row>
    <row r="4810" spans="1:4" ht="63.75" x14ac:dyDescent="0.25">
      <c r="A4810" s="104">
        <v>93369</v>
      </c>
      <c r="B4810" s="105" t="s">
        <v>4706</v>
      </c>
      <c r="C4810" s="106" t="s">
        <v>13</v>
      </c>
      <c r="D4810" s="107">
        <v>6.52</v>
      </c>
    </row>
    <row r="4811" spans="1:4" ht="51" x14ac:dyDescent="0.25">
      <c r="A4811" s="104">
        <v>93370</v>
      </c>
      <c r="B4811" s="105" t="s">
        <v>4707</v>
      </c>
      <c r="C4811" s="106" t="s">
        <v>13</v>
      </c>
      <c r="D4811" s="107">
        <v>7.13</v>
      </c>
    </row>
    <row r="4812" spans="1:4" ht="63.75" x14ac:dyDescent="0.25">
      <c r="A4812" s="104">
        <v>93371</v>
      </c>
      <c r="B4812" s="105" t="s">
        <v>4708</v>
      </c>
      <c r="C4812" s="106" t="s">
        <v>13</v>
      </c>
      <c r="D4812" s="107">
        <v>5.46</v>
      </c>
    </row>
    <row r="4813" spans="1:4" ht="51" x14ac:dyDescent="0.25">
      <c r="A4813" s="104">
        <v>93372</v>
      </c>
      <c r="B4813" s="105" t="s">
        <v>4709</v>
      </c>
      <c r="C4813" s="106" t="s">
        <v>13</v>
      </c>
      <c r="D4813" s="107">
        <v>6.22</v>
      </c>
    </row>
    <row r="4814" spans="1:4" ht="63.75" x14ac:dyDescent="0.25">
      <c r="A4814" s="104">
        <v>93373</v>
      </c>
      <c r="B4814" s="105" t="s">
        <v>4710</v>
      </c>
      <c r="C4814" s="106" t="s">
        <v>13</v>
      </c>
      <c r="D4814" s="107">
        <v>4.95</v>
      </c>
    </row>
    <row r="4815" spans="1:4" ht="63.75" x14ac:dyDescent="0.25">
      <c r="A4815" s="104">
        <v>93374</v>
      </c>
      <c r="B4815" s="105" t="s">
        <v>4711</v>
      </c>
      <c r="C4815" s="106" t="s">
        <v>13</v>
      </c>
      <c r="D4815" s="107">
        <v>14.18</v>
      </c>
    </row>
    <row r="4816" spans="1:4" ht="63.75" x14ac:dyDescent="0.25">
      <c r="A4816" s="104">
        <v>93375</v>
      </c>
      <c r="B4816" s="105" t="s">
        <v>4712</v>
      </c>
      <c r="C4816" s="106" t="s">
        <v>13</v>
      </c>
      <c r="D4816" s="107">
        <v>10.9</v>
      </c>
    </row>
    <row r="4817" spans="1:4" ht="63.75" x14ac:dyDescent="0.25">
      <c r="A4817" s="104">
        <v>93376</v>
      </c>
      <c r="B4817" s="105" t="s">
        <v>4713</v>
      </c>
      <c r="C4817" s="106" t="s">
        <v>13</v>
      </c>
      <c r="D4817" s="107">
        <v>8.91</v>
      </c>
    </row>
    <row r="4818" spans="1:4" ht="63.75" x14ac:dyDescent="0.25">
      <c r="A4818" s="104">
        <v>93377</v>
      </c>
      <c r="B4818" s="105" t="s">
        <v>4714</v>
      </c>
      <c r="C4818" s="106" t="s">
        <v>13</v>
      </c>
      <c r="D4818" s="107">
        <v>5.98</v>
      </c>
    </row>
    <row r="4819" spans="1:4" ht="63.75" x14ac:dyDescent="0.25">
      <c r="A4819" s="104">
        <v>93378</v>
      </c>
      <c r="B4819" s="105" t="s">
        <v>4715</v>
      </c>
      <c r="C4819" s="106" t="s">
        <v>13</v>
      </c>
      <c r="D4819" s="107">
        <v>13.25</v>
      </c>
    </row>
    <row r="4820" spans="1:4" ht="63.75" x14ac:dyDescent="0.25">
      <c r="A4820" s="104">
        <v>93379</v>
      </c>
      <c r="B4820" s="105" t="s">
        <v>4716</v>
      </c>
      <c r="C4820" s="106" t="s">
        <v>13</v>
      </c>
      <c r="D4820" s="107">
        <v>10.199999999999999</v>
      </c>
    </row>
    <row r="4821" spans="1:4" ht="63.75" x14ac:dyDescent="0.25">
      <c r="A4821" s="104">
        <v>93380</v>
      </c>
      <c r="B4821" s="105" t="s">
        <v>4717</v>
      </c>
      <c r="C4821" s="106" t="s">
        <v>13</v>
      </c>
      <c r="D4821" s="107">
        <v>8.36</v>
      </c>
    </row>
    <row r="4822" spans="1:4" ht="63.75" x14ac:dyDescent="0.25">
      <c r="A4822" s="104">
        <v>93381</v>
      </c>
      <c r="B4822" s="105" t="s">
        <v>4718</v>
      </c>
      <c r="C4822" s="106" t="s">
        <v>13</v>
      </c>
      <c r="D4822" s="107">
        <v>5.59</v>
      </c>
    </row>
    <row r="4823" spans="1:4" ht="25.5" x14ac:dyDescent="0.25">
      <c r="A4823" s="104">
        <v>93382</v>
      </c>
      <c r="B4823" s="105" t="s">
        <v>244</v>
      </c>
      <c r="C4823" s="106" t="s">
        <v>13</v>
      </c>
      <c r="D4823" s="107">
        <v>19.170000000000002</v>
      </c>
    </row>
    <row r="4824" spans="1:4" x14ac:dyDescent="0.25">
      <c r="A4824" s="104">
        <v>96995</v>
      </c>
      <c r="B4824" s="105" t="s">
        <v>4719</v>
      </c>
      <c r="C4824" s="106" t="s">
        <v>13</v>
      </c>
      <c r="D4824" s="107">
        <v>34.46</v>
      </c>
    </row>
    <row r="4825" spans="1:4" ht="25.5" x14ac:dyDescent="0.25">
      <c r="A4825" s="104">
        <v>72838</v>
      </c>
      <c r="B4825" s="105" t="s">
        <v>4720</v>
      </c>
      <c r="C4825" s="106" t="s">
        <v>4721</v>
      </c>
      <c r="D4825" s="107">
        <v>0.67</v>
      </c>
    </row>
    <row r="4826" spans="1:4" ht="25.5" x14ac:dyDescent="0.25">
      <c r="A4826" s="104">
        <v>72839</v>
      </c>
      <c r="B4826" s="105" t="s">
        <v>4722</v>
      </c>
      <c r="C4826" s="106" t="s">
        <v>4721</v>
      </c>
      <c r="D4826" s="107">
        <v>0.54</v>
      </c>
    </row>
    <row r="4827" spans="1:4" ht="25.5" x14ac:dyDescent="0.25">
      <c r="A4827" s="104">
        <v>72840</v>
      </c>
      <c r="B4827" s="105" t="s">
        <v>4723</v>
      </c>
      <c r="C4827" s="106" t="s">
        <v>4721</v>
      </c>
      <c r="D4827" s="107">
        <v>0.45</v>
      </c>
    </row>
    <row r="4828" spans="1:4" ht="25.5" x14ac:dyDescent="0.25">
      <c r="A4828" s="104">
        <v>72844</v>
      </c>
      <c r="B4828" s="105" t="s">
        <v>4724</v>
      </c>
      <c r="C4828" s="106" t="s">
        <v>4725</v>
      </c>
      <c r="D4828" s="107">
        <v>0.49</v>
      </c>
    </row>
    <row r="4829" spans="1:4" ht="25.5" x14ac:dyDescent="0.25">
      <c r="A4829" s="104">
        <v>72845</v>
      </c>
      <c r="B4829" s="105" t="s">
        <v>4726</v>
      </c>
      <c r="C4829" s="106" t="s">
        <v>4725</v>
      </c>
      <c r="D4829" s="107">
        <v>2.98</v>
      </c>
    </row>
    <row r="4830" spans="1:4" ht="25.5" x14ac:dyDescent="0.25">
      <c r="A4830" s="104">
        <v>72846</v>
      </c>
      <c r="B4830" s="105" t="s">
        <v>4727</v>
      </c>
      <c r="C4830" s="106" t="s">
        <v>4725</v>
      </c>
      <c r="D4830" s="107">
        <v>2.46</v>
      </c>
    </row>
    <row r="4831" spans="1:4" ht="25.5" x14ac:dyDescent="0.25">
      <c r="A4831" s="104">
        <v>72847</v>
      </c>
      <c r="B4831" s="105" t="s">
        <v>4728</v>
      </c>
      <c r="C4831" s="106" t="s">
        <v>4725</v>
      </c>
      <c r="D4831" s="107">
        <v>5.31</v>
      </c>
    </row>
    <row r="4832" spans="1:4" ht="25.5" x14ac:dyDescent="0.25">
      <c r="A4832" s="104">
        <v>72848</v>
      </c>
      <c r="B4832" s="105" t="s">
        <v>4729</v>
      </c>
      <c r="C4832" s="106" t="s">
        <v>4725</v>
      </c>
      <c r="D4832" s="107">
        <v>1.32</v>
      </c>
    </row>
    <row r="4833" spans="1:4" ht="25.5" x14ac:dyDescent="0.25">
      <c r="A4833" s="104">
        <v>72849</v>
      </c>
      <c r="B4833" s="105" t="s">
        <v>4730</v>
      </c>
      <c r="C4833" s="106" t="s">
        <v>4725</v>
      </c>
      <c r="D4833" s="107">
        <v>1.7</v>
      </c>
    </row>
    <row r="4834" spans="1:4" ht="25.5" x14ac:dyDescent="0.25">
      <c r="A4834" s="104">
        <v>72850</v>
      </c>
      <c r="B4834" s="105" t="s">
        <v>4731</v>
      </c>
      <c r="C4834" s="106" t="s">
        <v>4725</v>
      </c>
      <c r="D4834" s="107">
        <v>8.52</v>
      </c>
    </row>
    <row r="4835" spans="1:4" ht="25.5" x14ac:dyDescent="0.25">
      <c r="A4835" s="104">
        <v>72882</v>
      </c>
      <c r="B4835" s="105" t="s">
        <v>4720</v>
      </c>
      <c r="C4835" s="106" t="s">
        <v>650</v>
      </c>
      <c r="D4835" s="107">
        <v>1.01</v>
      </c>
    </row>
    <row r="4836" spans="1:4" ht="25.5" x14ac:dyDescent="0.25">
      <c r="A4836" s="104">
        <v>72883</v>
      </c>
      <c r="B4836" s="105" t="s">
        <v>4722</v>
      </c>
      <c r="C4836" s="106" t="s">
        <v>650</v>
      </c>
      <c r="D4836" s="107">
        <v>0.8</v>
      </c>
    </row>
    <row r="4837" spans="1:4" ht="25.5" x14ac:dyDescent="0.25">
      <c r="A4837" s="104">
        <v>72884</v>
      </c>
      <c r="B4837" s="105" t="s">
        <v>4723</v>
      </c>
      <c r="C4837" s="106" t="s">
        <v>650</v>
      </c>
      <c r="D4837" s="107">
        <v>0.67</v>
      </c>
    </row>
    <row r="4838" spans="1:4" ht="25.5" x14ac:dyDescent="0.25">
      <c r="A4838" s="104">
        <v>72888</v>
      </c>
      <c r="B4838" s="105" t="s">
        <v>4724</v>
      </c>
      <c r="C4838" s="106" t="s">
        <v>13</v>
      </c>
      <c r="D4838" s="107">
        <v>0.74</v>
      </c>
    </row>
    <row r="4839" spans="1:4" ht="38.25" x14ac:dyDescent="0.25">
      <c r="A4839" s="104">
        <v>72890</v>
      </c>
      <c r="B4839" s="105" t="s">
        <v>4732</v>
      </c>
      <c r="C4839" s="106" t="s">
        <v>13</v>
      </c>
      <c r="D4839" s="107">
        <v>4.4800000000000004</v>
      </c>
    </row>
    <row r="4840" spans="1:4" ht="38.25" x14ac:dyDescent="0.25">
      <c r="A4840" s="104">
        <v>72891</v>
      </c>
      <c r="B4840" s="105" t="s">
        <v>4733</v>
      </c>
      <c r="C4840" s="106" t="s">
        <v>13</v>
      </c>
      <c r="D4840" s="107">
        <v>3.69</v>
      </c>
    </row>
    <row r="4841" spans="1:4" ht="38.25" x14ac:dyDescent="0.25">
      <c r="A4841" s="104">
        <v>72892</v>
      </c>
      <c r="B4841" s="105" t="s">
        <v>4734</v>
      </c>
      <c r="C4841" s="106" t="s">
        <v>13</v>
      </c>
      <c r="D4841" s="107">
        <v>7.96</v>
      </c>
    </row>
    <row r="4842" spans="1:4" ht="25.5" x14ac:dyDescent="0.25">
      <c r="A4842" s="104">
        <v>72893</v>
      </c>
      <c r="B4842" s="105" t="s">
        <v>4735</v>
      </c>
      <c r="C4842" s="106" t="s">
        <v>13</v>
      </c>
      <c r="D4842" s="107">
        <v>1.98</v>
      </c>
    </row>
    <row r="4843" spans="1:4" ht="38.25" x14ac:dyDescent="0.25">
      <c r="A4843" s="104">
        <v>72894</v>
      </c>
      <c r="B4843" s="105" t="s">
        <v>4736</v>
      </c>
      <c r="C4843" s="106" t="s">
        <v>13</v>
      </c>
      <c r="D4843" s="107">
        <v>2.5499999999999998</v>
      </c>
    </row>
    <row r="4844" spans="1:4" ht="25.5" x14ac:dyDescent="0.25">
      <c r="A4844" s="104">
        <v>72895</v>
      </c>
      <c r="B4844" s="105" t="s">
        <v>4737</v>
      </c>
      <c r="C4844" s="106" t="s">
        <v>13</v>
      </c>
      <c r="D4844" s="107">
        <v>13.44</v>
      </c>
    </row>
    <row r="4845" spans="1:4" x14ac:dyDescent="0.25">
      <c r="A4845" s="104">
        <v>72897</v>
      </c>
      <c r="B4845" s="105" t="s">
        <v>4738</v>
      </c>
      <c r="C4845" s="106" t="s">
        <v>13</v>
      </c>
      <c r="D4845" s="107">
        <v>17.2</v>
      </c>
    </row>
    <row r="4846" spans="1:4" ht="25.5" x14ac:dyDescent="0.25">
      <c r="A4846" s="104">
        <v>72898</v>
      </c>
      <c r="B4846" s="105" t="s">
        <v>652</v>
      </c>
      <c r="C4846" s="106" t="s">
        <v>13</v>
      </c>
      <c r="D4846" s="107">
        <v>2.95</v>
      </c>
    </row>
    <row r="4847" spans="1:4" ht="25.5" x14ac:dyDescent="0.25">
      <c r="A4847" s="104">
        <v>72899</v>
      </c>
      <c r="B4847" s="105" t="s">
        <v>4739</v>
      </c>
      <c r="C4847" s="106" t="s">
        <v>13</v>
      </c>
      <c r="D4847" s="107">
        <v>3.47</v>
      </c>
    </row>
    <row r="4848" spans="1:4" ht="25.5" x14ac:dyDescent="0.25">
      <c r="A4848" s="104">
        <v>72900</v>
      </c>
      <c r="B4848" s="105" t="s">
        <v>4740</v>
      </c>
      <c r="C4848" s="106" t="s">
        <v>13</v>
      </c>
      <c r="D4848" s="107">
        <v>3.82</v>
      </c>
    </row>
    <row r="4849" spans="1:4" ht="51" x14ac:dyDescent="0.25">
      <c r="A4849" s="104" t="s">
        <v>4741</v>
      </c>
      <c r="B4849" s="105" t="s">
        <v>4742</v>
      </c>
      <c r="C4849" s="106" t="s">
        <v>13</v>
      </c>
      <c r="D4849" s="107">
        <v>1.29</v>
      </c>
    </row>
    <row r="4850" spans="1:4" x14ac:dyDescent="0.25">
      <c r="A4850" s="104">
        <v>83356</v>
      </c>
      <c r="B4850" s="105" t="s">
        <v>4743</v>
      </c>
      <c r="C4850" s="106" t="s">
        <v>650</v>
      </c>
      <c r="D4850" s="107">
        <v>0.61</v>
      </c>
    </row>
    <row r="4851" spans="1:4" ht="25.5" x14ac:dyDescent="0.25">
      <c r="A4851" s="104">
        <v>83358</v>
      </c>
      <c r="B4851" s="105" t="s">
        <v>4744</v>
      </c>
      <c r="C4851" s="106" t="s">
        <v>650</v>
      </c>
      <c r="D4851" s="107">
        <v>1.27</v>
      </c>
    </row>
    <row r="4852" spans="1:4" ht="25.5" x14ac:dyDescent="0.25">
      <c r="A4852" s="104">
        <v>95303</v>
      </c>
      <c r="B4852" s="105" t="s">
        <v>4745</v>
      </c>
      <c r="C4852" s="106" t="s">
        <v>650</v>
      </c>
      <c r="D4852" s="107">
        <v>0.78</v>
      </c>
    </row>
    <row r="4853" spans="1:4" ht="25.5" x14ac:dyDescent="0.25">
      <c r="A4853" s="104">
        <v>97916</v>
      </c>
      <c r="B4853" s="105" t="s">
        <v>4750</v>
      </c>
      <c r="C4853" s="106" t="s">
        <v>4721</v>
      </c>
      <c r="D4853" s="107">
        <v>0.96</v>
      </c>
    </row>
    <row r="4854" spans="1:4" ht="25.5" x14ac:dyDescent="0.25">
      <c r="A4854" s="104">
        <v>97917</v>
      </c>
      <c r="B4854" s="105" t="s">
        <v>4751</v>
      </c>
      <c r="C4854" s="106" t="s">
        <v>4721</v>
      </c>
      <c r="D4854" s="107">
        <v>0.74</v>
      </c>
    </row>
    <row r="4855" spans="1:4" ht="25.5" x14ac:dyDescent="0.25">
      <c r="A4855" s="104">
        <v>97918</v>
      </c>
      <c r="B4855" s="105" t="s">
        <v>4752</v>
      </c>
      <c r="C4855" s="106" t="s">
        <v>4721</v>
      </c>
      <c r="D4855" s="107">
        <v>0.69</v>
      </c>
    </row>
    <row r="4856" spans="1:4" ht="25.5" x14ac:dyDescent="0.25">
      <c r="A4856" s="106">
        <v>97919</v>
      </c>
      <c r="B4856" s="105" t="s">
        <v>4753</v>
      </c>
      <c r="C4856" s="106" t="s">
        <v>4721</v>
      </c>
      <c r="D4856" s="107">
        <v>0.49</v>
      </c>
    </row>
    <row r="4857" spans="1:4" ht="25.5" x14ac:dyDescent="0.25">
      <c r="A4857" s="104">
        <v>94097</v>
      </c>
      <c r="B4857" s="105" t="s">
        <v>586</v>
      </c>
      <c r="C4857" s="106" t="s">
        <v>8</v>
      </c>
      <c r="D4857" s="107">
        <v>4.17</v>
      </c>
    </row>
    <row r="4858" spans="1:4" ht="25.5" x14ac:dyDescent="0.25">
      <c r="A4858" s="104">
        <v>94098</v>
      </c>
      <c r="B4858" s="105" t="s">
        <v>4754</v>
      </c>
      <c r="C4858" s="106" t="s">
        <v>8</v>
      </c>
      <c r="D4858" s="107">
        <v>4.7699999999999996</v>
      </c>
    </row>
    <row r="4859" spans="1:4" ht="38.25" x14ac:dyDescent="0.25">
      <c r="A4859" s="104">
        <v>94099</v>
      </c>
      <c r="B4859" s="105" t="s">
        <v>4755</v>
      </c>
      <c r="C4859" s="106" t="s">
        <v>8</v>
      </c>
      <c r="D4859" s="107">
        <v>2.09</v>
      </c>
    </row>
    <row r="4860" spans="1:4" ht="38.25" x14ac:dyDescent="0.25">
      <c r="A4860" s="104">
        <v>94100</v>
      </c>
      <c r="B4860" s="105" t="s">
        <v>4756</v>
      </c>
      <c r="C4860" s="106" t="s">
        <v>8</v>
      </c>
      <c r="D4860" s="107">
        <v>2.66</v>
      </c>
    </row>
    <row r="4861" spans="1:4" ht="38.25" x14ac:dyDescent="0.25">
      <c r="A4861" s="104">
        <v>94102</v>
      </c>
      <c r="B4861" s="105" t="s">
        <v>4757</v>
      </c>
      <c r="C4861" s="106" t="s">
        <v>13</v>
      </c>
      <c r="D4861" s="107">
        <v>152.11000000000001</v>
      </c>
    </row>
    <row r="4862" spans="1:4" ht="38.25" x14ac:dyDescent="0.25">
      <c r="A4862" s="104">
        <v>94103</v>
      </c>
      <c r="B4862" s="105" t="s">
        <v>4758</v>
      </c>
      <c r="C4862" s="106" t="s">
        <v>13</v>
      </c>
      <c r="D4862" s="107">
        <v>214.63</v>
      </c>
    </row>
    <row r="4863" spans="1:4" ht="38.25" x14ac:dyDescent="0.25">
      <c r="A4863" s="104">
        <v>94104</v>
      </c>
      <c r="B4863" s="105" t="s">
        <v>4759</v>
      </c>
      <c r="C4863" s="106" t="s">
        <v>13</v>
      </c>
      <c r="D4863" s="107">
        <v>155.41999999999999</v>
      </c>
    </row>
    <row r="4864" spans="1:4" ht="38.25" x14ac:dyDescent="0.25">
      <c r="A4864" s="104">
        <v>94105</v>
      </c>
      <c r="B4864" s="105" t="s">
        <v>4760</v>
      </c>
      <c r="C4864" s="106" t="s">
        <v>13</v>
      </c>
      <c r="D4864" s="107">
        <v>217.98</v>
      </c>
    </row>
    <row r="4865" spans="1:4" ht="38.25" x14ac:dyDescent="0.25">
      <c r="A4865" s="104">
        <v>94106</v>
      </c>
      <c r="B4865" s="105" t="s">
        <v>4761</v>
      </c>
      <c r="C4865" s="106" t="s">
        <v>13</v>
      </c>
      <c r="D4865" s="107">
        <v>135.47999999999999</v>
      </c>
    </row>
    <row r="4866" spans="1:4" ht="38.25" x14ac:dyDescent="0.25">
      <c r="A4866" s="104">
        <v>94107</v>
      </c>
      <c r="B4866" s="105" t="s">
        <v>511</v>
      </c>
      <c r="C4866" s="106" t="s">
        <v>13</v>
      </c>
      <c r="D4866" s="107">
        <v>198.03</v>
      </c>
    </row>
    <row r="4867" spans="1:4" ht="38.25" x14ac:dyDescent="0.25">
      <c r="A4867" s="104">
        <v>94108</v>
      </c>
      <c r="B4867" s="105" t="s">
        <v>4762</v>
      </c>
      <c r="C4867" s="106" t="s">
        <v>13</v>
      </c>
      <c r="D4867" s="107">
        <v>138.82</v>
      </c>
    </row>
    <row r="4868" spans="1:4" ht="38.25" x14ac:dyDescent="0.25">
      <c r="A4868" s="104">
        <v>94110</v>
      </c>
      <c r="B4868" s="105" t="s">
        <v>4763</v>
      </c>
      <c r="C4868" s="106" t="s">
        <v>13</v>
      </c>
      <c r="D4868" s="107">
        <v>201.35</v>
      </c>
    </row>
    <row r="4869" spans="1:4" ht="38.25" x14ac:dyDescent="0.25">
      <c r="A4869" s="104">
        <v>94111</v>
      </c>
      <c r="B4869" s="105" t="s">
        <v>4764</v>
      </c>
      <c r="C4869" s="106" t="s">
        <v>13</v>
      </c>
      <c r="D4869" s="107">
        <v>126.61</v>
      </c>
    </row>
    <row r="4870" spans="1:4" ht="38.25" x14ac:dyDescent="0.25">
      <c r="A4870" s="104">
        <v>94112</v>
      </c>
      <c r="B4870" s="105" t="s">
        <v>4765</v>
      </c>
      <c r="C4870" s="106" t="s">
        <v>13</v>
      </c>
      <c r="D4870" s="107">
        <v>183.21</v>
      </c>
    </row>
    <row r="4871" spans="1:4" ht="38.25" x14ac:dyDescent="0.25">
      <c r="A4871" s="104">
        <v>94113</v>
      </c>
      <c r="B4871" s="105" t="s">
        <v>4766</v>
      </c>
      <c r="C4871" s="106" t="s">
        <v>13</v>
      </c>
      <c r="D4871" s="107">
        <v>131.69</v>
      </c>
    </row>
    <row r="4872" spans="1:4" ht="38.25" x14ac:dyDescent="0.25">
      <c r="A4872" s="104">
        <v>94114</v>
      </c>
      <c r="B4872" s="105" t="s">
        <v>4767</v>
      </c>
      <c r="C4872" s="106" t="s">
        <v>13</v>
      </c>
      <c r="D4872" s="107">
        <v>188.95</v>
      </c>
    </row>
    <row r="4873" spans="1:4" ht="38.25" x14ac:dyDescent="0.25">
      <c r="A4873" s="104">
        <v>94115</v>
      </c>
      <c r="B4873" s="105" t="s">
        <v>4768</v>
      </c>
      <c r="C4873" s="106" t="s">
        <v>13</v>
      </c>
      <c r="D4873" s="107">
        <v>102.83</v>
      </c>
    </row>
    <row r="4874" spans="1:4" ht="38.25" x14ac:dyDescent="0.25">
      <c r="A4874" s="104">
        <v>94116</v>
      </c>
      <c r="B4874" s="105" t="s">
        <v>4769</v>
      </c>
      <c r="C4874" s="106" t="s">
        <v>13</v>
      </c>
      <c r="D4874" s="107">
        <v>155.97999999999999</v>
      </c>
    </row>
    <row r="4875" spans="1:4" ht="38.25" x14ac:dyDescent="0.25">
      <c r="A4875" s="104">
        <v>94117</v>
      </c>
      <c r="B4875" s="105" t="s">
        <v>4770</v>
      </c>
      <c r="C4875" s="106" t="s">
        <v>13</v>
      </c>
      <c r="D4875" s="107">
        <v>107.56</v>
      </c>
    </row>
    <row r="4876" spans="1:4" ht="38.25" x14ac:dyDescent="0.25">
      <c r="A4876" s="104">
        <v>94118</v>
      </c>
      <c r="B4876" s="105" t="s">
        <v>4771</v>
      </c>
      <c r="C4876" s="106" t="s">
        <v>13</v>
      </c>
      <c r="D4876" s="107">
        <v>161.54</v>
      </c>
    </row>
    <row r="4877" spans="1:4" ht="25.5" x14ac:dyDescent="0.25">
      <c r="A4877" s="104">
        <v>95606</v>
      </c>
      <c r="B4877" s="105" t="s">
        <v>4772</v>
      </c>
      <c r="C4877" s="106" t="s">
        <v>13</v>
      </c>
      <c r="D4877" s="107">
        <v>1.1399999999999999</v>
      </c>
    </row>
    <row r="4878" spans="1:4" ht="51" x14ac:dyDescent="0.25">
      <c r="A4878" s="104">
        <v>87471</v>
      </c>
      <c r="B4878" s="105" t="s">
        <v>4773</v>
      </c>
      <c r="C4878" s="106" t="s">
        <v>8</v>
      </c>
      <c r="D4878" s="107">
        <v>38.9</v>
      </c>
    </row>
    <row r="4879" spans="1:4" ht="51" x14ac:dyDescent="0.25">
      <c r="A4879" s="104">
        <v>87472</v>
      </c>
      <c r="B4879" s="105" t="s">
        <v>4774</v>
      </c>
      <c r="C4879" s="106" t="s">
        <v>8</v>
      </c>
      <c r="D4879" s="107">
        <v>39.880000000000003</v>
      </c>
    </row>
    <row r="4880" spans="1:4" ht="51" x14ac:dyDescent="0.25">
      <c r="A4880" s="104">
        <v>87473</v>
      </c>
      <c r="B4880" s="105" t="s">
        <v>4775</v>
      </c>
      <c r="C4880" s="106" t="s">
        <v>8</v>
      </c>
      <c r="D4880" s="107">
        <v>53.65</v>
      </c>
    </row>
    <row r="4881" spans="1:4" ht="51" x14ac:dyDescent="0.25">
      <c r="A4881" s="104">
        <v>87474</v>
      </c>
      <c r="B4881" s="105" t="s">
        <v>4776</v>
      </c>
      <c r="C4881" s="106" t="s">
        <v>8</v>
      </c>
      <c r="D4881" s="107">
        <v>54.76</v>
      </c>
    </row>
    <row r="4882" spans="1:4" ht="51" x14ac:dyDescent="0.25">
      <c r="A4882" s="104">
        <v>87475</v>
      </c>
      <c r="B4882" s="105" t="s">
        <v>4777</v>
      </c>
      <c r="C4882" s="106" t="s">
        <v>8</v>
      </c>
      <c r="D4882" s="107">
        <v>64.58</v>
      </c>
    </row>
    <row r="4883" spans="1:4" ht="51" x14ac:dyDescent="0.25">
      <c r="A4883" s="104">
        <v>87476</v>
      </c>
      <c r="B4883" s="105" t="s">
        <v>4778</v>
      </c>
      <c r="C4883" s="106" t="s">
        <v>8</v>
      </c>
      <c r="D4883" s="107">
        <v>65.89</v>
      </c>
    </row>
    <row r="4884" spans="1:4" ht="51" x14ac:dyDescent="0.25">
      <c r="A4884" s="104">
        <v>87477</v>
      </c>
      <c r="B4884" s="105" t="s">
        <v>4779</v>
      </c>
      <c r="C4884" s="106" t="s">
        <v>8</v>
      </c>
      <c r="D4884" s="107">
        <v>35.36</v>
      </c>
    </row>
    <row r="4885" spans="1:4" ht="51" x14ac:dyDescent="0.25">
      <c r="A4885" s="104">
        <v>87478</v>
      </c>
      <c r="B4885" s="105" t="s">
        <v>4780</v>
      </c>
      <c r="C4885" s="106" t="s">
        <v>8</v>
      </c>
      <c r="D4885" s="107">
        <v>36.340000000000003</v>
      </c>
    </row>
    <row r="4886" spans="1:4" ht="51" x14ac:dyDescent="0.25">
      <c r="A4886" s="104">
        <v>87479</v>
      </c>
      <c r="B4886" s="105" t="s">
        <v>4781</v>
      </c>
      <c r="C4886" s="106" t="s">
        <v>8</v>
      </c>
      <c r="D4886" s="107">
        <v>49.59</v>
      </c>
    </row>
    <row r="4887" spans="1:4" ht="51" x14ac:dyDescent="0.25">
      <c r="A4887" s="104">
        <v>87480</v>
      </c>
      <c r="B4887" s="105" t="s">
        <v>4782</v>
      </c>
      <c r="C4887" s="106" t="s">
        <v>8</v>
      </c>
      <c r="D4887" s="107">
        <v>50.7</v>
      </c>
    </row>
    <row r="4888" spans="1:4" ht="51" x14ac:dyDescent="0.25">
      <c r="A4888" s="104">
        <v>87481</v>
      </c>
      <c r="B4888" s="105" t="s">
        <v>4783</v>
      </c>
      <c r="C4888" s="106" t="s">
        <v>8</v>
      </c>
      <c r="D4888" s="107">
        <v>59.87</v>
      </c>
    </row>
    <row r="4889" spans="1:4" ht="51" x14ac:dyDescent="0.25">
      <c r="A4889" s="104">
        <v>87482</v>
      </c>
      <c r="B4889" s="105" t="s">
        <v>4784</v>
      </c>
      <c r="C4889" s="106" t="s">
        <v>8</v>
      </c>
      <c r="D4889" s="107">
        <v>61.18</v>
      </c>
    </row>
    <row r="4890" spans="1:4" ht="51" x14ac:dyDescent="0.25">
      <c r="A4890" s="104">
        <v>87483</v>
      </c>
      <c r="B4890" s="105" t="s">
        <v>4785</v>
      </c>
      <c r="C4890" s="106" t="s">
        <v>8</v>
      </c>
      <c r="D4890" s="107">
        <v>44.26</v>
      </c>
    </row>
    <row r="4891" spans="1:4" ht="51" x14ac:dyDescent="0.25">
      <c r="A4891" s="104">
        <v>87484</v>
      </c>
      <c r="B4891" s="105" t="s">
        <v>4786</v>
      </c>
      <c r="C4891" s="106" t="s">
        <v>8</v>
      </c>
      <c r="D4891" s="107">
        <v>45.24</v>
      </c>
    </row>
    <row r="4892" spans="1:4" ht="51" x14ac:dyDescent="0.25">
      <c r="A4892" s="106">
        <v>87485</v>
      </c>
      <c r="B4892" s="105" t="s">
        <v>4787</v>
      </c>
      <c r="C4892" s="106" t="s">
        <v>8</v>
      </c>
      <c r="D4892" s="107">
        <v>59.12</v>
      </c>
    </row>
    <row r="4893" spans="1:4" ht="51" x14ac:dyDescent="0.25">
      <c r="A4893" s="106">
        <v>87487</v>
      </c>
      <c r="B4893" s="105" t="s">
        <v>4788</v>
      </c>
      <c r="C4893" s="106" t="s">
        <v>8</v>
      </c>
      <c r="D4893" s="107">
        <v>69.89</v>
      </c>
    </row>
    <row r="4894" spans="1:4" ht="51" x14ac:dyDescent="0.25">
      <c r="A4894" s="106">
        <v>87488</v>
      </c>
      <c r="B4894" s="105" t="s">
        <v>4789</v>
      </c>
      <c r="C4894" s="106" t="s">
        <v>8</v>
      </c>
      <c r="D4894" s="107">
        <v>71.2</v>
      </c>
    </row>
    <row r="4895" spans="1:4" ht="51" x14ac:dyDescent="0.25">
      <c r="A4895" s="104">
        <v>87489</v>
      </c>
      <c r="B4895" s="105" t="s">
        <v>4790</v>
      </c>
      <c r="C4895" s="106" t="s">
        <v>8</v>
      </c>
      <c r="D4895" s="107">
        <v>38.46</v>
      </c>
    </row>
    <row r="4896" spans="1:4" ht="51" x14ac:dyDescent="0.25">
      <c r="A4896" s="104">
        <v>87490</v>
      </c>
      <c r="B4896" s="105" t="s">
        <v>4791</v>
      </c>
      <c r="C4896" s="106" t="s">
        <v>8</v>
      </c>
      <c r="D4896" s="107">
        <v>39.44</v>
      </c>
    </row>
    <row r="4897" spans="1:4" ht="51" x14ac:dyDescent="0.25">
      <c r="A4897" s="104">
        <v>87491</v>
      </c>
      <c r="B4897" s="105" t="s">
        <v>4792</v>
      </c>
      <c r="C4897" s="106" t="s">
        <v>8</v>
      </c>
      <c r="D4897" s="107">
        <v>52.81</v>
      </c>
    </row>
    <row r="4898" spans="1:4" ht="51" x14ac:dyDescent="0.25">
      <c r="A4898" s="104">
        <v>87492</v>
      </c>
      <c r="B4898" s="105" t="s">
        <v>4793</v>
      </c>
      <c r="C4898" s="106" t="s">
        <v>8</v>
      </c>
      <c r="D4898" s="107">
        <v>53.92</v>
      </c>
    </row>
    <row r="4899" spans="1:4" ht="51" x14ac:dyDescent="0.25">
      <c r="A4899" s="104">
        <v>87493</v>
      </c>
      <c r="B4899" s="105" t="s">
        <v>4794</v>
      </c>
      <c r="C4899" s="106" t="s">
        <v>8</v>
      </c>
      <c r="D4899" s="107">
        <v>63.2</v>
      </c>
    </row>
    <row r="4900" spans="1:4" ht="51" x14ac:dyDescent="0.25">
      <c r="A4900" s="104">
        <v>87494</v>
      </c>
      <c r="B4900" s="105" t="s">
        <v>4795</v>
      </c>
      <c r="C4900" s="106" t="s">
        <v>8</v>
      </c>
      <c r="D4900" s="107">
        <v>64.510000000000005</v>
      </c>
    </row>
    <row r="4901" spans="1:4" ht="51" x14ac:dyDescent="0.25">
      <c r="A4901" s="104">
        <v>87495</v>
      </c>
      <c r="B4901" s="105" t="s">
        <v>4796</v>
      </c>
      <c r="C4901" s="106" t="s">
        <v>8</v>
      </c>
      <c r="D4901" s="107">
        <v>63.45</v>
      </c>
    </row>
    <row r="4902" spans="1:4" ht="51" x14ac:dyDescent="0.25">
      <c r="A4902" s="104">
        <v>87496</v>
      </c>
      <c r="B4902" s="105" t="s">
        <v>4797</v>
      </c>
      <c r="C4902" s="106" t="s">
        <v>8</v>
      </c>
      <c r="D4902" s="107">
        <v>64.37</v>
      </c>
    </row>
    <row r="4903" spans="1:4" ht="51" x14ac:dyDescent="0.25">
      <c r="A4903" s="104">
        <v>87497</v>
      </c>
      <c r="B4903" s="105" t="s">
        <v>4798</v>
      </c>
      <c r="C4903" s="106" t="s">
        <v>8</v>
      </c>
      <c r="D4903" s="107">
        <v>62.19</v>
      </c>
    </row>
    <row r="4904" spans="1:4" ht="51" x14ac:dyDescent="0.25">
      <c r="A4904" s="104">
        <v>87498</v>
      </c>
      <c r="B4904" s="105" t="s">
        <v>4799</v>
      </c>
      <c r="C4904" s="106" t="s">
        <v>8</v>
      </c>
      <c r="D4904" s="107">
        <v>63.37</v>
      </c>
    </row>
    <row r="4905" spans="1:4" ht="51" x14ac:dyDescent="0.25">
      <c r="A4905" s="104">
        <v>87499</v>
      </c>
      <c r="B4905" s="105" t="s">
        <v>4800</v>
      </c>
      <c r="C4905" s="106" t="s">
        <v>8</v>
      </c>
      <c r="D4905" s="107">
        <v>68.930000000000007</v>
      </c>
    </row>
    <row r="4906" spans="1:4" ht="51" x14ac:dyDescent="0.25">
      <c r="A4906" s="104">
        <v>87500</v>
      </c>
      <c r="B4906" s="105" t="s">
        <v>4801</v>
      </c>
      <c r="C4906" s="106" t="s">
        <v>8</v>
      </c>
      <c r="D4906" s="107">
        <v>69.930000000000007</v>
      </c>
    </row>
    <row r="4907" spans="1:4" ht="63.75" x14ac:dyDescent="0.25">
      <c r="A4907" s="104">
        <v>87501</v>
      </c>
      <c r="B4907" s="105" t="s">
        <v>4802</v>
      </c>
      <c r="C4907" s="106" t="s">
        <v>8</v>
      </c>
      <c r="D4907" s="107">
        <v>107.15</v>
      </c>
    </row>
    <row r="4908" spans="1:4" ht="51" x14ac:dyDescent="0.25">
      <c r="A4908" s="104">
        <v>87502</v>
      </c>
      <c r="B4908" s="105" t="s">
        <v>4803</v>
      </c>
      <c r="C4908" s="106" t="s">
        <v>8</v>
      </c>
      <c r="D4908" s="107">
        <v>108.43</v>
      </c>
    </row>
    <row r="4909" spans="1:4" ht="51" x14ac:dyDescent="0.25">
      <c r="A4909" s="104">
        <v>87503</v>
      </c>
      <c r="B4909" s="105" t="s">
        <v>4804</v>
      </c>
      <c r="C4909" s="106" t="s">
        <v>8</v>
      </c>
      <c r="D4909" s="107">
        <v>54.67</v>
      </c>
    </row>
    <row r="4910" spans="1:4" ht="51" x14ac:dyDescent="0.25">
      <c r="A4910" s="104">
        <v>87504</v>
      </c>
      <c r="B4910" s="105" t="s">
        <v>4805</v>
      </c>
      <c r="C4910" s="106" t="s">
        <v>8</v>
      </c>
      <c r="D4910" s="107">
        <v>55.59</v>
      </c>
    </row>
    <row r="4911" spans="1:4" ht="51" x14ac:dyDescent="0.25">
      <c r="A4911" s="104">
        <v>87505</v>
      </c>
      <c r="B4911" s="105" t="s">
        <v>4806</v>
      </c>
      <c r="C4911" s="106" t="s">
        <v>8</v>
      </c>
      <c r="D4911" s="107">
        <v>53.33</v>
      </c>
    </row>
    <row r="4912" spans="1:4" ht="51" x14ac:dyDescent="0.25">
      <c r="A4912" s="104">
        <v>87506</v>
      </c>
      <c r="B4912" s="105" t="s">
        <v>4807</v>
      </c>
      <c r="C4912" s="106" t="s">
        <v>8</v>
      </c>
      <c r="D4912" s="107">
        <v>54.51</v>
      </c>
    </row>
    <row r="4913" spans="1:4" ht="51" x14ac:dyDescent="0.25">
      <c r="A4913" s="104">
        <v>87507</v>
      </c>
      <c r="B4913" s="105" t="s">
        <v>4808</v>
      </c>
      <c r="C4913" s="106" t="s">
        <v>8</v>
      </c>
      <c r="D4913" s="107">
        <v>57.32</v>
      </c>
    </row>
    <row r="4914" spans="1:4" ht="51" x14ac:dyDescent="0.25">
      <c r="A4914" s="104">
        <v>87508</v>
      </c>
      <c r="B4914" s="105" t="s">
        <v>4809</v>
      </c>
      <c r="C4914" s="106" t="s">
        <v>8</v>
      </c>
      <c r="D4914" s="107">
        <v>58.32</v>
      </c>
    </row>
    <row r="4915" spans="1:4" ht="63.75" x14ac:dyDescent="0.25">
      <c r="A4915" s="104">
        <v>87509</v>
      </c>
      <c r="B4915" s="105" t="s">
        <v>4810</v>
      </c>
      <c r="C4915" s="106" t="s">
        <v>8</v>
      </c>
      <c r="D4915" s="107">
        <v>88.28</v>
      </c>
    </row>
    <row r="4916" spans="1:4" ht="51" x14ac:dyDescent="0.25">
      <c r="A4916" s="104">
        <v>87510</v>
      </c>
      <c r="B4916" s="105" t="s">
        <v>4811</v>
      </c>
      <c r="C4916" s="106" t="s">
        <v>8</v>
      </c>
      <c r="D4916" s="107">
        <v>89.56</v>
      </c>
    </row>
    <row r="4917" spans="1:4" ht="51" x14ac:dyDescent="0.25">
      <c r="A4917" s="104">
        <v>87511</v>
      </c>
      <c r="B4917" s="105" t="s">
        <v>4812</v>
      </c>
      <c r="C4917" s="106" t="s">
        <v>8</v>
      </c>
      <c r="D4917" s="107">
        <v>70.900000000000006</v>
      </c>
    </row>
    <row r="4918" spans="1:4" ht="51" x14ac:dyDescent="0.25">
      <c r="A4918" s="104">
        <v>87512</v>
      </c>
      <c r="B4918" s="105" t="s">
        <v>4813</v>
      </c>
      <c r="C4918" s="106" t="s">
        <v>8</v>
      </c>
      <c r="D4918" s="107">
        <v>71.819999999999993</v>
      </c>
    </row>
    <row r="4919" spans="1:4" ht="51" x14ac:dyDescent="0.25">
      <c r="A4919" s="104">
        <v>87513</v>
      </c>
      <c r="B4919" s="105" t="s">
        <v>4814</v>
      </c>
      <c r="C4919" s="106" t="s">
        <v>8</v>
      </c>
      <c r="D4919" s="107">
        <v>69.95</v>
      </c>
    </row>
    <row r="4920" spans="1:4" ht="51" x14ac:dyDescent="0.25">
      <c r="A4920" s="104">
        <v>87514</v>
      </c>
      <c r="B4920" s="105" t="s">
        <v>4815</v>
      </c>
      <c r="C4920" s="106" t="s">
        <v>8</v>
      </c>
      <c r="D4920" s="107">
        <v>71.13</v>
      </c>
    </row>
    <row r="4921" spans="1:4" ht="51" x14ac:dyDescent="0.25">
      <c r="A4921" s="104">
        <v>87515</v>
      </c>
      <c r="B4921" s="105" t="s">
        <v>4816</v>
      </c>
      <c r="C4921" s="106" t="s">
        <v>8</v>
      </c>
      <c r="D4921" s="107">
        <v>79.27</v>
      </c>
    </row>
    <row r="4922" spans="1:4" ht="51" x14ac:dyDescent="0.25">
      <c r="A4922" s="104">
        <v>87516</v>
      </c>
      <c r="B4922" s="105" t="s">
        <v>4817</v>
      </c>
      <c r="C4922" s="106" t="s">
        <v>8</v>
      </c>
      <c r="D4922" s="107">
        <v>80.27</v>
      </c>
    </row>
    <row r="4923" spans="1:4" ht="63.75" x14ac:dyDescent="0.25">
      <c r="A4923" s="104">
        <v>87517</v>
      </c>
      <c r="B4923" s="105" t="s">
        <v>4818</v>
      </c>
      <c r="C4923" s="106" t="s">
        <v>8</v>
      </c>
      <c r="D4923" s="107">
        <v>123.24</v>
      </c>
    </row>
    <row r="4924" spans="1:4" ht="51" x14ac:dyDescent="0.25">
      <c r="A4924" s="104">
        <v>87518</v>
      </c>
      <c r="B4924" s="105" t="s">
        <v>4819</v>
      </c>
      <c r="C4924" s="106" t="s">
        <v>8</v>
      </c>
      <c r="D4924" s="107">
        <v>124.52</v>
      </c>
    </row>
    <row r="4925" spans="1:4" ht="51" x14ac:dyDescent="0.25">
      <c r="A4925" s="104">
        <v>87519</v>
      </c>
      <c r="B4925" s="105" t="s">
        <v>4820</v>
      </c>
      <c r="C4925" s="106" t="s">
        <v>8</v>
      </c>
      <c r="D4925" s="107">
        <v>59.37</v>
      </c>
    </row>
    <row r="4926" spans="1:4" ht="51" x14ac:dyDescent="0.25">
      <c r="A4926" s="104">
        <v>87520</v>
      </c>
      <c r="B4926" s="105" t="s">
        <v>4821</v>
      </c>
      <c r="C4926" s="106" t="s">
        <v>8</v>
      </c>
      <c r="D4926" s="107">
        <v>60.29</v>
      </c>
    </row>
    <row r="4927" spans="1:4" ht="51" x14ac:dyDescent="0.25">
      <c r="A4927" s="104">
        <v>87521</v>
      </c>
      <c r="B4927" s="105" t="s">
        <v>4822</v>
      </c>
      <c r="C4927" s="106" t="s">
        <v>8</v>
      </c>
      <c r="D4927" s="107">
        <v>58.1</v>
      </c>
    </row>
    <row r="4928" spans="1:4" ht="51" x14ac:dyDescent="0.25">
      <c r="A4928" s="104">
        <v>87522</v>
      </c>
      <c r="B4928" s="105" t="s">
        <v>4823</v>
      </c>
      <c r="C4928" s="106" t="s">
        <v>8</v>
      </c>
      <c r="D4928" s="107">
        <v>59.28</v>
      </c>
    </row>
    <row r="4929" spans="1:4" ht="51" x14ac:dyDescent="0.25">
      <c r="A4929" s="104">
        <v>87523</v>
      </c>
      <c r="B4929" s="105" t="s">
        <v>4824</v>
      </c>
      <c r="C4929" s="106" t="s">
        <v>8</v>
      </c>
      <c r="D4929" s="107">
        <v>63.63</v>
      </c>
    </row>
    <row r="4930" spans="1:4" ht="51" x14ac:dyDescent="0.25">
      <c r="A4930" s="104">
        <v>87524</v>
      </c>
      <c r="B4930" s="105" t="s">
        <v>4825</v>
      </c>
      <c r="C4930" s="106" t="s">
        <v>8</v>
      </c>
      <c r="D4930" s="107">
        <v>64.63</v>
      </c>
    </row>
    <row r="4931" spans="1:4" ht="63.75" x14ac:dyDescent="0.25">
      <c r="A4931" s="104">
        <v>87525</v>
      </c>
      <c r="B4931" s="105" t="s">
        <v>4826</v>
      </c>
      <c r="C4931" s="106" t="s">
        <v>8</v>
      </c>
      <c r="D4931" s="107">
        <v>98.06</v>
      </c>
    </row>
    <row r="4932" spans="1:4" ht="51" x14ac:dyDescent="0.25">
      <c r="A4932" s="104">
        <v>87526</v>
      </c>
      <c r="B4932" s="105" t="s">
        <v>4827</v>
      </c>
      <c r="C4932" s="106" t="s">
        <v>8</v>
      </c>
      <c r="D4932" s="107">
        <v>99.34</v>
      </c>
    </row>
    <row r="4933" spans="1:4" ht="51" x14ac:dyDescent="0.25">
      <c r="A4933" s="104">
        <v>89043</v>
      </c>
      <c r="B4933" s="105" t="s">
        <v>193</v>
      </c>
      <c r="C4933" s="106" t="s">
        <v>8</v>
      </c>
      <c r="D4933" s="107">
        <v>60.49</v>
      </c>
    </row>
    <row r="4934" spans="1:4" ht="51" x14ac:dyDescent="0.25">
      <c r="A4934" s="104">
        <v>89168</v>
      </c>
      <c r="B4934" s="105" t="s">
        <v>351</v>
      </c>
      <c r="C4934" s="106" t="s">
        <v>8</v>
      </c>
      <c r="D4934" s="107">
        <v>62.19</v>
      </c>
    </row>
    <row r="4935" spans="1:4" ht="51" x14ac:dyDescent="0.25">
      <c r="A4935" s="104">
        <v>89977</v>
      </c>
      <c r="B4935" s="105" t="s">
        <v>635</v>
      </c>
      <c r="C4935" s="106" t="s">
        <v>8</v>
      </c>
      <c r="D4935" s="107">
        <v>104.4</v>
      </c>
    </row>
    <row r="4936" spans="1:4" ht="51" x14ac:dyDescent="0.25">
      <c r="A4936" s="104">
        <v>90112</v>
      </c>
      <c r="B4936" s="105" t="s">
        <v>4828</v>
      </c>
      <c r="C4936" s="106" t="s">
        <v>8</v>
      </c>
      <c r="D4936" s="107">
        <v>60.23</v>
      </c>
    </row>
    <row r="4937" spans="1:4" ht="38.25" x14ac:dyDescent="0.25">
      <c r="A4937" s="104">
        <v>101159</v>
      </c>
      <c r="B4937" s="105" t="s">
        <v>11480</v>
      </c>
      <c r="C4937" s="106" t="s">
        <v>8</v>
      </c>
      <c r="D4937" s="107">
        <v>85.12</v>
      </c>
    </row>
    <row r="4938" spans="1:4" ht="51" x14ac:dyDescent="0.25">
      <c r="A4938" s="104">
        <v>89282</v>
      </c>
      <c r="B4938" s="105" t="s">
        <v>4829</v>
      </c>
      <c r="C4938" s="106" t="s">
        <v>8</v>
      </c>
      <c r="D4938" s="107">
        <v>51.4</v>
      </c>
    </row>
    <row r="4939" spans="1:4" ht="51" x14ac:dyDescent="0.25">
      <c r="A4939" s="104">
        <v>89283</v>
      </c>
      <c r="B4939" s="105" t="s">
        <v>4830</v>
      </c>
      <c r="C4939" s="106" t="s">
        <v>8</v>
      </c>
      <c r="D4939" s="107">
        <v>52.55</v>
      </c>
    </row>
    <row r="4940" spans="1:4" ht="51" x14ac:dyDescent="0.25">
      <c r="A4940" s="104">
        <v>89284</v>
      </c>
      <c r="B4940" s="105" t="s">
        <v>4831</v>
      </c>
      <c r="C4940" s="106" t="s">
        <v>8</v>
      </c>
      <c r="D4940" s="107">
        <v>47.11</v>
      </c>
    </row>
    <row r="4941" spans="1:4" ht="51" x14ac:dyDescent="0.25">
      <c r="A4941" s="104">
        <v>89285</v>
      </c>
      <c r="B4941" s="105" t="s">
        <v>4832</v>
      </c>
      <c r="C4941" s="106" t="s">
        <v>8</v>
      </c>
      <c r="D4941" s="107">
        <v>48.26</v>
      </c>
    </row>
    <row r="4942" spans="1:4" ht="51" x14ac:dyDescent="0.25">
      <c r="A4942" s="104">
        <v>89286</v>
      </c>
      <c r="B4942" s="105" t="s">
        <v>4833</v>
      </c>
      <c r="C4942" s="106" t="s">
        <v>8</v>
      </c>
      <c r="D4942" s="107">
        <v>55.46</v>
      </c>
    </row>
    <row r="4943" spans="1:4" ht="51" x14ac:dyDescent="0.25">
      <c r="A4943" s="104">
        <v>89287</v>
      </c>
      <c r="B4943" s="105" t="s">
        <v>4834</v>
      </c>
      <c r="C4943" s="106" t="s">
        <v>8</v>
      </c>
      <c r="D4943" s="107">
        <v>56.61</v>
      </c>
    </row>
    <row r="4944" spans="1:4" ht="51" x14ac:dyDescent="0.25">
      <c r="A4944" s="104">
        <v>89288</v>
      </c>
      <c r="B4944" s="105" t="s">
        <v>4835</v>
      </c>
      <c r="C4944" s="106" t="s">
        <v>8</v>
      </c>
      <c r="D4944" s="107">
        <v>49.57</v>
      </c>
    </row>
    <row r="4945" spans="1:4" ht="51" x14ac:dyDescent="0.25">
      <c r="A4945" s="104">
        <v>89289</v>
      </c>
      <c r="B4945" s="105" t="s">
        <v>4836</v>
      </c>
      <c r="C4945" s="106" t="s">
        <v>8</v>
      </c>
      <c r="D4945" s="107">
        <v>50.72</v>
      </c>
    </row>
    <row r="4946" spans="1:4" ht="51" x14ac:dyDescent="0.25">
      <c r="A4946" s="104">
        <v>89290</v>
      </c>
      <c r="B4946" s="105" t="s">
        <v>4837</v>
      </c>
      <c r="C4946" s="106" t="s">
        <v>8</v>
      </c>
      <c r="D4946" s="107">
        <v>59.11</v>
      </c>
    </row>
    <row r="4947" spans="1:4" ht="51" x14ac:dyDescent="0.25">
      <c r="A4947" s="104">
        <v>89291</v>
      </c>
      <c r="B4947" s="105" t="s">
        <v>4838</v>
      </c>
      <c r="C4947" s="106" t="s">
        <v>8</v>
      </c>
      <c r="D4947" s="107">
        <v>60.38</v>
      </c>
    </row>
    <row r="4948" spans="1:4" ht="51" x14ac:dyDescent="0.25">
      <c r="A4948" s="104">
        <v>89292</v>
      </c>
      <c r="B4948" s="105" t="s">
        <v>4839</v>
      </c>
      <c r="C4948" s="106" t="s">
        <v>8</v>
      </c>
      <c r="D4948" s="107">
        <v>54.89</v>
      </c>
    </row>
    <row r="4949" spans="1:4" ht="51" x14ac:dyDescent="0.25">
      <c r="A4949" s="104">
        <v>89293</v>
      </c>
      <c r="B4949" s="105" t="s">
        <v>4840</v>
      </c>
      <c r="C4949" s="106" t="s">
        <v>8</v>
      </c>
      <c r="D4949" s="107">
        <v>56.16</v>
      </c>
    </row>
    <row r="4950" spans="1:4" ht="51" x14ac:dyDescent="0.25">
      <c r="A4950" s="104">
        <v>89294</v>
      </c>
      <c r="B4950" s="105" t="s">
        <v>4841</v>
      </c>
      <c r="C4950" s="106" t="s">
        <v>8</v>
      </c>
      <c r="D4950" s="107">
        <v>64.52</v>
      </c>
    </row>
    <row r="4951" spans="1:4" ht="51" x14ac:dyDescent="0.25">
      <c r="A4951" s="104">
        <v>89295</v>
      </c>
      <c r="B4951" s="105" t="s">
        <v>4842</v>
      </c>
      <c r="C4951" s="106" t="s">
        <v>8</v>
      </c>
      <c r="D4951" s="107">
        <v>65.790000000000006</v>
      </c>
    </row>
    <row r="4952" spans="1:4" ht="51" x14ac:dyDescent="0.25">
      <c r="A4952" s="104">
        <v>89296</v>
      </c>
      <c r="B4952" s="105" t="s">
        <v>4843</v>
      </c>
      <c r="C4952" s="106" t="s">
        <v>8</v>
      </c>
      <c r="D4952" s="107">
        <v>58.03</v>
      </c>
    </row>
    <row r="4953" spans="1:4" ht="51" x14ac:dyDescent="0.25">
      <c r="A4953" s="104">
        <v>89297</v>
      </c>
      <c r="B4953" s="105" t="s">
        <v>4844</v>
      </c>
      <c r="C4953" s="106" t="s">
        <v>8</v>
      </c>
      <c r="D4953" s="107">
        <v>59.3</v>
      </c>
    </row>
    <row r="4954" spans="1:4" ht="51" x14ac:dyDescent="0.25">
      <c r="A4954" s="104">
        <v>89298</v>
      </c>
      <c r="B4954" s="105" t="s">
        <v>4845</v>
      </c>
      <c r="C4954" s="106" t="s">
        <v>8</v>
      </c>
      <c r="D4954" s="107">
        <v>60.4</v>
      </c>
    </row>
    <row r="4955" spans="1:4" ht="51" x14ac:dyDescent="0.25">
      <c r="A4955" s="104">
        <v>89299</v>
      </c>
      <c r="B4955" s="105" t="s">
        <v>4846</v>
      </c>
      <c r="C4955" s="106" t="s">
        <v>8</v>
      </c>
      <c r="D4955" s="107">
        <v>62.03</v>
      </c>
    </row>
    <row r="4956" spans="1:4" ht="63.75" x14ac:dyDescent="0.25">
      <c r="A4956" s="104">
        <v>89300</v>
      </c>
      <c r="B4956" s="105" t="s">
        <v>4847</v>
      </c>
      <c r="C4956" s="106" t="s">
        <v>8</v>
      </c>
      <c r="D4956" s="107">
        <v>56.11</v>
      </c>
    </row>
    <row r="4957" spans="1:4" ht="51" x14ac:dyDescent="0.25">
      <c r="A4957" s="104">
        <v>89301</v>
      </c>
      <c r="B4957" s="105" t="s">
        <v>4848</v>
      </c>
      <c r="C4957" s="106" t="s">
        <v>8</v>
      </c>
      <c r="D4957" s="107">
        <v>57.74</v>
      </c>
    </row>
    <row r="4958" spans="1:4" ht="63.75" x14ac:dyDescent="0.25">
      <c r="A4958" s="104">
        <v>89302</v>
      </c>
      <c r="B4958" s="105" t="s">
        <v>4849</v>
      </c>
      <c r="C4958" s="106" t="s">
        <v>8</v>
      </c>
      <c r="D4958" s="107">
        <v>67.099999999999994</v>
      </c>
    </row>
    <row r="4959" spans="1:4" ht="51" x14ac:dyDescent="0.25">
      <c r="A4959" s="104">
        <v>89303</v>
      </c>
      <c r="B4959" s="105" t="s">
        <v>4850</v>
      </c>
      <c r="C4959" s="106" t="s">
        <v>8</v>
      </c>
      <c r="D4959" s="107">
        <v>68.73</v>
      </c>
    </row>
    <row r="4960" spans="1:4" ht="63.75" x14ac:dyDescent="0.25">
      <c r="A4960" s="104">
        <v>89304</v>
      </c>
      <c r="B4960" s="105" t="s">
        <v>4851</v>
      </c>
      <c r="C4960" s="106" t="s">
        <v>8</v>
      </c>
      <c r="D4960" s="107">
        <v>60.2</v>
      </c>
    </row>
    <row r="4961" spans="1:4" ht="51" x14ac:dyDescent="0.25">
      <c r="A4961" s="104">
        <v>89305</v>
      </c>
      <c r="B4961" s="105" t="s">
        <v>4852</v>
      </c>
      <c r="C4961" s="106" t="s">
        <v>8</v>
      </c>
      <c r="D4961" s="107">
        <v>61.83</v>
      </c>
    </row>
    <row r="4962" spans="1:4" ht="51" x14ac:dyDescent="0.25">
      <c r="A4962" s="104">
        <v>89306</v>
      </c>
      <c r="B4962" s="105" t="s">
        <v>4853</v>
      </c>
      <c r="C4962" s="106" t="s">
        <v>8</v>
      </c>
      <c r="D4962" s="107">
        <v>68.319999999999993</v>
      </c>
    </row>
    <row r="4963" spans="1:4" ht="51" x14ac:dyDescent="0.25">
      <c r="A4963" s="104">
        <v>89307</v>
      </c>
      <c r="B4963" s="105" t="s">
        <v>4854</v>
      </c>
      <c r="C4963" s="106" t="s">
        <v>8</v>
      </c>
      <c r="D4963" s="107">
        <v>70.12</v>
      </c>
    </row>
    <row r="4964" spans="1:4" ht="63.75" x14ac:dyDescent="0.25">
      <c r="A4964" s="104">
        <v>89308</v>
      </c>
      <c r="B4964" s="105" t="s">
        <v>4855</v>
      </c>
      <c r="C4964" s="106" t="s">
        <v>8</v>
      </c>
      <c r="D4964" s="107">
        <v>64.099999999999994</v>
      </c>
    </row>
    <row r="4965" spans="1:4" ht="51" x14ac:dyDescent="0.25">
      <c r="A4965" s="104">
        <v>89309</v>
      </c>
      <c r="B4965" s="105" t="s">
        <v>4856</v>
      </c>
      <c r="C4965" s="106" t="s">
        <v>8</v>
      </c>
      <c r="D4965" s="107">
        <v>65.900000000000006</v>
      </c>
    </row>
    <row r="4966" spans="1:4" ht="63.75" x14ac:dyDescent="0.25">
      <c r="A4966" s="104">
        <v>89310</v>
      </c>
      <c r="B4966" s="105" t="s">
        <v>4857</v>
      </c>
      <c r="C4966" s="106" t="s">
        <v>8</v>
      </c>
      <c r="D4966" s="107">
        <v>77.92</v>
      </c>
    </row>
    <row r="4967" spans="1:4" ht="51" x14ac:dyDescent="0.25">
      <c r="A4967" s="104">
        <v>89311</v>
      </c>
      <c r="B4967" s="105" t="s">
        <v>4858</v>
      </c>
      <c r="C4967" s="106" t="s">
        <v>8</v>
      </c>
      <c r="D4967" s="107">
        <v>79.72</v>
      </c>
    </row>
    <row r="4968" spans="1:4" ht="63.75" x14ac:dyDescent="0.25">
      <c r="A4968" s="104">
        <v>89312</v>
      </c>
      <c r="B4968" s="105" t="s">
        <v>4859</v>
      </c>
      <c r="C4968" s="106" t="s">
        <v>8</v>
      </c>
      <c r="D4968" s="107">
        <v>68.89</v>
      </c>
    </row>
    <row r="4969" spans="1:4" ht="51" x14ac:dyDescent="0.25">
      <c r="A4969" s="104">
        <v>89313</v>
      </c>
      <c r="B4969" s="105" t="s">
        <v>4860</v>
      </c>
      <c r="C4969" s="106" t="s">
        <v>8</v>
      </c>
      <c r="D4969" s="107">
        <v>70.69</v>
      </c>
    </row>
    <row r="4970" spans="1:4" ht="38.25" x14ac:dyDescent="0.25">
      <c r="A4970" s="104">
        <v>101162</v>
      </c>
      <c r="B4970" s="105" t="s">
        <v>11481</v>
      </c>
      <c r="C4970" s="106" t="s">
        <v>8</v>
      </c>
      <c r="D4970" s="107">
        <v>129.09</v>
      </c>
    </row>
    <row r="4971" spans="1:4" ht="51" x14ac:dyDescent="0.25">
      <c r="A4971" s="104">
        <v>87447</v>
      </c>
      <c r="B4971" s="105" t="s">
        <v>4861</v>
      </c>
      <c r="C4971" s="106" t="s">
        <v>8</v>
      </c>
      <c r="D4971" s="107">
        <v>49.38</v>
      </c>
    </row>
    <row r="4972" spans="1:4" ht="51" x14ac:dyDescent="0.25">
      <c r="A4972" s="104">
        <v>87448</v>
      </c>
      <c r="B4972" s="105" t="s">
        <v>4862</v>
      </c>
      <c r="C4972" s="106" t="s">
        <v>8</v>
      </c>
      <c r="D4972" s="107">
        <v>49.87</v>
      </c>
    </row>
    <row r="4973" spans="1:4" ht="51" x14ac:dyDescent="0.25">
      <c r="A4973" s="104">
        <v>87449</v>
      </c>
      <c r="B4973" s="105" t="s">
        <v>4863</v>
      </c>
      <c r="C4973" s="106" t="s">
        <v>8</v>
      </c>
      <c r="D4973" s="107">
        <v>64.37</v>
      </c>
    </row>
    <row r="4974" spans="1:4" ht="51" x14ac:dyDescent="0.25">
      <c r="A4974" s="104">
        <v>87450</v>
      </c>
      <c r="B4974" s="105" t="s">
        <v>4864</v>
      </c>
      <c r="C4974" s="106" t="s">
        <v>8</v>
      </c>
      <c r="D4974" s="107">
        <v>65.34</v>
      </c>
    </row>
    <row r="4975" spans="1:4" ht="51" x14ac:dyDescent="0.25">
      <c r="A4975" s="104">
        <v>87451</v>
      </c>
      <c r="B4975" s="105" t="s">
        <v>4865</v>
      </c>
      <c r="C4975" s="106" t="s">
        <v>8</v>
      </c>
      <c r="D4975" s="107">
        <v>78.739999999999995</v>
      </c>
    </row>
    <row r="4976" spans="1:4" ht="51" x14ac:dyDescent="0.25">
      <c r="A4976" s="104">
        <v>87452</v>
      </c>
      <c r="B4976" s="105" t="s">
        <v>4866</v>
      </c>
      <c r="C4976" s="106" t="s">
        <v>8</v>
      </c>
      <c r="D4976" s="107">
        <v>79.2</v>
      </c>
    </row>
    <row r="4977" spans="1:4" ht="51" x14ac:dyDescent="0.25">
      <c r="A4977" s="104">
        <v>87453</v>
      </c>
      <c r="B4977" s="105" t="s">
        <v>4867</v>
      </c>
      <c r="C4977" s="106" t="s">
        <v>8</v>
      </c>
      <c r="D4977" s="107">
        <v>46.09</v>
      </c>
    </row>
    <row r="4978" spans="1:4" ht="51" x14ac:dyDescent="0.25">
      <c r="A4978" s="104">
        <v>87454</v>
      </c>
      <c r="B4978" s="105" t="s">
        <v>4868</v>
      </c>
      <c r="C4978" s="106" t="s">
        <v>8</v>
      </c>
      <c r="D4978" s="107">
        <v>46.92</v>
      </c>
    </row>
    <row r="4979" spans="1:4" ht="51" x14ac:dyDescent="0.25">
      <c r="A4979" s="104">
        <v>87455</v>
      </c>
      <c r="B4979" s="105" t="s">
        <v>4869</v>
      </c>
      <c r="C4979" s="106" t="s">
        <v>8</v>
      </c>
      <c r="D4979" s="107">
        <v>60.18</v>
      </c>
    </row>
    <row r="4980" spans="1:4" ht="51" x14ac:dyDescent="0.25">
      <c r="A4980" s="104">
        <v>87456</v>
      </c>
      <c r="B4980" s="105" t="s">
        <v>4870</v>
      </c>
      <c r="C4980" s="106" t="s">
        <v>8</v>
      </c>
      <c r="D4980" s="107">
        <v>61.52</v>
      </c>
    </row>
    <row r="4981" spans="1:4" ht="51" x14ac:dyDescent="0.25">
      <c r="A4981" s="104">
        <v>87457</v>
      </c>
      <c r="B4981" s="105" t="s">
        <v>4871</v>
      </c>
      <c r="C4981" s="106" t="s">
        <v>8</v>
      </c>
      <c r="D4981" s="107">
        <v>73.069999999999993</v>
      </c>
    </row>
    <row r="4982" spans="1:4" ht="51" x14ac:dyDescent="0.25">
      <c r="A4982" s="104">
        <v>87458</v>
      </c>
      <c r="B4982" s="105" t="s">
        <v>4872</v>
      </c>
      <c r="C4982" s="106" t="s">
        <v>8</v>
      </c>
      <c r="D4982" s="107">
        <v>74.28</v>
      </c>
    </row>
    <row r="4983" spans="1:4" ht="51" x14ac:dyDescent="0.25">
      <c r="A4983" s="104">
        <v>87459</v>
      </c>
      <c r="B4983" s="105" t="s">
        <v>4873</v>
      </c>
      <c r="C4983" s="106" t="s">
        <v>8</v>
      </c>
      <c r="D4983" s="107">
        <v>54.56</v>
      </c>
    </row>
    <row r="4984" spans="1:4" ht="51" x14ac:dyDescent="0.25">
      <c r="A4984" s="104">
        <v>87460</v>
      </c>
      <c r="B4984" s="105" t="s">
        <v>4874</v>
      </c>
      <c r="C4984" s="106" t="s">
        <v>8</v>
      </c>
      <c r="D4984" s="107">
        <v>55.39</v>
      </c>
    </row>
    <row r="4985" spans="1:4" ht="51" x14ac:dyDescent="0.25">
      <c r="A4985" s="104">
        <v>87461</v>
      </c>
      <c r="B4985" s="105" t="s">
        <v>4875</v>
      </c>
      <c r="C4985" s="106" t="s">
        <v>8</v>
      </c>
      <c r="D4985" s="107">
        <v>69.61</v>
      </c>
    </row>
    <row r="4986" spans="1:4" ht="51" x14ac:dyDescent="0.25">
      <c r="A4986" s="104">
        <v>87462</v>
      </c>
      <c r="B4986" s="105" t="s">
        <v>4876</v>
      </c>
      <c r="C4986" s="106" t="s">
        <v>8</v>
      </c>
      <c r="D4986" s="107">
        <v>70.58</v>
      </c>
    </row>
    <row r="4987" spans="1:4" ht="51" x14ac:dyDescent="0.25">
      <c r="A4987" s="104">
        <v>87463</v>
      </c>
      <c r="B4987" s="105" t="s">
        <v>4877</v>
      </c>
      <c r="C4987" s="106" t="s">
        <v>8</v>
      </c>
      <c r="D4987" s="107">
        <v>83.29</v>
      </c>
    </row>
    <row r="4988" spans="1:4" ht="51" x14ac:dyDescent="0.25">
      <c r="A4988" s="104">
        <v>87464</v>
      </c>
      <c r="B4988" s="105" t="s">
        <v>4878</v>
      </c>
      <c r="C4988" s="106" t="s">
        <v>8</v>
      </c>
      <c r="D4988" s="107">
        <v>84.5</v>
      </c>
    </row>
    <row r="4989" spans="1:4" ht="51" x14ac:dyDescent="0.25">
      <c r="A4989" s="104">
        <v>87465</v>
      </c>
      <c r="B4989" s="105" t="s">
        <v>4879</v>
      </c>
      <c r="C4989" s="106" t="s">
        <v>8</v>
      </c>
      <c r="D4989" s="107">
        <v>49.02</v>
      </c>
    </row>
    <row r="4990" spans="1:4" ht="51" x14ac:dyDescent="0.25">
      <c r="A4990" s="104">
        <v>87466</v>
      </c>
      <c r="B4990" s="105" t="s">
        <v>4880</v>
      </c>
      <c r="C4990" s="106" t="s">
        <v>8</v>
      </c>
      <c r="D4990" s="107">
        <v>49.85</v>
      </c>
    </row>
    <row r="4991" spans="1:4" ht="51" x14ac:dyDescent="0.25">
      <c r="A4991" s="104">
        <v>87467</v>
      </c>
      <c r="B4991" s="105" t="s">
        <v>4881</v>
      </c>
      <c r="C4991" s="106" t="s">
        <v>8</v>
      </c>
      <c r="D4991" s="107">
        <v>63.55</v>
      </c>
    </row>
    <row r="4992" spans="1:4" ht="51" x14ac:dyDescent="0.25">
      <c r="A4992" s="104">
        <v>87468</v>
      </c>
      <c r="B4992" s="105" t="s">
        <v>4882</v>
      </c>
      <c r="C4992" s="106" t="s">
        <v>8</v>
      </c>
      <c r="D4992" s="107">
        <v>64.52</v>
      </c>
    </row>
    <row r="4993" spans="1:4" ht="51" x14ac:dyDescent="0.25">
      <c r="A4993" s="104">
        <v>87469</v>
      </c>
      <c r="B4993" s="105" t="s">
        <v>4883</v>
      </c>
      <c r="C4993" s="106" t="s">
        <v>8</v>
      </c>
      <c r="D4993" s="107">
        <v>76.58</v>
      </c>
    </row>
    <row r="4994" spans="1:4" ht="51" x14ac:dyDescent="0.25">
      <c r="A4994" s="104">
        <v>87470</v>
      </c>
      <c r="B4994" s="105" t="s">
        <v>4884</v>
      </c>
      <c r="C4994" s="106" t="s">
        <v>8</v>
      </c>
      <c r="D4994" s="107">
        <v>77.790000000000006</v>
      </c>
    </row>
    <row r="4995" spans="1:4" ht="51" x14ac:dyDescent="0.25">
      <c r="A4995" s="104">
        <v>89044</v>
      </c>
      <c r="B4995" s="105" t="s">
        <v>4885</v>
      </c>
      <c r="C4995" s="106" t="s">
        <v>8</v>
      </c>
      <c r="D4995" s="107">
        <v>49.14</v>
      </c>
    </row>
    <row r="4996" spans="1:4" ht="51" x14ac:dyDescent="0.25">
      <c r="A4996" s="104">
        <v>89169</v>
      </c>
      <c r="B4996" s="105" t="s">
        <v>4886</v>
      </c>
      <c r="C4996" s="106" t="s">
        <v>8</v>
      </c>
      <c r="D4996" s="107">
        <v>49.85</v>
      </c>
    </row>
    <row r="4997" spans="1:4" ht="51" x14ac:dyDescent="0.25">
      <c r="A4997" s="104">
        <v>89978</v>
      </c>
      <c r="B4997" s="105" t="s">
        <v>195</v>
      </c>
      <c r="C4997" s="106" t="s">
        <v>8</v>
      </c>
      <c r="D4997" s="107">
        <v>64.540000000000006</v>
      </c>
    </row>
    <row r="4998" spans="1:4" ht="38.25" x14ac:dyDescent="0.25">
      <c r="A4998" s="104">
        <v>89453</v>
      </c>
      <c r="B4998" s="105" t="s">
        <v>4887</v>
      </c>
      <c r="C4998" s="106" t="s">
        <v>8</v>
      </c>
      <c r="D4998" s="107">
        <v>57.78</v>
      </c>
    </row>
    <row r="4999" spans="1:4" ht="51" x14ac:dyDescent="0.25">
      <c r="A4999" s="104">
        <v>89454</v>
      </c>
      <c r="B4999" s="105" t="s">
        <v>4888</v>
      </c>
      <c r="C4999" s="106" t="s">
        <v>8</v>
      </c>
      <c r="D4999" s="107">
        <v>55.32</v>
      </c>
    </row>
    <row r="5000" spans="1:4" ht="51" x14ac:dyDescent="0.25">
      <c r="A5000" s="104">
        <v>89455</v>
      </c>
      <c r="B5000" s="105" t="s">
        <v>4889</v>
      </c>
      <c r="C5000" s="106" t="s">
        <v>8</v>
      </c>
      <c r="D5000" s="107">
        <v>71.89</v>
      </c>
    </row>
    <row r="5001" spans="1:4" ht="51" x14ac:dyDescent="0.25">
      <c r="A5001" s="104">
        <v>89456</v>
      </c>
      <c r="B5001" s="105" t="s">
        <v>4890</v>
      </c>
      <c r="C5001" s="106" t="s">
        <v>8</v>
      </c>
      <c r="D5001" s="107">
        <v>69.06</v>
      </c>
    </row>
    <row r="5002" spans="1:4" ht="38.25" x14ac:dyDescent="0.25">
      <c r="A5002" s="104">
        <v>89457</v>
      </c>
      <c r="B5002" s="105" t="s">
        <v>4891</v>
      </c>
      <c r="C5002" s="106" t="s">
        <v>8</v>
      </c>
      <c r="D5002" s="107">
        <v>61.12</v>
      </c>
    </row>
    <row r="5003" spans="1:4" ht="51" x14ac:dyDescent="0.25">
      <c r="A5003" s="104">
        <v>89458</v>
      </c>
      <c r="B5003" s="105" t="s">
        <v>4892</v>
      </c>
      <c r="C5003" s="106" t="s">
        <v>8</v>
      </c>
      <c r="D5003" s="107">
        <v>57.27</v>
      </c>
    </row>
    <row r="5004" spans="1:4" ht="51" x14ac:dyDescent="0.25">
      <c r="A5004" s="104">
        <v>89459</v>
      </c>
      <c r="B5004" s="105" t="s">
        <v>4893</v>
      </c>
      <c r="C5004" s="106" t="s">
        <v>8</v>
      </c>
      <c r="D5004" s="107">
        <v>75.56</v>
      </c>
    </row>
    <row r="5005" spans="1:4" ht="51" x14ac:dyDescent="0.25">
      <c r="A5005" s="104">
        <v>89460</v>
      </c>
      <c r="B5005" s="105" t="s">
        <v>4894</v>
      </c>
      <c r="C5005" s="106" t="s">
        <v>8</v>
      </c>
      <c r="D5005" s="107">
        <v>71.28</v>
      </c>
    </row>
    <row r="5006" spans="1:4" ht="38.25" x14ac:dyDescent="0.25">
      <c r="A5006" s="104">
        <v>89462</v>
      </c>
      <c r="B5006" s="105" t="s">
        <v>4895</v>
      </c>
      <c r="C5006" s="106" t="s">
        <v>8</v>
      </c>
      <c r="D5006" s="107">
        <v>69.33</v>
      </c>
    </row>
    <row r="5007" spans="1:4" ht="51" x14ac:dyDescent="0.25">
      <c r="A5007" s="104">
        <v>89463</v>
      </c>
      <c r="B5007" s="105" t="s">
        <v>4896</v>
      </c>
      <c r="C5007" s="106" t="s">
        <v>8</v>
      </c>
      <c r="D5007" s="107">
        <v>66.849999999999994</v>
      </c>
    </row>
    <row r="5008" spans="1:4" ht="51" x14ac:dyDescent="0.25">
      <c r="A5008" s="104">
        <v>89464</v>
      </c>
      <c r="B5008" s="105" t="s">
        <v>4897</v>
      </c>
      <c r="C5008" s="106" t="s">
        <v>8</v>
      </c>
      <c r="D5008" s="107">
        <v>83.67</v>
      </c>
    </row>
    <row r="5009" spans="1:4" ht="51" x14ac:dyDescent="0.25">
      <c r="A5009" s="104">
        <v>89465</v>
      </c>
      <c r="B5009" s="105" t="s">
        <v>4898</v>
      </c>
      <c r="C5009" s="106" t="s">
        <v>8</v>
      </c>
      <c r="D5009" s="107">
        <v>80.92</v>
      </c>
    </row>
    <row r="5010" spans="1:4" ht="38.25" x14ac:dyDescent="0.25">
      <c r="A5010" s="104">
        <v>89466</v>
      </c>
      <c r="B5010" s="105" t="s">
        <v>4899</v>
      </c>
      <c r="C5010" s="106" t="s">
        <v>8</v>
      </c>
      <c r="D5010" s="107">
        <v>74.05</v>
      </c>
    </row>
    <row r="5011" spans="1:4" ht="51" x14ac:dyDescent="0.25">
      <c r="A5011" s="104">
        <v>89467</v>
      </c>
      <c r="B5011" s="105" t="s">
        <v>4900</v>
      </c>
      <c r="C5011" s="106" t="s">
        <v>8</v>
      </c>
      <c r="D5011" s="107">
        <v>69.61</v>
      </c>
    </row>
    <row r="5012" spans="1:4" ht="51" x14ac:dyDescent="0.25">
      <c r="A5012" s="104">
        <v>89468</v>
      </c>
      <c r="B5012" s="105" t="s">
        <v>4901</v>
      </c>
      <c r="C5012" s="106" t="s">
        <v>8</v>
      </c>
      <c r="D5012" s="107">
        <v>88.56</v>
      </c>
    </row>
    <row r="5013" spans="1:4" ht="51" x14ac:dyDescent="0.25">
      <c r="A5013" s="104">
        <v>89469</v>
      </c>
      <c r="B5013" s="105" t="s">
        <v>4902</v>
      </c>
      <c r="C5013" s="106" t="s">
        <v>8</v>
      </c>
      <c r="D5013" s="107">
        <v>83.88</v>
      </c>
    </row>
    <row r="5014" spans="1:4" ht="51" x14ac:dyDescent="0.25">
      <c r="A5014" s="104">
        <v>89470</v>
      </c>
      <c r="B5014" s="105" t="s">
        <v>4903</v>
      </c>
      <c r="C5014" s="106" t="s">
        <v>8</v>
      </c>
      <c r="D5014" s="107">
        <v>68.2</v>
      </c>
    </row>
    <row r="5015" spans="1:4" ht="51" x14ac:dyDescent="0.25">
      <c r="A5015" s="104">
        <v>89471</v>
      </c>
      <c r="B5015" s="105" t="s">
        <v>4904</v>
      </c>
      <c r="C5015" s="106" t="s">
        <v>8</v>
      </c>
      <c r="D5015" s="107">
        <v>65.75</v>
      </c>
    </row>
    <row r="5016" spans="1:4" ht="51" x14ac:dyDescent="0.25">
      <c r="A5016" s="104">
        <v>89472</v>
      </c>
      <c r="B5016" s="105" t="s">
        <v>4905</v>
      </c>
      <c r="C5016" s="106" t="s">
        <v>8</v>
      </c>
      <c r="D5016" s="107">
        <v>82.23</v>
      </c>
    </row>
    <row r="5017" spans="1:4" ht="51" x14ac:dyDescent="0.25">
      <c r="A5017" s="104">
        <v>89473</v>
      </c>
      <c r="B5017" s="105" t="s">
        <v>4906</v>
      </c>
      <c r="C5017" s="106" t="s">
        <v>8</v>
      </c>
      <c r="D5017" s="107">
        <v>79.58</v>
      </c>
    </row>
    <row r="5018" spans="1:4" ht="51" x14ac:dyDescent="0.25">
      <c r="A5018" s="104">
        <v>89474</v>
      </c>
      <c r="B5018" s="105" t="s">
        <v>4907</v>
      </c>
      <c r="C5018" s="106" t="s">
        <v>8</v>
      </c>
      <c r="D5018" s="107">
        <v>74.47</v>
      </c>
    </row>
    <row r="5019" spans="1:4" ht="51" x14ac:dyDescent="0.25">
      <c r="A5019" s="104">
        <v>89475</v>
      </c>
      <c r="B5019" s="105" t="s">
        <v>4908</v>
      </c>
      <c r="C5019" s="106" t="s">
        <v>8</v>
      </c>
      <c r="D5019" s="107">
        <v>69.3</v>
      </c>
    </row>
    <row r="5020" spans="1:4" ht="51" x14ac:dyDescent="0.25">
      <c r="A5020" s="106">
        <v>89476</v>
      </c>
      <c r="B5020" s="105" t="s">
        <v>4909</v>
      </c>
      <c r="C5020" s="106" t="s">
        <v>8</v>
      </c>
      <c r="D5020" s="107">
        <v>89</v>
      </c>
    </row>
    <row r="5021" spans="1:4" ht="51" x14ac:dyDescent="0.25">
      <c r="A5021" s="106">
        <v>89477</v>
      </c>
      <c r="B5021" s="105" t="s">
        <v>4910</v>
      </c>
      <c r="C5021" s="106" t="s">
        <v>8</v>
      </c>
      <c r="D5021" s="107">
        <v>83.58</v>
      </c>
    </row>
    <row r="5022" spans="1:4" ht="51" x14ac:dyDescent="0.25">
      <c r="A5022" s="106">
        <v>89478</v>
      </c>
      <c r="B5022" s="105" t="s">
        <v>4911</v>
      </c>
      <c r="C5022" s="106" t="s">
        <v>8</v>
      </c>
      <c r="D5022" s="107">
        <v>79.94</v>
      </c>
    </row>
    <row r="5023" spans="1:4" ht="51" x14ac:dyDescent="0.25">
      <c r="A5023" s="104">
        <v>89479</v>
      </c>
      <c r="B5023" s="105" t="s">
        <v>4912</v>
      </c>
      <c r="C5023" s="106" t="s">
        <v>8</v>
      </c>
      <c r="D5023" s="107">
        <v>77.47</v>
      </c>
    </row>
    <row r="5024" spans="1:4" ht="51" x14ac:dyDescent="0.25">
      <c r="A5024" s="104">
        <v>89480</v>
      </c>
      <c r="B5024" s="105" t="s">
        <v>4913</v>
      </c>
      <c r="C5024" s="106" t="s">
        <v>8</v>
      </c>
      <c r="D5024" s="107">
        <v>94.22</v>
      </c>
    </row>
    <row r="5025" spans="1:4" ht="51" x14ac:dyDescent="0.25">
      <c r="A5025" s="104">
        <v>89483</v>
      </c>
      <c r="B5025" s="105" t="s">
        <v>4914</v>
      </c>
      <c r="C5025" s="106" t="s">
        <v>8</v>
      </c>
      <c r="D5025" s="107">
        <v>91.65</v>
      </c>
    </row>
    <row r="5026" spans="1:4" ht="51" x14ac:dyDescent="0.25">
      <c r="A5026" s="104">
        <v>89484</v>
      </c>
      <c r="B5026" s="105" t="s">
        <v>4915</v>
      </c>
      <c r="C5026" s="106" t="s">
        <v>8</v>
      </c>
      <c r="D5026" s="107">
        <v>87.58</v>
      </c>
    </row>
    <row r="5027" spans="1:4" ht="51" x14ac:dyDescent="0.25">
      <c r="A5027" s="104">
        <v>89486</v>
      </c>
      <c r="B5027" s="105" t="s">
        <v>4916</v>
      </c>
      <c r="C5027" s="106" t="s">
        <v>8</v>
      </c>
      <c r="D5027" s="107">
        <v>82.01</v>
      </c>
    </row>
    <row r="5028" spans="1:4" ht="51" x14ac:dyDescent="0.25">
      <c r="A5028" s="104">
        <v>89487</v>
      </c>
      <c r="B5028" s="105" t="s">
        <v>4917</v>
      </c>
      <c r="C5028" s="106" t="s">
        <v>8</v>
      </c>
      <c r="D5028" s="107">
        <v>102.21</v>
      </c>
    </row>
    <row r="5029" spans="1:4" ht="51" x14ac:dyDescent="0.25">
      <c r="A5029" s="104">
        <v>89488</v>
      </c>
      <c r="B5029" s="105" t="s">
        <v>4918</v>
      </c>
      <c r="C5029" s="106" t="s">
        <v>8</v>
      </c>
      <c r="D5029" s="107">
        <v>96.38</v>
      </c>
    </row>
    <row r="5030" spans="1:4" ht="51" x14ac:dyDescent="0.25">
      <c r="A5030" s="104">
        <v>91815</v>
      </c>
      <c r="B5030" s="105" t="s">
        <v>707</v>
      </c>
      <c r="C5030" s="106" t="s">
        <v>8</v>
      </c>
      <c r="D5030" s="107">
        <v>57.76</v>
      </c>
    </row>
    <row r="5031" spans="1:4" ht="51" x14ac:dyDescent="0.25">
      <c r="A5031" s="104">
        <v>91816</v>
      </c>
      <c r="B5031" s="105" t="s">
        <v>4919</v>
      </c>
      <c r="C5031" s="106" t="s">
        <v>8</v>
      </c>
      <c r="D5031" s="107">
        <v>69.760000000000005</v>
      </c>
    </row>
    <row r="5032" spans="1:4" ht="38.25" x14ac:dyDescent="0.25">
      <c r="A5032" s="104">
        <v>101161</v>
      </c>
      <c r="B5032" s="105" t="s">
        <v>11482</v>
      </c>
      <c r="C5032" s="106" t="s">
        <v>8</v>
      </c>
      <c r="D5032" s="107">
        <v>146.51</v>
      </c>
    </row>
    <row r="5033" spans="1:4" ht="38.25" x14ac:dyDescent="0.25">
      <c r="A5033" s="104">
        <v>101163</v>
      </c>
      <c r="B5033" s="105" t="s">
        <v>11483</v>
      </c>
      <c r="C5033" s="106" t="s">
        <v>8</v>
      </c>
      <c r="D5033" s="107">
        <v>713.3</v>
      </c>
    </row>
    <row r="5034" spans="1:4" ht="38.25" x14ac:dyDescent="0.25">
      <c r="A5034" s="104">
        <v>101164</v>
      </c>
      <c r="B5034" s="105" t="s">
        <v>11484</v>
      </c>
      <c r="C5034" s="106" t="s">
        <v>8</v>
      </c>
      <c r="D5034" s="107">
        <v>517.70000000000005</v>
      </c>
    </row>
    <row r="5035" spans="1:4" ht="25.5" x14ac:dyDescent="0.25">
      <c r="A5035" s="104">
        <v>72178</v>
      </c>
      <c r="B5035" s="105" t="s">
        <v>4920</v>
      </c>
      <c r="C5035" s="106" t="s">
        <v>8</v>
      </c>
      <c r="D5035" s="107">
        <v>22.6</v>
      </c>
    </row>
    <row r="5036" spans="1:4" ht="25.5" x14ac:dyDescent="0.25">
      <c r="A5036" s="104">
        <v>72179</v>
      </c>
      <c r="B5036" s="105" t="s">
        <v>4921</v>
      </c>
      <c r="C5036" s="106" t="s">
        <v>8</v>
      </c>
      <c r="D5036" s="107">
        <v>44.4</v>
      </c>
    </row>
    <row r="5037" spans="1:4" ht="38.25" x14ac:dyDescent="0.25">
      <c r="A5037" s="104">
        <v>72180</v>
      </c>
      <c r="B5037" s="105" t="s">
        <v>4922</v>
      </c>
      <c r="C5037" s="106" t="s">
        <v>8</v>
      </c>
      <c r="D5037" s="107">
        <v>14.14</v>
      </c>
    </row>
    <row r="5038" spans="1:4" ht="38.25" x14ac:dyDescent="0.25">
      <c r="A5038" s="104">
        <v>72181</v>
      </c>
      <c r="B5038" s="105" t="s">
        <v>4923</v>
      </c>
      <c r="C5038" s="106" t="s">
        <v>8</v>
      </c>
      <c r="D5038" s="107">
        <v>28.75</v>
      </c>
    </row>
    <row r="5039" spans="1:4" ht="38.25" x14ac:dyDescent="0.25">
      <c r="A5039" s="104" t="s">
        <v>4924</v>
      </c>
      <c r="B5039" s="105" t="s">
        <v>4925</v>
      </c>
      <c r="C5039" s="106" t="s">
        <v>8</v>
      </c>
      <c r="D5039" s="107">
        <v>264.27</v>
      </c>
    </row>
    <row r="5040" spans="1:4" ht="25.5" x14ac:dyDescent="0.25">
      <c r="A5040" s="104" t="s">
        <v>4926</v>
      </c>
      <c r="B5040" s="105" t="s">
        <v>4927</v>
      </c>
      <c r="C5040" s="106" t="s">
        <v>8</v>
      </c>
      <c r="D5040" s="107">
        <v>187.33</v>
      </c>
    </row>
    <row r="5041" spans="1:4" ht="38.25" x14ac:dyDescent="0.25">
      <c r="A5041" s="104" t="s">
        <v>4928</v>
      </c>
      <c r="B5041" s="105" t="s">
        <v>4929</v>
      </c>
      <c r="C5041" s="106" t="s">
        <v>8</v>
      </c>
      <c r="D5041" s="107">
        <v>656.14</v>
      </c>
    </row>
    <row r="5042" spans="1:4" ht="38.25" x14ac:dyDescent="0.25">
      <c r="A5042" s="104">
        <v>79627</v>
      </c>
      <c r="B5042" s="105" t="s">
        <v>4930</v>
      </c>
      <c r="C5042" s="106" t="s">
        <v>8</v>
      </c>
      <c r="D5042" s="107">
        <v>724.9</v>
      </c>
    </row>
    <row r="5043" spans="1:4" ht="38.25" x14ac:dyDescent="0.25">
      <c r="A5043" s="104">
        <v>96358</v>
      </c>
      <c r="B5043" s="105" t="s">
        <v>4931</v>
      </c>
      <c r="C5043" s="106" t="s">
        <v>8</v>
      </c>
      <c r="D5043" s="107">
        <v>76.45</v>
      </c>
    </row>
    <row r="5044" spans="1:4" ht="38.25" x14ac:dyDescent="0.25">
      <c r="A5044" s="104">
        <v>96359</v>
      </c>
      <c r="B5044" s="105" t="s">
        <v>4932</v>
      </c>
      <c r="C5044" s="106" t="s">
        <v>8</v>
      </c>
      <c r="D5044" s="107">
        <v>84.5</v>
      </c>
    </row>
    <row r="5045" spans="1:4" ht="38.25" x14ac:dyDescent="0.25">
      <c r="A5045" s="104">
        <v>96360</v>
      </c>
      <c r="B5045" s="105" t="s">
        <v>4933</v>
      </c>
      <c r="C5045" s="106" t="s">
        <v>8</v>
      </c>
      <c r="D5045" s="107">
        <v>98.14</v>
      </c>
    </row>
    <row r="5046" spans="1:4" ht="38.25" x14ac:dyDescent="0.25">
      <c r="A5046" s="104">
        <v>96361</v>
      </c>
      <c r="B5046" s="105" t="s">
        <v>4934</v>
      </c>
      <c r="C5046" s="106" t="s">
        <v>8</v>
      </c>
      <c r="D5046" s="107">
        <v>113.88</v>
      </c>
    </row>
    <row r="5047" spans="1:4" ht="38.25" x14ac:dyDescent="0.25">
      <c r="A5047" s="104">
        <v>96362</v>
      </c>
      <c r="B5047" s="105" t="s">
        <v>4935</v>
      </c>
      <c r="C5047" s="106" t="s">
        <v>8</v>
      </c>
      <c r="D5047" s="107">
        <v>100.66</v>
      </c>
    </row>
    <row r="5048" spans="1:4" ht="38.25" x14ac:dyDescent="0.25">
      <c r="A5048" s="104">
        <v>96363</v>
      </c>
      <c r="B5048" s="105" t="s">
        <v>4936</v>
      </c>
      <c r="C5048" s="106" t="s">
        <v>8</v>
      </c>
      <c r="D5048" s="107">
        <v>108.94</v>
      </c>
    </row>
    <row r="5049" spans="1:4" ht="38.25" x14ac:dyDescent="0.25">
      <c r="A5049" s="104">
        <v>96364</v>
      </c>
      <c r="B5049" s="105" t="s">
        <v>4937</v>
      </c>
      <c r="C5049" s="106" t="s">
        <v>8</v>
      </c>
      <c r="D5049" s="107">
        <v>122.35</v>
      </c>
    </row>
    <row r="5050" spans="1:4" ht="38.25" x14ac:dyDescent="0.25">
      <c r="A5050" s="104">
        <v>96365</v>
      </c>
      <c r="B5050" s="105" t="s">
        <v>4938</v>
      </c>
      <c r="C5050" s="106" t="s">
        <v>8</v>
      </c>
      <c r="D5050" s="107">
        <v>138.30000000000001</v>
      </c>
    </row>
    <row r="5051" spans="1:4" ht="38.25" x14ac:dyDescent="0.25">
      <c r="A5051" s="104">
        <v>96366</v>
      </c>
      <c r="B5051" s="105" t="s">
        <v>4939</v>
      </c>
      <c r="C5051" s="106" t="s">
        <v>8</v>
      </c>
      <c r="D5051" s="107">
        <v>124.86</v>
      </c>
    </row>
    <row r="5052" spans="1:4" ht="38.25" x14ac:dyDescent="0.25">
      <c r="A5052" s="104">
        <v>96367</v>
      </c>
      <c r="B5052" s="105" t="s">
        <v>4940</v>
      </c>
      <c r="C5052" s="106" t="s">
        <v>8</v>
      </c>
      <c r="D5052" s="107">
        <v>133.36000000000001</v>
      </c>
    </row>
    <row r="5053" spans="1:4" ht="38.25" x14ac:dyDescent="0.25">
      <c r="A5053" s="104">
        <v>96368</v>
      </c>
      <c r="B5053" s="105" t="s">
        <v>4941</v>
      </c>
      <c r="C5053" s="106" t="s">
        <v>8</v>
      </c>
      <c r="D5053" s="107">
        <v>146.55000000000001</v>
      </c>
    </row>
    <row r="5054" spans="1:4" ht="38.25" x14ac:dyDescent="0.25">
      <c r="A5054" s="104">
        <v>96369</v>
      </c>
      <c r="B5054" s="105" t="s">
        <v>4942</v>
      </c>
      <c r="C5054" s="106" t="s">
        <v>8</v>
      </c>
      <c r="D5054" s="107">
        <v>162.72999999999999</v>
      </c>
    </row>
    <row r="5055" spans="1:4" ht="38.25" x14ac:dyDescent="0.25">
      <c r="A5055" s="104">
        <v>96370</v>
      </c>
      <c r="B5055" s="105" t="s">
        <v>4943</v>
      </c>
      <c r="C5055" s="106" t="s">
        <v>8</v>
      </c>
      <c r="D5055" s="107">
        <v>49.42</v>
      </c>
    </row>
    <row r="5056" spans="1:4" ht="38.25" x14ac:dyDescent="0.25">
      <c r="A5056" s="104">
        <v>96371</v>
      </c>
      <c r="B5056" s="105" t="s">
        <v>4944</v>
      </c>
      <c r="C5056" s="106" t="s">
        <v>8</v>
      </c>
      <c r="D5056" s="107">
        <v>57.33</v>
      </c>
    </row>
    <row r="5057" spans="1:4" ht="25.5" x14ac:dyDescent="0.25">
      <c r="A5057" s="104">
        <v>96372</v>
      </c>
      <c r="B5057" s="105" t="s">
        <v>4945</v>
      </c>
      <c r="C5057" s="106" t="s">
        <v>8</v>
      </c>
      <c r="D5057" s="107">
        <v>22.3</v>
      </c>
    </row>
    <row r="5058" spans="1:4" ht="25.5" x14ac:dyDescent="0.25">
      <c r="A5058" s="104">
        <v>96373</v>
      </c>
      <c r="B5058" s="105" t="s">
        <v>4946</v>
      </c>
      <c r="C5058" s="106" t="s">
        <v>16</v>
      </c>
      <c r="D5058" s="107">
        <v>7.73</v>
      </c>
    </row>
    <row r="5059" spans="1:4" ht="25.5" x14ac:dyDescent="0.25">
      <c r="A5059" s="104">
        <v>96374</v>
      </c>
      <c r="B5059" s="105" t="s">
        <v>4947</v>
      </c>
      <c r="C5059" s="106" t="s">
        <v>16</v>
      </c>
      <c r="D5059" s="107">
        <v>16.39</v>
      </c>
    </row>
    <row r="5060" spans="1:4" ht="38.25" x14ac:dyDescent="0.25">
      <c r="A5060" s="104">
        <v>101154</v>
      </c>
      <c r="B5060" s="105" t="s">
        <v>11485</v>
      </c>
      <c r="C5060" s="106" t="s">
        <v>8</v>
      </c>
      <c r="D5060" s="107">
        <v>74.39</v>
      </c>
    </row>
    <row r="5061" spans="1:4" ht="38.25" x14ac:dyDescent="0.25">
      <c r="A5061" s="104">
        <v>101155</v>
      </c>
      <c r="B5061" s="105" t="s">
        <v>11486</v>
      </c>
      <c r="C5061" s="106" t="s">
        <v>8</v>
      </c>
      <c r="D5061" s="107">
        <v>111.71</v>
      </c>
    </row>
    <row r="5062" spans="1:4" ht="38.25" x14ac:dyDescent="0.25">
      <c r="A5062" s="104">
        <v>101156</v>
      </c>
      <c r="B5062" s="105" t="s">
        <v>11487</v>
      </c>
      <c r="C5062" s="106" t="s">
        <v>8</v>
      </c>
      <c r="D5062" s="107">
        <v>143.71</v>
      </c>
    </row>
    <row r="5063" spans="1:4" ht="38.25" x14ac:dyDescent="0.25">
      <c r="A5063" s="104" t="s">
        <v>4948</v>
      </c>
      <c r="B5063" s="105" t="s">
        <v>4949</v>
      </c>
      <c r="C5063" s="106" t="s">
        <v>8</v>
      </c>
      <c r="D5063" s="107">
        <v>51.18</v>
      </c>
    </row>
    <row r="5064" spans="1:4" ht="51" x14ac:dyDescent="0.25">
      <c r="A5064" s="106" t="s">
        <v>4950</v>
      </c>
      <c r="B5064" s="105" t="s">
        <v>4951</v>
      </c>
      <c r="C5064" s="106" t="s">
        <v>8</v>
      </c>
      <c r="D5064" s="107">
        <v>40.07</v>
      </c>
    </row>
    <row r="5065" spans="1:4" ht="25.5" x14ac:dyDescent="0.25">
      <c r="A5065" s="106">
        <v>83694</v>
      </c>
      <c r="B5065" s="105" t="s">
        <v>11488</v>
      </c>
      <c r="C5065" s="106" t="s">
        <v>8</v>
      </c>
      <c r="D5065" s="107">
        <v>14.47</v>
      </c>
    </row>
    <row r="5066" spans="1:4" ht="25.5" x14ac:dyDescent="0.25">
      <c r="A5066" s="106" t="s">
        <v>4952</v>
      </c>
      <c r="B5066" s="105" t="s">
        <v>4953</v>
      </c>
      <c r="C5066" s="106" t="s">
        <v>8</v>
      </c>
      <c r="D5066" s="107">
        <v>25.05</v>
      </c>
    </row>
    <row r="5067" spans="1:4" ht="25.5" x14ac:dyDescent="0.25">
      <c r="A5067" s="104">
        <v>83771</v>
      </c>
      <c r="B5067" s="105" t="s">
        <v>11489</v>
      </c>
      <c r="C5067" s="106" t="s">
        <v>13</v>
      </c>
      <c r="D5067" s="107">
        <v>6.18</v>
      </c>
    </row>
    <row r="5068" spans="1:4" ht="25.5" x14ac:dyDescent="0.25">
      <c r="A5068" s="104">
        <v>100576</v>
      </c>
      <c r="B5068" s="105" t="s">
        <v>11490</v>
      </c>
      <c r="C5068" s="106" t="s">
        <v>8</v>
      </c>
      <c r="D5068" s="107">
        <v>1.22</v>
      </c>
    </row>
    <row r="5069" spans="1:4" ht="25.5" x14ac:dyDescent="0.25">
      <c r="A5069" s="104">
        <v>100577</v>
      </c>
      <c r="B5069" s="105" t="s">
        <v>11491</v>
      </c>
      <c r="C5069" s="106" t="s">
        <v>8</v>
      </c>
      <c r="D5069" s="107">
        <v>0.56999999999999995</v>
      </c>
    </row>
    <row r="5070" spans="1:4" ht="51" x14ac:dyDescent="0.25">
      <c r="A5070" s="104">
        <v>96388</v>
      </c>
      <c r="B5070" s="105" t="s">
        <v>11492</v>
      </c>
      <c r="C5070" s="106" t="s">
        <v>13</v>
      </c>
      <c r="D5070" s="107">
        <v>5.81</v>
      </c>
    </row>
    <row r="5071" spans="1:4" ht="51" x14ac:dyDescent="0.25">
      <c r="A5071" s="104">
        <v>96389</v>
      </c>
      <c r="B5071" s="105" t="s">
        <v>11493</v>
      </c>
      <c r="C5071" s="106" t="s">
        <v>13</v>
      </c>
      <c r="D5071" s="107">
        <v>32.33</v>
      </c>
    </row>
    <row r="5072" spans="1:4" ht="51" x14ac:dyDescent="0.25">
      <c r="A5072" s="104">
        <v>96390</v>
      </c>
      <c r="B5072" s="105" t="s">
        <v>11494</v>
      </c>
      <c r="C5072" s="106" t="s">
        <v>13</v>
      </c>
      <c r="D5072" s="107">
        <v>53.36</v>
      </c>
    </row>
    <row r="5073" spans="1:4" ht="51" x14ac:dyDescent="0.25">
      <c r="A5073" s="104">
        <v>96391</v>
      </c>
      <c r="B5073" s="105" t="s">
        <v>11495</v>
      </c>
      <c r="C5073" s="106" t="s">
        <v>13</v>
      </c>
      <c r="D5073" s="107">
        <v>75.16</v>
      </c>
    </row>
    <row r="5074" spans="1:4" ht="51" x14ac:dyDescent="0.25">
      <c r="A5074" s="104">
        <v>96392</v>
      </c>
      <c r="B5074" s="105" t="s">
        <v>11496</v>
      </c>
      <c r="C5074" s="106" t="s">
        <v>13</v>
      </c>
      <c r="D5074" s="107">
        <v>96.26</v>
      </c>
    </row>
    <row r="5075" spans="1:4" ht="38.25" x14ac:dyDescent="0.25">
      <c r="A5075" s="104">
        <v>96396</v>
      </c>
      <c r="B5075" s="105" t="s">
        <v>11497</v>
      </c>
      <c r="C5075" s="106" t="s">
        <v>13</v>
      </c>
      <c r="D5075" s="107">
        <v>137.51</v>
      </c>
    </row>
    <row r="5076" spans="1:4" ht="38.25" x14ac:dyDescent="0.25">
      <c r="A5076" s="104">
        <v>96397</v>
      </c>
      <c r="B5076" s="105" t="s">
        <v>11498</v>
      </c>
      <c r="C5076" s="106" t="s">
        <v>13</v>
      </c>
      <c r="D5076" s="107">
        <v>176.33</v>
      </c>
    </row>
    <row r="5077" spans="1:4" ht="38.25" x14ac:dyDescent="0.25">
      <c r="A5077" s="104">
        <v>96398</v>
      </c>
      <c r="B5077" s="105" t="s">
        <v>11499</v>
      </c>
      <c r="C5077" s="106" t="s">
        <v>13</v>
      </c>
      <c r="D5077" s="107">
        <v>229.23</v>
      </c>
    </row>
    <row r="5078" spans="1:4" ht="38.25" x14ac:dyDescent="0.25">
      <c r="A5078" s="104">
        <v>96399</v>
      </c>
      <c r="B5078" s="105" t="s">
        <v>11500</v>
      </c>
      <c r="C5078" s="106" t="s">
        <v>13</v>
      </c>
      <c r="D5078" s="107">
        <v>99.72</v>
      </c>
    </row>
    <row r="5079" spans="1:4" ht="38.25" x14ac:dyDescent="0.25">
      <c r="A5079" s="104">
        <v>96400</v>
      </c>
      <c r="B5079" s="105" t="s">
        <v>11501</v>
      </c>
      <c r="C5079" s="106" t="s">
        <v>13</v>
      </c>
      <c r="D5079" s="107">
        <v>126.1</v>
      </c>
    </row>
    <row r="5080" spans="1:4" ht="25.5" x14ac:dyDescent="0.25">
      <c r="A5080" s="104">
        <v>96401</v>
      </c>
      <c r="B5080" s="105" t="s">
        <v>11502</v>
      </c>
      <c r="C5080" s="106" t="s">
        <v>8</v>
      </c>
      <c r="D5080" s="107">
        <v>7.37</v>
      </c>
    </row>
    <row r="5081" spans="1:4" ht="25.5" x14ac:dyDescent="0.25">
      <c r="A5081" s="104">
        <v>96402</v>
      </c>
      <c r="B5081" s="105" t="s">
        <v>11503</v>
      </c>
      <c r="C5081" s="106" t="s">
        <v>8</v>
      </c>
      <c r="D5081" s="107">
        <v>1.5</v>
      </c>
    </row>
    <row r="5082" spans="1:4" ht="51" x14ac:dyDescent="0.25">
      <c r="A5082" s="104">
        <v>100564</v>
      </c>
      <c r="B5082" s="105" t="s">
        <v>11504</v>
      </c>
      <c r="C5082" s="106" t="s">
        <v>13</v>
      </c>
      <c r="D5082" s="107">
        <v>77.78</v>
      </c>
    </row>
    <row r="5083" spans="1:4" ht="51" x14ac:dyDescent="0.25">
      <c r="A5083" s="104">
        <v>100565</v>
      </c>
      <c r="B5083" s="105" t="s">
        <v>11505</v>
      </c>
      <c r="C5083" s="106" t="s">
        <v>13</v>
      </c>
      <c r="D5083" s="107">
        <v>66.819999999999993</v>
      </c>
    </row>
    <row r="5084" spans="1:4" ht="51" x14ac:dyDescent="0.25">
      <c r="A5084" s="104">
        <v>100566</v>
      </c>
      <c r="B5084" s="105" t="s">
        <v>11506</v>
      </c>
      <c r="C5084" s="106" t="s">
        <v>13</v>
      </c>
      <c r="D5084" s="107">
        <v>120.72</v>
      </c>
    </row>
    <row r="5085" spans="1:4" ht="51" x14ac:dyDescent="0.25">
      <c r="A5085" s="106">
        <v>100567</v>
      </c>
      <c r="B5085" s="105" t="s">
        <v>11507</v>
      </c>
      <c r="C5085" s="106" t="s">
        <v>13</v>
      </c>
      <c r="D5085" s="107">
        <v>140.82</v>
      </c>
    </row>
    <row r="5086" spans="1:4" ht="51" x14ac:dyDescent="0.25">
      <c r="A5086" s="106">
        <v>100568</v>
      </c>
      <c r="B5086" s="105" t="s">
        <v>11508</v>
      </c>
      <c r="C5086" s="106" t="s">
        <v>13</v>
      </c>
      <c r="D5086" s="107">
        <v>160.56</v>
      </c>
    </row>
    <row r="5087" spans="1:4" ht="51" x14ac:dyDescent="0.25">
      <c r="A5087" s="106">
        <v>100569</v>
      </c>
      <c r="B5087" s="105" t="s">
        <v>11509</v>
      </c>
      <c r="C5087" s="106" t="s">
        <v>13</v>
      </c>
      <c r="D5087" s="107">
        <v>110.16</v>
      </c>
    </row>
    <row r="5088" spans="1:4" ht="51" x14ac:dyDescent="0.25">
      <c r="A5088" s="106">
        <v>100570</v>
      </c>
      <c r="B5088" s="105" t="s">
        <v>11510</v>
      </c>
      <c r="C5088" s="106" t="s">
        <v>13</v>
      </c>
      <c r="D5088" s="107">
        <v>131.62</v>
      </c>
    </row>
    <row r="5089" spans="1:4" ht="51" x14ac:dyDescent="0.25">
      <c r="A5089" s="104">
        <v>100571</v>
      </c>
      <c r="B5089" s="105" t="s">
        <v>11511</v>
      </c>
      <c r="C5089" s="106" t="s">
        <v>13</v>
      </c>
      <c r="D5089" s="107">
        <v>150.47999999999999</v>
      </c>
    </row>
    <row r="5090" spans="1:4" ht="51" x14ac:dyDescent="0.25">
      <c r="A5090" s="106">
        <v>100572</v>
      </c>
      <c r="B5090" s="105" t="s">
        <v>11512</v>
      </c>
      <c r="C5090" s="106" t="s">
        <v>13</v>
      </c>
      <c r="D5090" s="107">
        <v>80.63</v>
      </c>
    </row>
    <row r="5091" spans="1:4" ht="51" x14ac:dyDescent="0.25">
      <c r="A5091" s="104">
        <v>100573</v>
      </c>
      <c r="B5091" s="105" t="s">
        <v>11513</v>
      </c>
      <c r="C5091" s="106" t="s">
        <v>13</v>
      </c>
      <c r="D5091" s="107">
        <v>69.67</v>
      </c>
    </row>
    <row r="5092" spans="1:4" x14ac:dyDescent="0.25">
      <c r="A5092" s="104">
        <v>100574</v>
      </c>
      <c r="B5092" s="105" t="s">
        <v>11514</v>
      </c>
      <c r="C5092" s="106" t="s">
        <v>13</v>
      </c>
      <c r="D5092" s="107">
        <v>0.73</v>
      </c>
    </row>
    <row r="5093" spans="1:4" ht="25.5" x14ac:dyDescent="0.25">
      <c r="A5093" s="104">
        <v>100575</v>
      </c>
      <c r="B5093" s="105" t="s">
        <v>11515</v>
      </c>
      <c r="C5093" s="106" t="s">
        <v>8</v>
      </c>
      <c r="D5093" s="107">
        <v>0.06</v>
      </c>
    </row>
    <row r="5094" spans="1:4" ht="25.5" x14ac:dyDescent="0.25">
      <c r="A5094" s="104">
        <v>92391</v>
      </c>
      <c r="B5094" s="105" t="s">
        <v>4954</v>
      </c>
      <c r="C5094" s="106" t="s">
        <v>8</v>
      </c>
      <c r="D5094" s="107">
        <v>46.07</v>
      </c>
    </row>
    <row r="5095" spans="1:4" ht="25.5" x14ac:dyDescent="0.25">
      <c r="A5095" s="104">
        <v>92392</v>
      </c>
      <c r="B5095" s="105" t="s">
        <v>4955</v>
      </c>
      <c r="C5095" s="106" t="s">
        <v>8</v>
      </c>
      <c r="D5095" s="107">
        <v>95.37</v>
      </c>
    </row>
    <row r="5096" spans="1:4" ht="25.5" x14ac:dyDescent="0.25">
      <c r="A5096" s="104">
        <v>92393</v>
      </c>
      <c r="B5096" s="105" t="s">
        <v>4956</v>
      </c>
      <c r="C5096" s="106" t="s">
        <v>8</v>
      </c>
      <c r="D5096" s="107">
        <v>45.94</v>
      </c>
    </row>
    <row r="5097" spans="1:4" ht="25.5" x14ac:dyDescent="0.25">
      <c r="A5097" s="104">
        <v>92394</v>
      </c>
      <c r="B5097" s="105" t="s">
        <v>4957</v>
      </c>
      <c r="C5097" s="106" t="s">
        <v>8</v>
      </c>
      <c r="D5097" s="107">
        <v>57.66</v>
      </c>
    </row>
    <row r="5098" spans="1:4" ht="25.5" x14ac:dyDescent="0.25">
      <c r="A5098" s="104">
        <v>92395</v>
      </c>
      <c r="B5098" s="105" t="s">
        <v>4958</v>
      </c>
      <c r="C5098" s="106" t="s">
        <v>8</v>
      </c>
      <c r="D5098" s="107">
        <v>70.19</v>
      </c>
    </row>
    <row r="5099" spans="1:4" ht="38.25" x14ac:dyDescent="0.25">
      <c r="A5099" s="104">
        <v>92396</v>
      </c>
      <c r="B5099" s="105" t="s">
        <v>4959</v>
      </c>
      <c r="C5099" s="106" t="s">
        <v>8</v>
      </c>
      <c r="D5099" s="107">
        <v>56.15</v>
      </c>
    </row>
    <row r="5100" spans="1:4" ht="38.25" x14ac:dyDescent="0.25">
      <c r="A5100" s="104">
        <v>92397</v>
      </c>
      <c r="B5100" s="105" t="s">
        <v>4960</v>
      </c>
      <c r="C5100" s="106" t="s">
        <v>8</v>
      </c>
      <c r="D5100" s="107">
        <v>46.11</v>
      </c>
    </row>
    <row r="5101" spans="1:4" ht="38.25" x14ac:dyDescent="0.25">
      <c r="A5101" s="104">
        <v>92398</v>
      </c>
      <c r="B5101" s="105" t="s">
        <v>4961</v>
      </c>
      <c r="C5101" s="106" t="s">
        <v>8</v>
      </c>
      <c r="D5101" s="107">
        <v>59.03</v>
      </c>
    </row>
    <row r="5102" spans="1:4" ht="25.5" x14ac:dyDescent="0.25">
      <c r="A5102" s="104">
        <v>92399</v>
      </c>
      <c r="B5102" s="105" t="s">
        <v>4962</v>
      </c>
      <c r="C5102" s="106" t="s">
        <v>8</v>
      </c>
      <c r="D5102" s="107">
        <v>60.19</v>
      </c>
    </row>
    <row r="5103" spans="1:4" ht="38.25" x14ac:dyDescent="0.25">
      <c r="A5103" s="104">
        <v>92400</v>
      </c>
      <c r="B5103" s="105" t="s">
        <v>4963</v>
      </c>
      <c r="C5103" s="106" t="s">
        <v>8</v>
      </c>
      <c r="D5103" s="107">
        <v>70.58</v>
      </c>
    </row>
    <row r="5104" spans="1:4" ht="25.5" x14ac:dyDescent="0.25">
      <c r="A5104" s="104">
        <v>92401</v>
      </c>
      <c r="B5104" s="105" t="s">
        <v>4964</v>
      </c>
      <c r="C5104" s="106" t="s">
        <v>8</v>
      </c>
      <c r="D5104" s="107">
        <v>71.819999999999993</v>
      </c>
    </row>
    <row r="5105" spans="1:4" ht="25.5" x14ac:dyDescent="0.25">
      <c r="A5105" s="104">
        <v>92402</v>
      </c>
      <c r="B5105" s="105" t="s">
        <v>4965</v>
      </c>
      <c r="C5105" s="106" t="s">
        <v>8</v>
      </c>
      <c r="D5105" s="107">
        <v>57.54</v>
      </c>
    </row>
    <row r="5106" spans="1:4" ht="25.5" x14ac:dyDescent="0.25">
      <c r="A5106" s="104">
        <v>92403</v>
      </c>
      <c r="B5106" s="105" t="s">
        <v>4966</v>
      </c>
      <c r="C5106" s="106" t="s">
        <v>8</v>
      </c>
      <c r="D5106" s="107">
        <v>47.39</v>
      </c>
    </row>
    <row r="5107" spans="1:4" ht="25.5" x14ac:dyDescent="0.25">
      <c r="A5107" s="104">
        <v>92404</v>
      </c>
      <c r="B5107" s="105" t="s">
        <v>4967</v>
      </c>
      <c r="C5107" s="106" t="s">
        <v>8</v>
      </c>
      <c r="D5107" s="107">
        <v>60.32</v>
      </c>
    </row>
    <row r="5108" spans="1:4" ht="25.5" x14ac:dyDescent="0.25">
      <c r="A5108" s="104">
        <v>92405</v>
      </c>
      <c r="B5108" s="105" t="s">
        <v>4968</v>
      </c>
      <c r="C5108" s="106" t="s">
        <v>8</v>
      </c>
      <c r="D5108" s="107">
        <v>61.45</v>
      </c>
    </row>
    <row r="5109" spans="1:4" ht="25.5" x14ac:dyDescent="0.25">
      <c r="A5109" s="104">
        <v>92406</v>
      </c>
      <c r="B5109" s="105" t="s">
        <v>4969</v>
      </c>
      <c r="C5109" s="106" t="s">
        <v>8</v>
      </c>
      <c r="D5109" s="107">
        <v>71.88</v>
      </c>
    </row>
    <row r="5110" spans="1:4" ht="25.5" x14ac:dyDescent="0.25">
      <c r="A5110" s="104">
        <v>92407</v>
      </c>
      <c r="B5110" s="105" t="s">
        <v>4970</v>
      </c>
      <c r="C5110" s="106" t="s">
        <v>8</v>
      </c>
      <c r="D5110" s="107">
        <v>73.09</v>
      </c>
    </row>
    <row r="5111" spans="1:4" ht="25.5" x14ac:dyDescent="0.25">
      <c r="A5111" s="104">
        <v>93679</v>
      </c>
      <c r="B5111" s="105" t="s">
        <v>4971</v>
      </c>
      <c r="C5111" s="106" t="s">
        <v>8</v>
      </c>
      <c r="D5111" s="107">
        <v>62.26</v>
      </c>
    </row>
    <row r="5112" spans="1:4" ht="38.25" x14ac:dyDescent="0.25">
      <c r="A5112" s="104">
        <v>93680</v>
      </c>
      <c r="B5112" s="105" t="s">
        <v>4972</v>
      </c>
      <c r="C5112" s="106" t="s">
        <v>8</v>
      </c>
      <c r="D5112" s="107">
        <v>51.95</v>
      </c>
    </row>
    <row r="5113" spans="1:4" ht="38.25" x14ac:dyDescent="0.25">
      <c r="A5113" s="104">
        <v>93681</v>
      </c>
      <c r="B5113" s="105" t="s">
        <v>321</v>
      </c>
      <c r="C5113" s="106" t="s">
        <v>8</v>
      </c>
      <c r="D5113" s="107">
        <v>63.7</v>
      </c>
    </row>
    <row r="5114" spans="1:4" ht="25.5" x14ac:dyDescent="0.25">
      <c r="A5114" s="104">
        <v>93682</v>
      </c>
      <c r="B5114" s="105" t="s">
        <v>4973</v>
      </c>
      <c r="C5114" s="106" t="s">
        <v>8</v>
      </c>
      <c r="D5114" s="107">
        <v>64.91</v>
      </c>
    </row>
    <row r="5115" spans="1:4" ht="25.5" x14ac:dyDescent="0.25">
      <c r="A5115" s="104">
        <v>97114</v>
      </c>
      <c r="B5115" s="105" t="s">
        <v>4974</v>
      </c>
      <c r="C5115" s="106" t="s">
        <v>16</v>
      </c>
      <c r="D5115" s="107">
        <v>0.33</v>
      </c>
    </row>
    <row r="5116" spans="1:4" ht="25.5" x14ac:dyDescent="0.25">
      <c r="A5116" s="104">
        <v>97115</v>
      </c>
      <c r="B5116" s="105" t="s">
        <v>4975</v>
      </c>
      <c r="C5116" s="106" t="s">
        <v>57</v>
      </c>
      <c r="D5116" s="107">
        <v>28.57</v>
      </c>
    </row>
    <row r="5117" spans="1:4" ht="38.25" x14ac:dyDescent="0.25">
      <c r="A5117" s="104">
        <v>97120</v>
      </c>
      <c r="B5117" s="105" t="s">
        <v>4976</v>
      </c>
      <c r="C5117" s="106" t="s">
        <v>57</v>
      </c>
      <c r="D5117" s="107">
        <v>6.78</v>
      </c>
    </row>
    <row r="5118" spans="1:4" ht="25.5" x14ac:dyDescent="0.25">
      <c r="A5118" s="104">
        <v>97802</v>
      </c>
      <c r="B5118" s="105" t="s">
        <v>11516</v>
      </c>
      <c r="C5118" s="106" t="s">
        <v>8</v>
      </c>
      <c r="D5118" s="107">
        <v>4.32</v>
      </c>
    </row>
    <row r="5119" spans="1:4" ht="25.5" x14ac:dyDescent="0.25">
      <c r="A5119" s="104">
        <v>97803</v>
      </c>
      <c r="B5119" s="105" t="s">
        <v>11517</v>
      </c>
      <c r="C5119" s="106" t="s">
        <v>8</v>
      </c>
      <c r="D5119" s="107">
        <v>6.42</v>
      </c>
    </row>
    <row r="5120" spans="1:4" ht="25.5" x14ac:dyDescent="0.25">
      <c r="A5120" s="104">
        <v>97805</v>
      </c>
      <c r="B5120" s="105" t="s">
        <v>11518</v>
      </c>
      <c r="C5120" s="106" t="s">
        <v>8</v>
      </c>
      <c r="D5120" s="107">
        <v>10.9</v>
      </c>
    </row>
    <row r="5121" spans="1:4" ht="25.5" x14ac:dyDescent="0.25">
      <c r="A5121" s="106">
        <v>97806</v>
      </c>
      <c r="B5121" s="105" t="s">
        <v>11519</v>
      </c>
      <c r="C5121" s="106" t="s">
        <v>8</v>
      </c>
      <c r="D5121" s="107">
        <v>12.96</v>
      </c>
    </row>
    <row r="5122" spans="1:4" ht="25.5" x14ac:dyDescent="0.25">
      <c r="A5122" s="106">
        <v>97807</v>
      </c>
      <c r="B5122" s="105" t="s">
        <v>11520</v>
      </c>
      <c r="C5122" s="106" t="s">
        <v>8</v>
      </c>
      <c r="D5122" s="107">
        <v>14.73</v>
      </c>
    </row>
    <row r="5123" spans="1:4" ht="25.5" x14ac:dyDescent="0.25">
      <c r="A5123" s="106">
        <v>97809</v>
      </c>
      <c r="B5123" s="105" t="s">
        <v>11521</v>
      </c>
      <c r="C5123" s="106" t="s">
        <v>8</v>
      </c>
      <c r="D5123" s="107">
        <v>12.18</v>
      </c>
    </row>
    <row r="5124" spans="1:4" ht="25.5" x14ac:dyDescent="0.25">
      <c r="A5124" s="104">
        <v>97810</v>
      </c>
      <c r="B5124" s="105" t="s">
        <v>11522</v>
      </c>
      <c r="C5124" s="106" t="s">
        <v>8</v>
      </c>
      <c r="D5124" s="107">
        <v>13.15</v>
      </c>
    </row>
    <row r="5125" spans="1:4" ht="25.5" x14ac:dyDescent="0.25">
      <c r="A5125" s="104">
        <v>97811</v>
      </c>
      <c r="B5125" s="105" t="s">
        <v>11523</v>
      </c>
      <c r="C5125" s="106" t="s">
        <v>8</v>
      </c>
      <c r="D5125" s="107">
        <v>14.97</v>
      </c>
    </row>
    <row r="5126" spans="1:4" ht="25.5" x14ac:dyDescent="0.25">
      <c r="A5126" s="104">
        <v>101167</v>
      </c>
      <c r="B5126" s="105" t="s">
        <v>11524</v>
      </c>
      <c r="C5126" s="106" t="s">
        <v>8</v>
      </c>
      <c r="D5126" s="107">
        <v>68.28</v>
      </c>
    </row>
    <row r="5127" spans="1:4" ht="25.5" x14ac:dyDescent="0.25">
      <c r="A5127" s="104">
        <v>101168</v>
      </c>
      <c r="B5127" s="105" t="s">
        <v>11525</v>
      </c>
      <c r="C5127" s="106" t="s">
        <v>8</v>
      </c>
      <c r="D5127" s="107">
        <v>95.3</v>
      </c>
    </row>
    <row r="5128" spans="1:4" ht="25.5" x14ac:dyDescent="0.25">
      <c r="A5128" s="104">
        <v>101169</v>
      </c>
      <c r="B5128" s="105" t="s">
        <v>11526</v>
      </c>
      <c r="C5128" s="106" t="s">
        <v>8</v>
      </c>
      <c r="D5128" s="107">
        <v>76.89</v>
      </c>
    </row>
    <row r="5129" spans="1:4" ht="25.5" x14ac:dyDescent="0.25">
      <c r="A5129" s="104">
        <v>101170</v>
      </c>
      <c r="B5129" s="105" t="s">
        <v>11527</v>
      </c>
      <c r="C5129" s="106" t="s">
        <v>8</v>
      </c>
      <c r="D5129" s="107">
        <v>31.79</v>
      </c>
    </row>
    <row r="5130" spans="1:4" ht="25.5" x14ac:dyDescent="0.25">
      <c r="A5130" s="104">
        <v>101171</v>
      </c>
      <c r="B5130" s="105" t="s">
        <v>11528</v>
      </c>
      <c r="C5130" s="106" t="s">
        <v>8</v>
      </c>
      <c r="D5130" s="107">
        <v>66.78</v>
      </c>
    </row>
    <row r="5131" spans="1:4" ht="25.5" x14ac:dyDescent="0.25">
      <c r="A5131" s="104">
        <v>101172</v>
      </c>
      <c r="B5131" s="105" t="s">
        <v>11529</v>
      </c>
      <c r="C5131" s="106" t="s">
        <v>8</v>
      </c>
      <c r="D5131" s="107">
        <v>46.84</v>
      </c>
    </row>
    <row r="5132" spans="1:4" ht="25.5" x14ac:dyDescent="0.25">
      <c r="A5132" s="104">
        <v>72947</v>
      </c>
      <c r="B5132" s="105" t="s">
        <v>4977</v>
      </c>
      <c r="C5132" s="106" t="s">
        <v>8</v>
      </c>
      <c r="D5132" s="107">
        <v>11.09</v>
      </c>
    </row>
    <row r="5133" spans="1:4" x14ac:dyDescent="0.25">
      <c r="A5133" s="104">
        <v>83693</v>
      </c>
      <c r="B5133" s="105" t="s">
        <v>4978</v>
      </c>
      <c r="C5133" s="106" t="s">
        <v>8</v>
      </c>
      <c r="D5133" s="107">
        <v>3.25</v>
      </c>
    </row>
    <row r="5134" spans="1:4" ht="38.25" x14ac:dyDescent="0.25">
      <c r="A5134" s="104">
        <v>95995</v>
      </c>
      <c r="B5134" s="105" t="s">
        <v>11530</v>
      </c>
      <c r="C5134" s="106" t="s">
        <v>13</v>
      </c>
      <c r="D5134" s="107">
        <v>900.91</v>
      </c>
    </row>
    <row r="5135" spans="1:4" ht="25.5" x14ac:dyDescent="0.25">
      <c r="A5135" s="104">
        <v>95996</v>
      </c>
      <c r="B5135" s="105" t="s">
        <v>11531</v>
      </c>
      <c r="C5135" s="106" t="s">
        <v>13</v>
      </c>
      <c r="D5135" s="107">
        <v>856.54</v>
      </c>
    </row>
    <row r="5136" spans="1:4" ht="25.5" x14ac:dyDescent="0.25">
      <c r="A5136" s="104">
        <v>96001</v>
      </c>
      <c r="B5136" s="105" t="s">
        <v>11532</v>
      </c>
      <c r="C5136" s="106" t="s">
        <v>8</v>
      </c>
      <c r="D5136" s="107">
        <v>4.82</v>
      </c>
    </row>
    <row r="5137" spans="1:4" x14ac:dyDescent="0.25">
      <c r="A5137" s="104">
        <v>96393</v>
      </c>
      <c r="B5137" s="105" t="s">
        <v>11533</v>
      </c>
      <c r="C5137" s="106" t="s">
        <v>13</v>
      </c>
      <c r="D5137" s="107">
        <v>131.03</v>
      </c>
    </row>
    <row r="5138" spans="1:4" x14ac:dyDescent="0.25">
      <c r="A5138" s="104">
        <v>96394</v>
      </c>
      <c r="B5138" s="105" t="s">
        <v>11534</v>
      </c>
      <c r="C5138" s="106" t="s">
        <v>13</v>
      </c>
      <c r="D5138" s="107">
        <v>169</v>
      </c>
    </row>
    <row r="5139" spans="1:4" ht="25.5" x14ac:dyDescent="0.25">
      <c r="A5139" s="104">
        <v>96395</v>
      </c>
      <c r="B5139" s="105" t="s">
        <v>11535</v>
      </c>
      <c r="C5139" s="106" t="s">
        <v>13</v>
      </c>
      <c r="D5139" s="107">
        <v>222.75</v>
      </c>
    </row>
    <row r="5140" spans="1:4" ht="38.25" x14ac:dyDescent="0.25">
      <c r="A5140" s="104">
        <v>100624</v>
      </c>
      <c r="B5140" s="105" t="s">
        <v>13092</v>
      </c>
      <c r="C5140" s="106" t="s">
        <v>13</v>
      </c>
      <c r="D5140" s="107">
        <v>770.54</v>
      </c>
    </row>
    <row r="5141" spans="1:4" ht="38.25" x14ac:dyDescent="0.25">
      <c r="A5141" s="104">
        <v>100625</v>
      </c>
      <c r="B5141" s="105" t="s">
        <v>13093</v>
      </c>
      <c r="C5141" s="106" t="s">
        <v>13</v>
      </c>
      <c r="D5141" s="107">
        <v>693.3</v>
      </c>
    </row>
    <row r="5142" spans="1:4" ht="38.25" x14ac:dyDescent="0.25">
      <c r="A5142" s="104">
        <v>101020</v>
      </c>
      <c r="B5142" s="105" t="s">
        <v>11536</v>
      </c>
      <c r="C5142" s="106" t="s">
        <v>4725</v>
      </c>
      <c r="D5142" s="107">
        <v>309.29000000000002</v>
      </c>
    </row>
    <row r="5143" spans="1:4" ht="38.25" x14ac:dyDescent="0.25">
      <c r="A5143" s="104">
        <v>101021</v>
      </c>
      <c r="B5143" s="105" t="s">
        <v>11537</v>
      </c>
      <c r="C5143" s="106" t="s">
        <v>4725</v>
      </c>
      <c r="D5143" s="107">
        <v>312.91000000000003</v>
      </c>
    </row>
    <row r="5144" spans="1:4" ht="38.25" x14ac:dyDescent="0.25">
      <c r="A5144" s="104">
        <v>101022</v>
      </c>
      <c r="B5144" s="105" t="s">
        <v>11538</v>
      </c>
      <c r="C5144" s="106" t="s">
        <v>4725</v>
      </c>
      <c r="D5144" s="107">
        <v>276.67</v>
      </c>
    </row>
    <row r="5145" spans="1:4" ht="38.25" x14ac:dyDescent="0.25">
      <c r="A5145" s="104">
        <v>101023</v>
      </c>
      <c r="B5145" s="105" t="s">
        <v>11539</v>
      </c>
      <c r="C5145" s="106" t="s">
        <v>4725</v>
      </c>
      <c r="D5145" s="107">
        <v>281.58999999999997</v>
      </c>
    </row>
    <row r="5146" spans="1:4" ht="38.25" x14ac:dyDescent="0.25">
      <c r="A5146" s="104">
        <v>101024</v>
      </c>
      <c r="B5146" s="105" t="s">
        <v>11540</v>
      </c>
      <c r="C5146" s="106" t="s">
        <v>4725</v>
      </c>
      <c r="D5146" s="107">
        <v>280.69</v>
      </c>
    </row>
    <row r="5147" spans="1:4" ht="38.25" x14ac:dyDescent="0.25">
      <c r="A5147" s="104">
        <v>101025</v>
      </c>
      <c r="B5147" s="105" t="s">
        <v>11541</v>
      </c>
      <c r="C5147" s="106" t="s">
        <v>4725</v>
      </c>
      <c r="D5147" s="107">
        <v>284.31</v>
      </c>
    </row>
    <row r="5148" spans="1:4" ht="25.5" x14ac:dyDescent="0.25">
      <c r="A5148" s="104">
        <v>101026</v>
      </c>
      <c r="B5148" s="105" t="s">
        <v>11542</v>
      </c>
      <c r="C5148" s="106" t="s">
        <v>4725</v>
      </c>
      <c r="D5148" s="107">
        <v>270.89999999999998</v>
      </c>
    </row>
    <row r="5149" spans="1:4" ht="25.5" x14ac:dyDescent="0.25">
      <c r="A5149" s="104">
        <v>101027</v>
      </c>
      <c r="B5149" s="105" t="s">
        <v>11543</v>
      </c>
      <c r="C5149" s="106" t="s">
        <v>4725</v>
      </c>
      <c r="D5149" s="107">
        <v>297.88</v>
      </c>
    </row>
    <row r="5150" spans="1:4" ht="38.25" x14ac:dyDescent="0.25">
      <c r="A5150" s="104">
        <v>88411</v>
      </c>
      <c r="B5150" s="105" t="s">
        <v>4979</v>
      </c>
      <c r="C5150" s="106" t="s">
        <v>8</v>
      </c>
      <c r="D5150" s="107">
        <v>1.67</v>
      </c>
    </row>
    <row r="5151" spans="1:4" ht="38.25" x14ac:dyDescent="0.25">
      <c r="A5151" s="104">
        <v>88412</v>
      </c>
      <c r="B5151" s="105" t="s">
        <v>4980</v>
      </c>
      <c r="C5151" s="106" t="s">
        <v>8</v>
      </c>
      <c r="D5151" s="107">
        <v>1.17</v>
      </c>
    </row>
    <row r="5152" spans="1:4" ht="38.25" x14ac:dyDescent="0.25">
      <c r="A5152" s="104">
        <v>88413</v>
      </c>
      <c r="B5152" s="105" t="s">
        <v>4981</v>
      </c>
      <c r="C5152" s="106" t="s">
        <v>8</v>
      </c>
      <c r="D5152" s="107">
        <v>2.68</v>
      </c>
    </row>
    <row r="5153" spans="1:4" ht="38.25" x14ac:dyDescent="0.25">
      <c r="A5153" s="104">
        <v>88414</v>
      </c>
      <c r="B5153" s="105" t="s">
        <v>4982</v>
      </c>
      <c r="C5153" s="106" t="s">
        <v>8</v>
      </c>
      <c r="D5153" s="107">
        <v>3</v>
      </c>
    </row>
    <row r="5154" spans="1:4" ht="25.5" x14ac:dyDescent="0.25">
      <c r="A5154" s="104">
        <v>88415</v>
      </c>
      <c r="B5154" s="105" t="s">
        <v>4983</v>
      </c>
      <c r="C5154" s="106" t="s">
        <v>8</v>
      </c>
      <c r="D5154" s="107">
        <v>1.83</v>
      </c>
    </row>
    <row r="5155" spans="1:4" ht="38.25" x14ac:dyDescent="0.25">
      <c r="A5155" s="104">
        <v>88416</v>
      </c>
      <c r="B5155" s="105" t="s">
        <v>4984</v>
      </c>
      <c r="C5155" s="106" t="s">
        <v>8</v>
      </c>
      <c r="D5155" s="107">
        <v>15.65</v>
      </c>
    </row>
    <row r="5156" spans="1:4" ht="38.25" x14ac:dyDescent="0.25">
      <c r="A5156" s="104">
        <v>88417</v>
      </c>
      <c r="B5156" s="105" t="s">
        <v>4985</v>
      </c>
      <c r="C5156" s="106" t="s">
        <v>8</v>
      </c>
      <c r="D5156" s="107">
        <v>13.86</v>
      </c>
    </row>
    <row r="5157" spans="1:4" ht="38.25" x14ac:dyDescent="0.25">
      <c r="A5157" s="104">
        <v>88420</v>
      </c>
      <c r="B5157" s="105" t="s">
        <v>4986</v>
      </c>
      <c r="C5157" s="106" t="s">
        <v>8</v>
      </c>
      <c r="D5157" s="107">
        <v>19.25</v>
      </c>
    </row>
    <row r="5158" spans="1:4" ht="38.25" x14ac:dyDescent="0.25">
      <c r="A5158" s="104">
        <v>88421</v>
      </c>
      <c r="B5158" s="105" t="s">
        <v>4987</v>
      </c>
      <c r="C5158" s="106" t="s">
        <v>8</v>
      </c>
      <c r="D5158" s="107">
        <v>20.38</v>
      </c>
    </row>
    <row r="5159" spans="1:4" ht="25.5" x14ac:dyDescent="0.25">
      <c r="A5159" s="104">
        <v>88423</v>
      </c>
      <c r="B5159" s="105" t="s">
        <v>4988</v>
      </c>
      <c r="C5159" s="106" t="s">
        <v>8</v>
      </c>
      <c r="D5159" s="107">
        <v>16.21</v>
      </c>
    </row>
    <row r="5160" spans="1:4" ht="38.25" x14ac:dyDescent="0.25">
      <c r="A5160" s="104">
        <v>88424</v>
      </c>
      <c r="B5160" s="105" t="s">
        <v>4989</v>
      </c>
      <c r="C5160" s="106" t="s">
        <v>8</v>
      </c>
      <c r="D5160" s="107">
        <v>18.09</v>
      </c>
    </row>
    <row r="5161" spans="1:4" ht="38.25" x14ac:dyDescent="0.25">
      <c r="A5161" s="104">
        <v>88426</v>
      </c>
      <c r="B5161" s="105" t="s">
        <v>4990</v>
      </c>
      <c r="C5161" s="106" t="s">
        <v>8</v>
      </c>
      <c r="D5161" s="107">
        <v>15.02</v>
      </c>
    </row>
    <row r="5162" spans="1:4" ht="38.25" x14ac:dyDescent="0.25">
      <c r="A5162" s="104">
        <v>88428</v>
      </c>
      <c r="B5162" s="105" t="s">
        <v>4991</v>
      </c>
      <c r="C5162" s="106" t="s">
        <v>8</v>
      </c>
      <c r="D5162" s="107">
        <v>24.28</v>
      </c>
    </row>
    <row r="5163" spans="1:4" ht="38.25" x14ac:dyDescent="0.25">
      <c r="A5163" s="104">
        <v>88429</v>
      </c>
      <c r="B5163" s="105" t="s">
        <v>4992</v>
      </c>
      <c r="C5163" s="106" t="s">
        <v>8</v>
      </c>
      <c r="D5163" s="107">
        <v>26.26</v>
      </c>
    </row>
    <row r="5164" spans="1:4" ht="25.5" x14ac:dyDescent="0.25">
      <c r="A5164" s="104">
        <v>88431</v>
      </c>
      <c r="B5164" s="105" t="s">
        <v>4993</v>
      </c>
      <c r="C5164" s="106" t="s">
        <v>8</v>
      </c>
      <c r="D5164" s="107">
        <v>19.07</v>
      </c>
    </row>
    <row r="5165" spans="1:4" ht="25.5" x14ac:dyDescent="0.25">
      <c r="A5165" s="104">
        <v>88432</v>
      </c>
      <c r="B5165" s="105" t="s">
        <v>4994</v>
      </c>
      <c r="C5165" s="106" t="s">
        <v>8</v>
      </c>
      <c r="D5165" s="107">
        <v>13.34</v>
      </c>
    </row>
    <row r="5166" spans="1:4" ht="25.5" x14ac:dyDescent="0.25">
      <c r="A5166" s="106">
        <v>88482</v>
      </c>
      <c r="B5166" s="105" t="s">
        <v>4995</v>
      </c>
      <c r="C5166" s="106" t="s">
        <v>8</v>
      </c>
      <c r="D5166" s="107">
        <v>2.0299999999999998</v>
      </c>
    </row>
    <row r="5167" spans="1:4" ht="25.5" x14ac:dyDescent="0.25">
      <c r="A5167" s="106">
        <v>88483</v>
      </c>
      <c r="B5167" s="105" t="s">
        <v>4996</v>
      </c>
      <c r="C5167" s="106" t="s">
        <v>8</v>
      </c>
      <c r="D5167" s="107">
        <v>1.82</v>
      </c>
    </row>
    <row r="5168" spans="1:4" ht="25.5" x14ac:dyDescent="0.25">
      <c r="A5168" s="106">
        <v>88484</v>
      </c>
      <c r="B5168" s="105" t="s">
        <v>360</v>
      </c>
      <c r="C5168" s="106" t="s">
        <v>8</v>
      </c>
      <c r="D5168" s="107">
        <v>1.85</v>
      </c>
    </row>
    <row r="5169" spans="1:4" ht="25.5" x14ac:dyDescent="0.25">
      <c r="A5169" s="104">
        <v>88485</v>
      </c>
      <c r="B5169" s="105" t="s">
        <v>203</v>
      </c>
      <c r="C5169" s="106" t="s">
        <v>8</v>
      </c>
      <c r="D5169" s="107">
        <v>1.55</v>
      </c>
    </row>
    <row r="5170" spans="1:4" ht="25.5" x14ac:dyDescent="0.25">
      <c r="A5170" s="104">
        <v>88486</v>
      </c>
      <c r="B5170" s="105" t="s">
        <v>4997</v>
      </c>
      <c r="C5170" s="106" t="s">
        <v>8</v>
      </c>
      <c r="D5170" s="107">
        <v>9.9499999999999993</v>
      </c>
    </row>
    <row r="5171" spans="1:4" ht="25.5" x14ac:dyDescent="0.25">
      <c r="A5171" s="106">
        <v>88487</v>
      </c>
      <c r="B5171" s="105" t="s">
        <v>4998</v>
      </c>
      <c r="C5171" s="106" t="s">
        <v>8</v>
      </c>
      <c r="D5171" s="107">
        <v>8.99</v>
      </c>
    </row>
    <row r="5172" spans="1:4" ht="25.5" x14ac:dyDescent="0.25">
      <c r="A5172" s="104">
        <v>88488</v>
      </c>
      <c r="B5172" s="105" t="s">
        <v>361</v>
      </c>
      <c r="C5172" s="106" t="s">
        <v>8</v>
      </c>
      <c r="D5172" s="107">
        <v>12.65</v>
      </c>
    </row>
    <row r="5173" spans="1:4" ht="25.5" x14ac:dyDescent="0.25">
      <c r="A5173" s="104">
        <v>88489</v>
      </c>
      <c r="B5173" s="105" t="s">
        <v>205</v>
      </c>
      <c r="C5173" s="106" t="s">
        <v>8</v>
      </c>
      <c r="D5173" s="107">
        <v>11.3</v>
      </c>
    </row>
    <row r="5174" spans="1:4" ht="25.5" x14ac:dyDescent="0.25">
      <c r="A5174" s="104">
        <v>88490</v>
      </c>
      <c r="B5174" s="105" t="s">
        <v>4999</v>
      </c>
      <c r="C5174" s="106" t="s">
        <v>8</v>
      </c>
      <c r="D5174" s="107">
        <v>7.57</v>
      </c>
    </row>
    <row r="5175" spans="1:4" ht="25.5" x14ac:dyDescent="0.25">
      <c r="A5175" s="104">
        <v>88491</v>
      </c>
      <c r="B5175" s="105" t="s">
        <v>5000</v>
      </c>
      <c r="C5175" s="106" t="s">
        <v>8</v>
      </c>
      <c r="D5175" s="107">
        <v>7.34</v>
      </c>
    </row>
    <row r="5176" spans="1:4" ht="25.5" x14ac:dyDescent="0.25">
      <c r="A5176" s="104">
        <v>88492</v>
      </c>
      <c r="B5176" s="105" t="s">
        <v>5001</v>
      </c>
      <c r="C5176" s="106" t="s">
        <v>8</v>
      </c>
      <c r="D5176" s="107">
        <v>9.0500000000000007</v>
      </c>
    </row>
    <row r="5177" spans="1:4" ht="25.5" x14ac:dyDescent="0.25">
      <c r="A5177" s="104">
        <v>88493</v>
      </c>
      <c r="B5177" s="105" t="s">
        <v>5002</v>
      </c>
      <c r="C5177" s="106" t="s">
        <v>8</v>
      </c>
      <c r="D5177" s="107">
        <v>8.7100000000000009</v>
      </c>
    </row>
    <row r="5178" spans="1:4" ht="25.5" x14ac:dyDescent="0.25">
      <c r="A5178" s="104">
        <v>88494</v>
      </c>
      <c r="B5178" s="105" t="s">
        <v>5003</v>
      </c>
      <c r="C5178" s="106" t="s">
        <v>8</v>
      </c>
      <c r="D5178" s="107">
        <v>14.58</v>
      </c>
    </row>
    <row r="5179" spans="1:4" ht="25.5" x14ac:dyDescent="0.25">
      <c r="A5179" s="104">
        <v>88495</v>
      </c>
      <c r="B5179" s="105" t="s">
        <v>5004</v>
      </c>
      <c r="C5179" s="106" t="s">
        <v>8</v>
      </c>
      <c r="D5179" s="107">
        <v>8.06</v>
      </c>
    </row>
    <row r="5180" spans="1:4" ht="25.5" x14ac:dyDescent="0.25">
      <c r="A5180" s="104">
        <v>88496</v>
      </c>
      <c r="B5180" s="105" t="s">
        <v>362</v>
      </c>
      <c r="C5180" s="106" t="s">
        <v>8</v>
      </c>
      <c r="D5180" s="107">
        <v>19.84</v>
      </c>
    </row>
    <row r="5181" spans="1:4" ht="25.5" x14ac:dyDescent="0.25">
      <c r="A5181" s="104">
        <v>88497</v>
      </c>
      <c r="B5181" s="105" t="s">
        <v>338</v>
      </c>
      <c r="C5181" s="106" t="s">
        <v>8</v>
      </c>
      <c r="D5181" s="107">
        <v>11.14</v>
      </c>
    </row>
    <row r="5182" spans="1:4" ht="25.5" x14ac:dyDescent="0.25">
      <c r="A5182" s="104">
        <v>95305</v>
      </c>
      <c r="B5182" s="105" t="s">
        <v>204</v>
      </c>
      <c r="C5182" s="106" t="s">
        <v>8</v>
      </c>
      <c r="D5182" s="107">
        <v>11.74</v>
      </c>
    </row>
    <row r="5183" spans="1:4" ht="25.5" x14ac:dyDescent="0.25">
      <c r="A5183" s="104">
        <v>95306</v>
      </c>
      <c r="B5183" s="105" t="s">
        <v>337</v>
      </c>
      <c r="C5183" s="106" t="s">
        <v>8</v>
      </c>
      <c r="D5183" s="107">
        <v>13.46</v>
      </c>
    </row>
    <row r="5184" spans="1:4" ht="38.25" x14ac:dyDescent="0.25">
      <c r="A5184" s="104">
        <v>95622</v>
      </c>
      <c r="B5184" s="105" t="s">
        <v>5005</v>
      </c>
      <c r="C5184" s="106" t="s">
        <v>8</v>
      </c>
      <c r="D5184" s="107">
        <v>11.04</v>
      </c>
    </row>
    <row r="5185" spans="1:4" ht="38.25" x14ac:dyDescent="0.25">
      <c r="A5185" s="104">
        <v>95623</v>
      </c>
      <c r="B5185" s="105" t="s">
        <v>5006</v>
      </c>
      <c r="C5185" s="106" t="s">
        <v>8</v>
      </c>
      <c r="D5185" s="107">
        <v>8.61</v>
      </c>
    </row>
    <row r="5186" spans="1:4" ht="38.25" x14ac:dyDescent="0.25">
      <c r="A5186" s="104">
        <v>95624</v>
      </c>
      <c r="B5186" s="105" t="s">
        <v>5007</v>
      </c>
      <c r="C5186" s="106" t="s">
        <v>8</v>
      </c>
      <c r="D5186" s="107">
        <v>15.98</v>
      </c>
    </row>
    <row r="5187" spans="1:4" ht="38.25" x14ac:dyDescent="0.25">
      <c r="A5187" s="104">
        <v>95625</v>
      </c>
      <c r="B5187" s="105" t="s">
        <v>5008</v>
      </c>
      <c r="C5187" s="106" t="s">
        <v>8</v>
      </c>
      <c r="D5187" s="107">
        <v>17.55</v>
      </c>
    </row>
    <row r="5188" spans="1:4" ht="25.5" x14ac:dyDescent="0.25">
      <c r="A5188" s="104">
        <v>95626</v>
      </c>
      <c r="B5188" s="105" t="s">
        <v>5009</v>
      </c>
      <c r="C5188" s="106" t="s">
        <v>8</v>
      </c>
      <c r="D5188" s="107">
        <v>11.83</v>
      </c>
    </row>
    <row r="5189" spans="1:4" ht="38.25" x14ac:dyDescent="0.25">
      <c r="A5189" s="106">
        <v>96126</v>
      </c>
      <c r="B5189" s="105" t="s">
        <v>5010</v>
      </c>
      <c r="C5189" s="106" t="s">
        <v>8</v>
      </c>
      <c r="D5189" s="107">
        <v>13.48</v>
      </c>
    </row>
    <row r="5190" spans="1:4" ht="38.25" x14ac:dyDescent="0.25">
      <c r="A5190" s="106">
        <v>96127</v>
      </c>
      <c r="B5190" s="105" t="s">
        <v>5011</v>
      </c>
      <c r="C5190" s="106" t="s">
        <v>8</v>
      </c>
      <c r="D5190" s="107">
        <v>10.44</v>
      </c>
    </row>
    <row r="5191" spans="1:4" ht="38.25" x14ac:dyDescent="0.25">
      <c r="A5191" s="104">
        <v>96128</v>
      </c>
      <c r="B5191" s="105" t="s">
        <v>5012</v>
      </c>
      <c r="C5191" s="106" t="s">
        <v>8</v>
      </c>
      <c r="D5191" s="107">
        <v>19.64</v>
      </c>
    </row>
    <row r="5192" spans="1:4" ht="38.25" x14ac:dyDescent="0.25">
      <c r="A5192" s="106">
        <v>96129</v>
      </c>
      <c r="B5192" s="105" t="s">
        <v>5013</v>
      </c>
      <c r="C5192" s="106" t="s">
        <v>8</v>
      </c>
      <c r="D5192" s="107">
        <v>21.59</v>
      </c>
    </row>
    <row r="5193" spans="1:4" ht="25.5" x14ac:dyDescent="0.25">
      <c r="A5193" s="104">
        <v>96130</v>
      </c>
      <c r="B5193" s="105" t="s">
        <v>5014</v>
      </c>
      <c r="C5193" s="106" t="s">
        <v>8</v>
      </c>
      <c r="D5193" s="107">
        <v>14.43</v>
      </c>
    </row>
    <row r="5194" spans="1:4" ht="38.25" x14ac:dyDescent="0.25">
      <c r="A5194" s="104">
        <v>96131</v>
      </c>
      <c r="B5194" s="105" t="s">
        <v>5015</v>
      </c>
      <c r="C5194" s="106" t="s">
        <v>8</v>
      </c>
      <c r="D5194" s="107">
        <v>18.71</v>
      </c>
    </row>
    <row r="5195" spans="1:4" ht="38.25" x14ac:dyDescent="0.25">
      <c r="A5195" s="104">
        <v>96132</v>
      </c>
      <c r="B5195" s="105" t="s">
        <v>5016</v>
      </c>
      <c r="C5195" s="106" t="s">
        <v>8</v>
      </c>
      <c r="D5195" s="107">
        <v>14.67</v>
      </c>
    </row>
    <row r="5196" spans="1:4" ht="38.25" x14ac:dyDescent="0.25">
      <c r="A5196" s="104">
        <v>96133</v>
      </c>
      <c r="B5196" s="105" t="s">
        <v>5017</v>
      </c>
      <c r="C5196" s="106" t="s">
        <v>8</v>
      </c>
      <c r="D5196" s="107">
        <v>26.89</v>
      </c>
    </row>
    <row r="5197" spans="1:4" ht="38.25" x14ac:dyDescent="0.25">
      <c r="A5197" s="104">
        <v>96134</v>
      </c>
      <c r="B5197" s="105" t="s">
        <v>5018</v>
      </c>
      <c r="C5197" s="106" t="s">
        <v>8</v>
      </c>
      <c r="D5197" s="107">
        <v>29.5</v>
      </c>
    </row>
    <row r="5198" spans="1:4" ht="25.5" x14ac:dyDescent="0.25">
      <c r="A5198" s="104">
        <v>96135</v>
      </c>
      <c r="B5198" s="105" t="s">
        <v>5019</v>
      </c>
      <c r="C5198" s="106" t="s">
        <v>8</v>
      </c>
      <c r="D5198" s="107">
        <v>20.010000000000002</v>
      </c>
    </row>
    <row r="5199" spans="1:4" ht="25.5" x14ac:dyDescent="0.25">
      <c r="A5199" s="104">
        <v>6082</v>
      </c>
      <c r="B5199" s="105" t="s">
        <v>202</v>
      </c>
      <c r="C5199" s="106" t="s">
        <v>8</v>
      </c>
      <c r="D5199" s="107">
        <v>14.88</v>
      </c>
    </row>
    <row r="5200" spans="1:4" x14ac:dyDescent="0.25">
      <c r="A5200" s="104">
        <v>40905</v>
      </c>
      <c r="B5200" s="105" t="s">
        <v>5020</v>
      </c>
      <c r="C5200" s="106" t="s">
        <v>8</v>
      </c>
      <c r="D5200" s="107">
        <v>18.91</v>
      </c>
    </row>
    <row r="5201" spans="1:4" x14ac:dyDescent="0.25">
      <c r="A5201" s="104" t="s">
        <v>5021</v>
      </c>
      <c r="B5201" s="105" t="s">
        <v>5022</v>
      </c>
      <c r="C5201" s="106" t="s">
        <v>8</v>
      </c>
      <c r="D5201" s="107">
        <v>14.97</v>
      </c>
    </row>
    <row r="5202" spans="1:4" ht="25.5" x14ac:dyDescent="0.25">
      <c r="A5202" s="104" t="s">
        <v>5023</v>
      </c>
      <c r="B5202" s="105" t="s">
        <v>5024</v>
      </c>
      <c r="C5202" s="106" t="s">
        <v>8</v>
      </c>
      <c r="D5202" s="107">
        <v>21.53</v>
      </c>
    </row>
    <row r="5203" spans="1:4" ht="25.5" x14ac:dyDescent="0.25">
      <c r="A5203" s="104" t="s">
        <v>5025</v>
      </c>
      <c r="B5203" s="105" t="s">
        <v>5026</v>
      </c>
      <c r="C5203" s="106" t="s">
        <v>8</v>
      </c>
      <c r="D5203" s="107">
        <v>21.15</v>
      </c>
    </row>
    <row r="5204" spans="1:4" ht="25.5" x14ac:dyDescent="0.25">
      <c r="A5204" s="104" t="s">
        <v>5027</v>
      </c>
      <c r="B5204" s="105" t="s">
        <v>5028</v>
      </c>
      <c r="C5204" s="106" t="s">
        <v>8</v>
      </c>
      <c r="D5204" s="107">
        <v>21.04</v>
      </c>
    </row>
    <row r="5205" spans="1:4" x14ac:dyDescent="0.25">
      <c r="A5205" s="104">
        <v>79463</v>
      </c>
      <c r="B5205" s="105" t="s">
        <v>5029</v>
      </c>
      <c r="C5205" s="106" t="s">
        <v>8</v>
      </c>
      <c r="D5205" s="107">
        <v>12.58</v>
      </c>
    </row>
    <row r="5206" spans="1:4" x14ac:dyDescent="0.25">
      <c r="A5206" s="104">
        <v>79464</v>
      </c>
      <c r="B5206" s="105" t="s">
        <v>5030</v>
      </c>
      <c r="C5206" s="106" t="s">
        <v>8</v>
      </c>
      <c r="D5206" s="107">
        <v>16.899999999999999</v>
      </c>
    </row>
    <row r="5207" spans="1:4" x14ac:dyDescent="0.25">
      <c r="A5207" s="104">
        <v>79466</v>
      </c>
      <c r="B5207" s="105" t="s">
        <v>5031</v>
      </c>
      <c r="C5207" s="106" t="s">
        <v>8</v>
      </c>
      <c r="D5207" s="107">
        <v>16.25</v>
      </c>
    </row>
    <row r="5208" spans="1:4" x14ac:dyDescent="0.25">
      <c r="A5208" s="104" t="s">
        <v>5032</v>
      </c>
      <c r="B5208" s="105" t="s">
        <v>5033</v>
      </c>
      <c r="C5208" s="106" t="s">
        <v>8</v>
      </c>
      <c r="D5208" s="107">
        <v>20.98</v>
      </c>
    </row>
    <row r="5209" spans="1:4" x14ac:dyDescent="0.25">
      <c r="A5209" s="104">
        <v>84645</v>
      </c>
      <c r="B5209" s="105" t="s">
        <v>5034</v>
      </c>
      <c r="C5209" s="106" t="s">
        <v>8</v>
      </c>
      <c r="D5209" s="107">
        <v>16.03</v>
      </c>
    </row>
    <row r="5210" spans="1:4" x14ac:dyDescent="0.25">
      <c r="A5210" s="104">
        <v>84657</v>
      </c>
      <c r="B5210" s="105" t="s">
        <v>5035</v>
      </c>
      <c r="C5210" s="106" t="s">
        <v>8</v>
      </c>
      <c r="D5210" s="107">
        <v>8.7899999999999991</v>
      </c>
    </row>
    <row r="5211" spans="1:4" x14ac:dyDescent="0.25">
      <c r="A5211" s="104">
        <v>84659</v>
      </c>
      <c r="B5211" s="105" t="s">
        <v>5036</v>
      </c>
      <c r="C5211" s="106" t="s">
        <v>8</v>
      </c>
      <c r="D5211" s="107">
        <v>13.93</v>
      </c>
    </row>
    <row r="5212" spans="1:4" x14ac:dyDescent="0.25">
      <c r="A5212" s="104">
        <v>84679</v>
      </c>
      <c r="B5212" s="105" t="s">
        <v>5037</v>
      </c>
      <c r="C5212" s="106" t="s">
        <v>8</v>
      </c>
      <c r="D5212" s="107">
        <v>16.04</v>
      </c>
    </row>
    <row r="5213" spans="1:4" ht="25.5" x14ac:dyDescent="0.25">
      <c r="A5213" s="104">
        <v>95464</v>
      </c>
      <c r="B5213" s="105" t="s">
        <v>5038</v>
      </c>
      <c r="C5213" s="106" t="s">
        <v>8</v>
      </c>
      <c r="D5213" s="107">
        <v>18.989999999999998</v>
      </c>
    </row>
    <row r="5214" spans="1:4" ht="25.5" x14ac:dyDescent="0.25">
      <c r="A5214" s="104">
        <v>100716</v>
      </c>
      <c r="B5214" s="105" t="s">
        <v>11544</v>
      </c>
      <c r="C5214" s="106" t="s">
        <v>8</v>
      </c>
      <c r="D5214" s="107">
        <v>20.98</v>
      </c>
    </row>
    <row r="5215" spans="1:4" ht="25.5" x14ac:dyDescent="0.25">
      <c r="A5215" s="104">
        <v>100717</v>
      </c>
      <c r="B5215" s="105" t="s">
        <v>11545</v>
      </c>
      <c r="C5215" s="106" t="s">
        <v>8</v>
      </c>
      <c r="D5215" s="107">
        <v>6.43</v>
      </c>
    </row>
    <row r="5216" spans="1:4" x14ac:dyDescent="0.25">
      <c r="A5216" s="104">
        <v>100718</v>
      </c>
      <c r="B5216" s="105" t="s">
        <v>11546</v>
      </c>
      <c r="C5216" s="106" t="s">
        <v>16</v>
      </c>
      <c r="D5216" s="107">
        <v>0.93</v>
      </c>
    </row>
    <row r="5217" spans="1:4" ht="38.25" x14ac:dyDescent="0.25">
      <c r="A5217" s="104">
        <v>100719</v>
      </c>
      <c r="B5217" s="105" t="s">
        <v>11547</v>
      </c>
      <c r="C5217" s="106" t="s">
        <v>8</v>
      </c>
      <c r="D5217" s="107">
        <v>7.2</v>
      </c>
    </row>
    <row r="5218" spans="1:4" ht="38.25" x14ac:dyDescent="0.25">
      <c r="A5218" s="104">
        <v>100720</v>
      </c>
      <c r="B5218" s="105" t="s">
        <v>11548</v>
      </c>
      <c r="C5218" s="106" t="s">
        <v>8</v>
      </c>
      <c r="D5218" s="107">
        <v>7.12</v>
      </c>
    </row>
    <row r="5219" spans="1:4" ht="38.25" x14ac:dyDescent="0.25">
      <c r="A5219" s="104">
        <v>100721</v>
      </c>
      <c r="B5219" s="105" t="s">
        <v>11549</v>
      </c>
      <c r="C5219" s="106" t="s">
        <v>8</v>
      </c>
      <c r="D5219" s="107">
        <v>16.66</v>
      </c>
    </row>
    <row r="5220" spans="1:4" ht="38.25" x14ac:dyDescent="0.25">
      <c r="A5220" s="104">
        <v>100722</v>
      </c>
      <c r="B5220" s="105" t="s">
        <v>11550</v>
      </c>
      <c r="C5220" s="106" t="s">
        <v>8</v>
      </c>
      <c r="D5220" s="107">
        <v>15.96</v>
      </c>
    </row>
    <row r="5221" spans="1:4" ht="38.25" x14ac:dyDescent="0.25">
      <c r="A5221" s="104">
        <v>100723</v>
      </c>
      <c r="B5221" s="105" t="s">
        <v>11551</v>
      </c>
      <c r="C5221" s="106" t="s">
        <v>8</v>
      </c>
      <c r="D5221" s="107">
        <v>6.96</v>
      </c>
    </row>
    <row r="5222" spans="1:4" ht="38.25" x14ac:dyDescent="0.25">
      <c r="A5222" s="104">
        <v>100724</v>
      </c>
      <c r="B5222" s="105" t="s">
        <v>11552</v>
      </c>
      <c r="C5222" s="106" t="s">
        <v>8</v>
      </c>
      <c r="D5222" s="107">
        <v>8.6</v>
      </c>
    </row>
    <row r="5223" spans="1:4" ht="38.25" x14ac:dyDescent="0.25">
      <c r="A5223" s="104">
        <v>100725</v>
      </c>
      <c r="B5223" s="105" t="s">
        <v>11553</v>
      </c>
      <c r="C5223" s="106" t="s">
        <v>8</v>
      </c>
      <c r="D5223" s="107">
        <v>16.059999999999999</v>
      </c>
    </row>
    <row r="5224" spans="1:4" ht="51" x14ac:dyDescent="0.25">
      <c r="A5224" s="104">
        <v>100726</v>
      </c>
      <c r="B5224" s="105" t="s">
        <v>11554</v>
      </c>
      <c r="C5224" s="106" t="s">
        <v>8</v>
      </c>
      <c r="D5224" s="107">
        <v>17.38</v>
      </c>
    </row>
    <row r="5225" spans="1:4" ht="25.5" x14ac:dyDescent="0.25">
      <c r="A5225" s="104">
        <v>100727</v>
      </c>
      <c r="B5225" s="105" t="s">
        <v>11555</v>
      </c>
      <c r="C5225" s="106" t="s">
        <v>8</v>
      </c>
      <c r="D5225" s="107">
        <v>11.97</v>
      </c>
    </row>
    <row r="5226" spans="1:4" ht="38.25" x14ac:dyDescent="0.25">
      <c r="A5226" s="104">
        <v>100728</v>
      </c>
      <c r="B5226" s="105" t="s">
        <v>11556</v>
      </c>
      <c r="C5226" s="106" t="s">
        <v>8</v>
      </c>
      <c r="D5226" s="107">
        <v>11.91</v>
      </c>
    </row>
    <row r="5227" spans="1:4" ht="38.25" x14ac:dyDescent="0.25">
      <c r="A5227" s="104">
        <v>100729</v>
      </c>
      <c r="B5227" s="105" t="s">
        <v>11557</v>
      </c>
      <c r="C5227" s="106" t="s">
        <v>8</v>
      </c>
      <c r="D5227" s="107">
        <v>14.19</v>
      </c>
    </row>
    <row r="5228" spans="1:4" ht="38.25" x14ac:dyDescent="0.25">
      <c r="A5228" s="104">
        <v>100730</v>
      </c>
      <c r="B5228" s="105" t="s">
        <v>11558</v>
      </c>
      <c r="C5228" s="106" t="s">
        <v>8</v>
      </c>
      <c r="D5228" s="107">
        <v>16.47</v>
      </c>
    </row>
    <row r="5229" spans="1:4" ht="38.25" x14ac:dyDescent="0.25">
      <c r="A5229" s="104">
        <v>100733</v>
      </c>
      <c r="B5229" s="105" t="s">
        <v>11559</v>
      </c>
      <c r="C5229" s="106" t="s">
        <v>8</v>
      </c>
      <c r="D5229" s="107">
        <v>7.2</v>
      </c>
    </row>
    <row r="5230" spans="1:4" ht="38.25" x14ac:dyDescent="0.25">
      <c r="A5230" s="104">
        <v>100734</v>
      </c>
      <c r="B5230" s="105" t="s">
        <v>11560</v>
      </c>
      <c r="C5230" s="106" t="s">
        <v>8</v>
      </c>
      <c r="D5230" s="107">
        <v>9.59</v>
      </c>
    </row>
    <row r="5231" spans="1:4" ht="38.25" x14ac:dyDescent="0.25">
      <c r="A5231" s="104">
        <v>100735</v>
      </c>
      <c r="B5231" s="105" t="s">
        <v>11561</v>
      </c>
      <c r="C5231" s="106" t="s">
        <v>8</v>
      </c>
      <c r="D5231" s="107">
        <v>7.03</v>
      </c>
    </row>
    <row r="5232" spans="1:4" ht="38.25" x14ac:dyDescent="0.25">
      <c r="A5232" s="104">
        <v>100736</v>
      </c>
      <c r="B5232" s="105" t="s">
        <v>11562</v>
      </c>
      <c r="C5232" s="106" t="s">
        <v>8</v>
      </c>
      <c r="D5232" s="107">
        <v>9.39</v>
      </c>
    </row>
    <row r="5233" spans="1:4" ht="38.25" x14ac:dyDescent="0.25">
      <c r="A5233" s="104">
        <v>100739</v>
      </c>
      <c r="B5233" s="105" t="s">
        <v>11563</v>
      </c>
      <c r="C5233" s="106" t="s">
        <v>8</v>
      </c>
      <c r="D5233" s="107">
        <v>6.56</v>
      </c>
    </row>
    <row r="5234" spans="1:4" ht="38.25" x14ac:dyDescent="0.25">
      <c r="A5234" s="104">
        <v>100740</v>
      </c>
      <c r="B5234" s="105" t="s">
        <v>11564</v>
      </c>
      <c r="C5234" s="106" t="s">
        <v>8</v>
      </c>
      <c r="D5234" s="107">
        <v>7.15</v>
      </c>
    </row>
    <row r="5235" spans="1:4" ht="38.25" x14ac:dyDescent="0.25">
      <c r="A5235" s="104">
        <v>100741</v>
      </c>
      <c r="B5235" s="105" t="s">
        <v>11565</v>
      </c>
      <c r="C5235" s="106" t="s">
        <v>8</v>
      </c>
      <c r="D5235" s="107">
        <v>15.85</v>
      </c>
    </row>
    <row r="5236" spans="1:4" ht="51" x14ac:dyDescent="0.25">
      <c r="A5236" s="104">
        <v>100742</v>
      </c>
      <c r="B5236" s="105" t="s">
        <v>11566</v>
      </c>
      <c r="C5236" s="106" t="s">
        <v>8</v>
      </c>
      <c r="D5236" s="107">
        <v>15.97</v>
      </c>
    </row>
    <row r="5237" spans="1:4" ht="38.25" x14ac:dyDescent="0.25">
      <c r="A5237" s="104">
        <v>100743</v>
      </c>
      <c r="B5237" s="105" t="s">
        <v>11567</v>
      </c>
      <c r="C5237" s="106" t="s">
        <v>8</v>
      </c>
      <c r="D5237" s="107">
        <v>6.43</v>
      </c>
    </row>
    <row r="5238" spans="1:4" ht="38.25" x14ac:dyDescent="0.25">
      <c r="A5238" s="104">
        <v>100744</v>
      </c>
      <c r="B5238" s="105" t="s">
        <v>11568</v>
      </c>
      <c r="C5238" s="106" t="s">
        <v>8</v>
      </c>
      <c r="D5238" s="107">
        <v>7.07</v>
      </c>
    </row>
    <row r="5239" spans="1:4" ht="38.25" x14ac:dyDescent="0.25">
      <c r="A5239" s="104">
        <v>100745</v>
      </c>
      <c r="B5239" s="105" t="s">
        <v>11569</v>
      </c>
      <c r="C5239" s="106" t="s">
        <v>8</v>
      </c>
      <c r="D5239" s="107">
        <v>15.71</v>
      </c>
    </row>
    <row r="5240" spans="1:4" ht="51" x14ac:dyDescent="0.25">
      <c r="A5240" s="104">
        <v>100746</v>
      </c>
      <c r="B5240" s="105" t="s">
        <v>11570</v>
      </c>
      <c r="C5240" s="106" t="s">
        <v>8</v>
      </c>
      <c r="D5240" s="107">
        <v>15.88</v>
      </c>
    </row>
    <row r="5241" spans="1:4" ht="38.25" x14ac:dyDescent="0.25">
      <c r="A5241" s="104">
        <v>100747</v>
      </c>
      <c r="B5241" s="105" t="s">
        <v>11571</v>
      </c>
      <c r="C5241" s="106" t="s">
        <v>8</v>
      </c>
      <c r="D5241" s="107">
        <v>7.02</v>
      </c>
    </row>
    <row r="5242" spans="1:4" ht="38.25" x14ac:dyDescent="0.25">
      <c r="A5242" s="104">
        <v>100748</v>
      </c>
      <c r="B5242" s="105" t="s">
        <v>11572</v>
      </c>
      <c r="C5242" s="106" t="s">
        <v>8</v>
      </c>
      <c r="D5242" s="107">
        <v>7.45</v>
      </c>
    </row>
    <row r="5243" spans="1:4" ht="38.25" x14ac:dyDescent="0.25">
      <c r="A5243" s="104">
        <v>100749</v>
      </c>
      <c r="B5243" s="105" t="s">
        <v>11573</v>
      </c>
      <c r="C5243" s="106" t="s">
        <v>8</v>
      </c>
      <c r="D5243" s="107">
        <v>16.34</v>
      </c>
    </row>
    <row r="5244" spans="1:4" ht="51" x14ac:dyDescent="0.25">
      <c r="A5244" s="104">
        <v>100750</v>
      </c>
      <c r="B5244" s="105" t="s">
        <v>11574</v>
      </c>
      <c r="C5244" s="106" t="s">
        <v>8</v>
      </c>
      <c r="D5244" s="107">
        <v>16.28</v>
      </c>
    </row>
    <row r="5245" spans="1:4" ht="38.25" x14ac:dyDescent="0.25">
      <c r="A5245" s="106">
        <v>100751</v>
      </c>
      <c r="B5245" s="105" t="s">
        <v>11575</v>
      </c>
      <c r="C5245" s="106" t="s">
        <v>8</v>
      </c>
      <c r="D5245" s="107">
        <v>28.4</v>
      </c>
    </row>
    <row r="5246" spans="1:4" ht="38.25" x14ac:dyDescent="0.25">
      <c r="A5246" s="104">
        <v>100752</v>
      </c>
      <c r="B5246" s="105" t="s">
        <v>11576</v>
      </c>
      <c r="C5246" s="106" t="s">
        <v>8</v>
      </c>
      <c r="D5246" s="107">
        <v>32.93</v>
      </c>
    </row>
    <row r="5247" spans="1:4" ht="38.25" x14ac:dyDescent="0.25">
      <c r="A5247" s="104">
        <v>100753</v>
      </c>
      <c r="B5247" s="105" t="s">
        <v>11577</v>
      </c>
      <c r="C5247" s="106" t="s">
        <v>8</v>
      </c>
      <c r="D5247" s="107">
        <v>14.08</v>
      </c>
    </row>
    <row r="5248" spans="1:4" ht="38.25" x14ac:dyDescent="0.25">
      <c r="A5248" s="104">
        <v>100754</v>
      </c>
      <c r="B5248" s="105" t="s">
        <v>11578</v>
      </c>
      <c r="C5248" s="106" t="s">
        <v>8</v>
      </c>
      <c r="D5248" s="107">
        <v>18.79</v>
      </c>
    </row>
    <row r="5249" spans="1:4" ht="38.25" x14ac:dyDescent="0.25">
      <c r="A5249" s="104">
        <v>100757</v>
      </c>
      <c r="B5249" s="105" t="s">
        <v>11579</v>
      </c>
      <c r="C5249" s="106" t="s">
        <v>8</v>
      </c>
      <c r="D5249" s="107">
        <v>31.73</v>
      </c>
    </row>
    <row r="5250" spans="1:4" ht="51" x14ac:dyDescent="0.25">
      <c r="A5250" s="106">
        <v>100758</v>
      </c>
      <c r="B5250" s="105" t="s">
        <v>11580</v>
      </c>
      <c r="C5250" s="106" t="s">
        <v>8</v>
      </c>
      <c r="D5250" s="107">
        <v>31.97</v>
      </c>
    </row>
    <row r="5251" spans="1:4" ht="38.25" x14ac:dyDescent="0.25">
      <c r="A5251" s="106">
        <v>100759</v>
      </c>
      <c r="B5251" s="105" t="s">
        <v>11581</v>
      </c>
      <c r="C5251" s="106" t="s">
        <v>8</v>
      </c>
      <c r="D5251" s="107">
        <v>31.44</v>
      </c>
    </row>
    <row r="5252" spans="1:4" ht="51" x14ac:dyDescent="0.25">
      <c r="A5252" s="106">
        <v>100760</v>
      </c>
      <c r="B5252" s="105" t="s">
        <v>11582</v>
      </c>
      <c r="C5252" s="106" t="s">
        <v>8</v>
      </c>
      <c r="D5252" s="107">
        <v>31.79</v>
      </c>
    </row>
    <row r="5253" spans="1:4" ht="38.25" x14ac:dyDescent="0.25">
      <c r="A5253" s="106">
        <v>100761</v>
      </c>
      <c r="B5253" s="105" t="s">
        <v>11583</v>
      </c>
      <c r="C5253" s="106" t="s">
        <v>8</v>
      </c>
      <c r="D5253" s="107">
        <v>32.71</v>
      </c>
    </row>
    <row r="5254" spans="1:4" ht="51" x14ac:dyDescent="0.25">
      <c r="A5254" s="104">
        <v>100762</v>
      </c>
      <c r="B5254" s="105" t="s">
        <v>11584</v>
      </c>
      <c r="C5254" s="106" t="s">
        <v>8</v>
      </c>
      <c r="D5254" s="107">
        <v>32.58</v>
      </c>
    </row>
    <row r="5255" spans="1:4" ht="25.5" x14ac:dyDescent="0.25">
      <c r="A5255" s="104">
        <v>41595</v>
      </c>
      <c r="B5255" s="105" t="s">
        <v>5039</v>
      </c>
      <c r="C5255" s="106" t="s">
        <v>16</v>
      </c>
      <c r="D5255" s="107">
        <v>9.6300000000000008</v>
      </c>
    </row>
    <row r="5256" spans="1:4" ht="25.5" x14ac:dyDescent="0.25">
      <c r="A5256" s="104" t="s">
        <v>5040</v>
      </c>
      <c r="B5256" s="105" t="s">
        <v>5041</v>
      </c>
      <c r="C5256" s="106" t="s">
        <v>8</v>
      </c>
      <c r="D5256" s="107">
        <v>15.63</v>
      </c>
    </row>
    <row r="5257" spans="1:4" x14ac:dyDescent="0.25">
      <c r="A5257" s="106" t="s">
        <v>5042</v>
      </c>
      <c r="B5257" s="105" t="s">
        <v>5043</v>
      </c>
      <c r="C5257" s="106" t="s">
        <v>8</v>
      </c>
      <c r="D5257" s="107">
        <v>12.52</v>
      </c>
    </row>
    <row r="5258" spans="1:4" ht="25.5" x14ac:dyDescent="0.25">
      <c r="A5258" s="104">
        <v>79467</v>
      </c>
      <c r="B5258" s="105" t="s">
        <v>5044</v>
      </c>
      <c r="C5258" s="106" t="s">
        <v>5045</v>
      </c>
      <c r="D5258" s="107">
        <v>12.31</v>
      </c>
    </row>
    <row r="5259" spans="1:4" x14ac:dyDescent="0.25">
      <c r="A5259" s="104" t="s">
        <v>5046</v>
      </c>
      <c r="B5259" s="105" t="s">
        <v>5047</v>
      </c>
      <c r="C5259" s="106" t="s">
        <v>8</v>
      </c>
      <c r="D5259" s="107">
        <v>17.57</v>
      </c>
    </row>
    <row r="5260" spans="1:4" ht="25.5" x14ac:dyDescent="0.25">
      <c r="A5260" s="104">
        <v>84663</v>
      </c>
      <c r="B5260" s="105" t="s">
        <v>5048</v>
      </c>
      <c r="C5260" s="106" t="s">
        <v>8</v>
      </c>
      <c r="D5260" s="107">
        <v>19.21</v>
      </c>
    </row>
    <row r="5261" spans="1:4" ht="25.5" x14ac:dyDescent="0.25">
      <c r="A5261" s="104">
        <v>84665</v>
      </c>
      <c r="B5261" s="105" t="s">
        <v>5049</v>
      </c>
      <c r="C5261" s="106" t="s">
        <v>8</v>
      </c>
      <c r="D5261" s="107">
        <v>16.66</v>
      </c>
    </row>
    <row r="5262" spans="1:4" x14ac:dyDescent="0.25">
      <c r="A5262" s="104">
        <v>84666</v>
      </c>
      <c r="B5262" s="105" t="s">
        <v>5050</v>
      </c>
      <c r="C5262" s="106" t="s">
        <v>8</v>
      </c>
      <c r="D5262" s="107">
        <v>18.309999999999999</v>
      </c>
    </row>
    <row r="5263" spans="1:4" ht="25.5" x14ac:dyDescent="0.25">
      <c r="A5263" s="104">
        <v>72191</v>
      </c>
      <c r="B5263" s="105" t="s">
        <v>5051</v>
      </c>
      <c r="C5263" s="106" t="s">
        <v>8</v>
      </c>
      <c r="D5263" s="107">
        <v>69.650000000000006</v>
      </c>
    </row>
    <row r="5264" spans="1:4" ht="25.5" x14ac:dyDescent="0.25">
      <c r="A5264" s="106" t="s">
        <v>5052</v>
      </c>
      <c r="B5264" s="105" t="s">
        <v>5053</v>
      </c>
      <c r="C5264" s="106" t="s">
        <v>8</v>
      </c>
      <c r="D5264" s="107">
        <v>158.21</v>
      </c>
    </row>
    <row r="5265" spans="1:4" x14ac:dyDescent="0.25">
      <c r="A5265" s="106">
        <v>84181</v>
      </c>
      <c r="B5265" s="105" t="s">
        <v>5054</v>
      </c>
      <c r="C5265" s="106" t="s">
        <v>8</v>
      </c>
      <c r="D5265" s="107">
        <v>129.71</v>
      </c>
    </row>
    <row r="5266" spans="1:4" ht="38.25" x14ac:dyDescent="0.25">
      <c r="A5266" s="106">
        <v>87246</v>
      </c>
      <c r="B5266" s="105" t="s">
        <v>5055</v>
      </c>
      <c r="C5266" s="106" t="s">
        <v>8</v>
      </c>
      <c r="D5266" s="107">
        <v>37.020000000000003</v>
      </c>
    </row>
    <row r="5267" spans="1:4" ht="38.25" x14ac:dyDescent="0.25">
      <c r="A5267" s="106">
        <v>87247</v>
      </c>
      <c r="B5267" s="105" t="s">
        <v>5056</v>
      </c>
      <c r="C5267" s="106" t="s">
        <v>8</v>
      </c>
      <c r="D5267" s="107">
        <v>32.11</v>
      </c>
    </row>
    <row r="5268" spans="1:4" ht="38.25" x14ac:dyDescent="0.25">
      <c r="A5268" s="106">
        <v>87248</v>
      </c>
      <c r="B5268" s="105" t="s">
        <v>5057</v>
      </c>
      <c r="C5268" s="106" t="s">
        <v>8</v>
      </c>
      <c r="D5268" s="107">
        <v>28.03</v>
      </c>
    </row>
    <row r="5269" spans="1:4" ht="38.25" x14ac:dyDescent="0.25">
      <c r="A5269" s="106">
        <v>87249</v>
      </c>
      <c r="B5269" s="105" t="s">
        <v>5058</v>
      </c>
      <c r="C5269" s="106" t="s">
        <v>8</v>
      </c>
      <c r="D5269" s="107">
        <v>41.89</v>
      </c>
    </row>
    <row r="5270" spans="1:4" ht="38.25" x14ac:dyDescent="0.25">
      <c r="A5270" s="106">
        <v>87250</v>
      </c>
      <c r="B5270" s="105" t="s">
        <v>5059</v>
      </c>
      <c r="C5270" s="106" t="s">
        <v>8</v>
      </c>
      <c r="D5270" s="107">
        <v>34.1</v>
      </c>
    </row>
    <row r="5271" spans="1:4" ht="38.25" x14ac:dyDescent="0.25">
      <c r="A5271" s="106">
        <v>87251</v>
      </c>
      <c r="B5271" s="105" t="s">
        <v>5060</v>
      </c>
      <c r="C5271" s="106" t="s">
        <v>8</v>
      </c>
      <c r="D5271" s="107">
        <v>29.01</v>
      </c>
    </row>
    <row r="5272" spans="1:4" ht="38.25" x14ac:dyDescent="0.25">
      <c r="A5272" s="106">
        <v>87255</v>
      </c>
      <c r="B5272" s="105" t="s">
        <v>5061</v>
      </c>
      <c r="C5272" s="106" t="s">
        <v>8</v>
      </c>
      <c r="D5272" s="107">
        <v>65.180000000000007</v>
      </c>
    </row>
    <row r="5273" spans="1:4" ht="38.25" x14ac:dyDescent="0.25">
      <c r="A5273" s="106">
        <v>87256</v>
      </c>
      <c r="B5273" s="105" t="s">
        <v>5062</v>
      </c>
      <c r="C5273" s="106" t="s">
        <v>8</v>
      </c>
      <c r="D5273" s="107">
        <v>56.02</v>
      </c>
    </row>
    <row r="5274" spans="1:4" ht="38.25" x14ac:dyDescent="0.25">
      <c r="A5274" s="106">
        <v>87257</v>
      </c>
      <c r="B5274" s="105" t="s">
        <v>363</v>
      </c>
      <c r="C5274" s="106" t="s">
        <v>8</v>
      </c>
      <c r="D5274" s="107">
        <v>50.08</v>
      </c>
    </row>
    <row r="5275" spans="1:4" ht="38.25" x14ac:dyDescent="0.25">
      <c r="A5275" s="104">
        <v>87258</v>
      </c>
      <c r="B5275" s="105" t="s">
        <v>5063</v>
      </c>
      <c r="C5275" s="106" t="s">
        <v>8</v>
      </c>
      <c r="D5275" s="107">
        <v>89.15</v>
      </c>
    </row>
    <row r="5276" spans="1:4" ht="38.25" x14ac:dyDescent="0.25">
      <c r="A5276" s="104">
        <v>87259</v>
      </c>
      <c r="B5276" s="105" t="s">
        <v>5064</v>
      </c>
      <c r="C5276" s="106" t="s">
        <v>8</v>
      </c>
      <c r="D5276" s="107">
        <v>80.489999999999995</v>
      </c>
    </row>
    <row r="5277" spans="1:4" ht="38.25" x14ac:dyDescent="0.25">
      <c r="A5277" s="104">
        <v>87260</v>
      </c>
      <c r="B5277" s="105" t="s">
        <v>5065</v>
      </c>
      <c r="C5277" s="106" t="s">
        <v>8</v>
      </c>
      <c r="D5277" s="107">
        <v>75.28</v>
      </c>
    </row>
    <row r="5278" spans="1:4" ht="38.25" x14ac:dyDescent="0.25">
      <c r="A5278" s="104">
        <v>87261</v>
      </c>
      <c r="B5278" s="105" t="s">
        <v>5066</v>
      </c>
      <c r="C5278" s="106" t="s">
        <v>8</v>
      </c>
      <c r="D5278" s="107">
        <v>101.09</v>
      </c>
    </row>
    <row r="5279" spans="1:4" ht="38.25" x14ac:dyDescent="0.25">
      <c r="A5279" s="104">
        <v>87262</v>
      </c>
      <c r="B5279" s="105" t="s">
        <v>5067</v>
      </c>
      <c r="C5279" s="106" t="s">
        <v>8</v>
      </c>
      <c r="D5279" s="107">
        <v>91.15</v>
      </c>
    </row>
    <row r="5280" spans="1:4" ht="38.25" x14ac:dyDescent="0.25">
      <c r="A5280" s="106">
        <v>87263</v>
      </c>
      <c r="B5280" s="105" t="s">
        <v>5068</v>
      </c>
      <c r="C5280" s="106" t="s">
        <v>8</v>
      </c>
      <c r="D5280" s="107">
        <v>85.02</v>
      </c>
    </row>
    <row r="5281" spans="1:4" ht="51" x14ac:dyDescent="0.25">
      <c r="A5281" s="106">
        <v>89046</v>
      </c>
      <c r="B5281" s="105" t="s">
        <v>5069</v>
      </c>
      <c r="C5281" s="106" t="s">
        <v>8</v>
      </c>
      <c r="D5281" s="107">
        <v>31.87</v>
      </c>
    </row>
    <row r="5282" spans="1:4" ht="51" x14ac:dyDescent="0.25">
      <c r="A5282" s="104">
        <v>89171</v>
      </c>
      <c r="B5282" s="105" t="s">
        <v>5070</v>
      </c>
      <c r="C5282" s="106" t="s">
        <v>8</v>
      </c>
      <c r="D5282" s="107">
        <v>29.88</v>
      </c>
    </row>
    <row r="5283" spans="1:4" ht="38.25" x14ac:dyDescent="0.25">
      <c r="A5283" s="106">
        <v>93389</v>
      </c>
      <c r="B5283" s="105" t="s">
        <v>5071</v>
      </c>
      <c r="C5283" s="106" t="s">
        <v>8</v>
      </c>
      <c r="D5283" s="107">
        <v>33.97</v>
      </c>
    </row>
    <row r="5284" spans="1:4" ht="38.25" x14ac:dyDescent="0.25">
      <c r="A5284" s="104">
        <v>93390</v>
      </c>
      <c r="B5284" s="105" t="s">
        <v>5072</v>
      </c>
      <c r="C5284" s="106" t="s">
        <v>8</v>
      </c>
      <c r="D5284" s="107">
        <v>29.12</v>
      </c>
    </row>
    <row r="5285" spans="1:4" ht="38.25" x14ac:dyDescent="0.25">
      <c r="A5285" s="104">
        <v>93391</v>
      </c>
      <c r="B5285" s="105" t="s">
        <v>5073</v>
      </c>
      <c r="C5285" s="106" t="s">
        <v>8</v>
      </c>
      <c r="D5285" s="107">
        <v>25.04</v>
      </c>
    </row>
    <row r="5286" spans="1:4" ht="25.5" x14ac:dyDescent="0.25">
      <c r="A5286" s="104" t="s">
        <v>5074</v>
      </c>
      <c r="B5286" s="105" t="s">
        <v>5075</v>
      </c>
      <c r="C5286" s="106" t="s">
        <v>8</v>
      </c>
      <c r="D5286" s="107">
        <v>183.9</v>
      </c>
    </row>
    <row r="5287" spans="1:4" ht="25.5" x14ac:dyDescent="0.25">
      <c r="A5287" s="104" t="s">
        <v>5076</v>
      </c>
      <c r="B5287" s="105" t="s">
        <v>5077</v>
      </c>
      <c r="C5287" s="106" t="s">
        <v>8</v>
      </c>
      <c r="D5287" s="107">
        <v>39.1</v>
      </c>
    </row>
    <row r="5288" spans="1:4" ht="25.5" x14ac:dyDescent="0.25">
      <c r="A5288" s="104">
        <v>84183</v>
      </c>
      <c r="B5288" s="105" t="s">
        <v>5078</v>
      </c>
      <c r="C5288" s="106" t="s">
        <v>8</v>
      </c>
      <c r="D5288" s="107">
        <v>130.44</v>
      </c>
    </row>
    <row r="5289" spans="1:4" ht="25.5" x14ac:dyDescent="0.25">
      <c r="A5289" s="104">
        <v>98670</v>
      </c>
      <c r="B5289" s="105" t="s">
        <v>5079</v>
      </c>
      <c r="C5289" s="106" t="s">
        <v>8</v>
      </c>
      <c r="D5289" s="107">
        <v>127.46</v>
      </c>
    </row>
    <row r="5290" spans="1:4" x14ac:dyDescent="0.25">
      <c r="A5290" s="104">
        <v>98671</v>
      </c>
      <c r="B5290" s="105" t="s">
        <v>5080</v>
      </c>
      <c r="C5290" s="106" t="s">
        <v>8</v>
      </c>
      <c r="D5290" s="107">
        <v>362.72</v>
      </c>
    </row>
    <row r="5291" spans="1:4" x14ac:dyDescent="0.25">
      <c r="A5291" s="104">
        <v>98672</v>
      </c>
      <c r="B5291" s="105" t="s">
        <v>5081</v>
      </c>
      <c r="C5291" s="106" t="s">
        <v>8</v>
      </c>
      <c r="D5291" s="107">
        <v>453.56</v>
      </c>
    </row>
    <row r="5292" spans="1:4" ht="25.5" x14ac:dyDescent="0.25">
      <c r="A5292" s="106">
        <v>98673</v>
      </c>
      <c r="B5292" s="105" t="s">
        <v>5082</v>
      </c>
      <c r="C5292" s="106" t="s">
        <v>8</v>
      </c>
      <c r="D5292" s="107">
        <v>154.11000000000001</v>
      </c>
    </row>
    <row r="5293" spans="1:4" ht="25.5" x14ac:dyDescent="0.25">
      <c r="A5293" s="104">
        <v>98679</v>
      </c>
      <c r="B5293" s="105" t="s">
        <v>5083</v>
      </c>
      <c r="C5293" s="106" t="s">
        <v>8</v>
      </c>
      <c r="D5293" s="107">
        <v>23.53</v>
      </c>
    </row>
    <row r="5294" spans="1:4" ht="25.5" x14ac:dyDescent="0.25">
      <c r="A5294" s="104">
        <v>98680</v>
      </c>
      <c r="B5294" s="105" t="s">
        <v>5084</v>
      </c>
      <c r="C5294" s="106" t="s">
        <v>8</v>
      </c>
      <c r="D5294" s="107">
        <v>29.48</v>
      </c>
    </row>
    <row r="5295" spans="1:4" ht="38.25" x14ac:dyDescent="0.25">
      <c r="A5295" s="104">
        <v>98681</v>
      </c>
      <c r="B5295" s="105" t="s">
        <v>5085</v>
      </c>
      <c r="C5295" s="106" t="s">
        <v>8</v>
      </c>
      <c r="D5295" s="107">
        <v>21.9</v>
      </c>
    </row>
    <row r="5296" spans="1:4" ht="38.25" x14ac:dyDescent="0.25">
      <c r="A5296" s="104">
        <v>98682</v>
      </c>
      <c r="B5296" s="105" t="s">
        <v>5086</v>
      </c>
      <c r="C5296" s="106" t="s">
        <v>8</v>
      </c>
      <c r="D5296" s="107">
        <v>27.84</v>
      </c>
    </row>
    <row r="5297" spans="1:4" x14ac:dyDescent="0.25">
      <c r="A5297" s="104">
        <v>98685</v>
      </c>
      <c r="B5297" s="105" t="s">
        <v>5087</v>
      </c>
      <c r="C5297" s="106" t="s">
        <v>16</v>
      </c>
      <c r="D5297" s="107">
        <v>65.39</v>
      </c>
    </row>
    <row r="5298" spans="1:4" x14ac:dyDescent="0.25">
      <c r="A5298" s="104">
        <v>98686</v>
      </c>
      <c r="B5298" s="105" t="s">
        <v>5088</v>
      </c>
      <c r="C5298" s="106" t="s">
        <v>16</v>
      </c>
      <c r="D5298" s="107">
        <v>28.79</v>
      </c>
    </row>
    <row r="5299" spans="1:4" x14ac:dyDescent="0.25">
      <c r="A5299" s="104">
        <v>98688</v>
      </c>
      <c r="B5299" s="105" t="s">
        <v>5089</v>
      </c>
      <c r="C5299" s="106" t="s">
        <v>16</v>
      </c>
      <c r="D5299" s="107">
        <v>35.549999999999997</v>
      </c>
    </row>
    <row r="5300" spans="1:4" ht="25.5" x14ac:dyDescent="0.25">
      <c r="A5300" s="104">
        <v>98689</v>
      </c>
      <c r="B5300" s="105" t="s">
        <v>5090</v>
      </c>
      <c r="C5300" s="106" t="s">
        <v>16</v>
      </c>
      <c r="D5300" s="107">
        <v>92.15</v>
      </c>
    </row>
    <row r="5301" spans="1:4" ht="38.25" x14ac:dyDescent="0.25">
      <c r="A5301" s="104">
        <v>101090</v>
      </c>
      <c r="B5301" s="105" t="s">
        <v>11585</v>
      </c>
      <c r="C5301" s="106" t="s">
        <v>8</v>
      </c>
      <c r="D5301" s="107">
        <v>134.15</v>
      </c>
    </row>
    <row r="5302" spans="1:4" ht="25.5" x14ac:dyDescent="0.25">
      <c r="A5302" s="104">
        <v>101091</v>
      </c>
      <c r="B5302" s="105" t="s">
        <v>11586</v>
      </c>
      <c r="C5302" s="106" t="s">
        <v>8</v>
      </c>
      <c r="D5302" s="107">
        <v>99.75</v>
      </c>
    </row>
    <row r="5303" spans="1:4" ht="25.5" x14ac:dyDescent="0.25">
      <c r="A5303" s="104">
        <v>72187</v>
      </c>
      <c r="B5303" s="105" t="s">
        <v>5091</v>
      </c>
      <c r="C5303" s="106" t="s">
        <v>8</v>
      </c>
      <c r="D5303" s="107">
        <v>198.67</v>
      </c>
    </row>
    <row r="5304" spans="1:4" ht="25.5" x14ac:dyDescent="0.25">
      <c r="A5304" s="104">
        <v>72188</v>
      </c>
      <c r="B5304" s="105" t="s">
        <v>5092</v>
      </c>
      <c r="C5304" s="106" t="s">
        <v>8</v>
      </c>
      <c r="D5304" s="107">
        <v>198.67</v>
      </c>
    </row>
    <row r="5305" spans="1:4" x14ac:dyDescent="0.25">
      <c r="A5305" s="104" t="s">
        <v>5093</v>
      </c>
      <c r="B5305" s="105" t="s">
        <v>5094</v>
      </c>
      <c r="C5305" s="106" t="s">
        <v>8</v>
      </c>
      <c r="D5305" s="107">
        <v>180.58</v>
      </c>
    </row>
    <row r="5306" spans="1:4" x14ac:dyDescent="0.25">
      <c r="A5306" s="104">
        <v>84186</v>
      </c>
      <c r="B5306" s="105" t="s">
        <v>5095</v>
      </c>
      <c r="C5306" s="106" t="s">
        <v>8</v>
      </c>
      <c r="D5306" s="107">
        <v>75.16</v>
      </c>
    </row>
    <row r="5307" spans="1:4" ht="25.5" x14ac:dyDescent="0.25">
      <c r="A5307" s="104">
        <v>84187</v>
      </c>
      <c r="B5307" s="105" t="s">
        <v>5096</v>
      </c>
      <c r="C5307" s="106" t="s">
        <v>8</v>
      </c>
      <c r="D5307" s="107">
        <v>10.45</v>
      </c>
    </row>
    <row r="5308" spans="1:4" ht="25.5" x14ac:dyDescent="0.25">
      <c r="A5308" s="104">
        <v>101094</v>
      </c>
      <c r="B5308" s="105" t="s">
        <v>11587</v>
      </c>
      <c r="C5308" s="106" t="s">
        <v>16</v>
      </c>
      <c r="D5308" s="107">
        <v>129.41</v>
      </c>
    </row>
    <row r="5309" spans="1:4" x14ac:dyDescent="0.25">
      <c r="A5309" s="104">
        <v>72815</v>
      </c>
      <c r="B5309" s="105" t="s">
        <v>5097</v>
      </c>
      <c r="C5309" s="106" t="s">
        <v>8</v>
      </c>
      <c r="D5309" s="107">
        <v>44.94</v>
      </c>
    </row>
    <row r="5310" spans="1:4" ht="25.5" x14ac:dyDescent="0.25">
      <c r="A5310" s="104">
        <v>84191</v>
      </c>
      <c r="B5310" s="105" t="s">
        <v>5098</v>
      </c>
      <c r="C5310" s="106" t="s">
        <v>8</v>
      </c>
      <c r="D5310" s="107">
        <v>96.14</v>
      </c>
    </row>
    <row r="5311" spans="1:4" ht="25.5" x14ac:dyDescent="0.25">
      <c r="A5311" s="104">
        <v>101092</v>
      </c>
      <c r="B5311" s="105" t="s">
        <v>11588</v>
      </c>
      <c r="C5311" s="106" t="s">
        <v>8</v>
      </c>
      <c r="D5311" s="107">
        <v>369.95</v>
      </c>
    </row>
    <row r="5312" spans="1:4" ht="25.5" x14ac:dyDescent="0.25">
      <c r="A5312" s="104">
        <v>101093</v>
      </c>
      <c r="B5312" s="105" t="s">
        <v>11589</v>
      </c>
      <c r="C5312" s="106" t="s">
        <v>8</v>
      </c>
      <c r="D5312" s="107">
        <v>460.79</v>
      </c>
    </row>
    <row r="5313" spans="1:4" ht="25.5" x14ac:dyDescent="0.25">
      <c r="A5313" s="104" t="s">
        <v>5099</v>
      </c>
      <c r="B5313" s="105" t="s">
        <v>5100</v>
      </c>
      <c r="C5313" s="106" t="s">
        <v>16</v>
      </c>
      <c r="D5313" s="107">
        <v>38.22</v>
      </c>
    </row>
    <row r="5314" spans="1:4" ht="25.5" x14ac:dyDescent="0.25">
      <c r="A5314" s="106">
        <v>98695</v>
      </c>
      <c r="B5314" s="105" t="s">
        <v>5101</v>
      </c>
      <c r="C5314" s="106" t="s">
        <v>16</v>
      </c>
      <c r="D5314" s="107">
        <v>78.5</v>
      </c>
    </row>
    <row r="5315" spans="1:4" x14ac:dyDescent="0.25">
      <c r="A5315" s="106">
        <v>98697</v>
      </c>
      <c r="B5315" s="105" t="s">
        <v>5102</v>
      </c>
      <c r="C5315" s="106" t="s">
        <v>16</v>
      </c>
      <c r="D5315" s="107">
        <v>52.35</v>
      </c>
    </row>
    <row r="5316" spans="1:4" x14ac:dyDescent="0.25">
      <c r="A5316" s="104" t="s">
        <v>5103</v>
      </c>
      <c r="B5316" s="105" t="s">
        <v>5104</v>
      </c>
      <c r="C5316" s="106" t="s">
        <v>16</v>
      </c>
      <c r="D5316" s="107">
        <v>15.83</v>
      </c>
    </row>
    <row r="5317" spans="1:4" x14ac:dyDescent="0.25">
      <c r="A5317" s="104">
        <v>84162</v>
      </c>
      <c r="B5317" s="105" t="s">
        <v>5105</v>
      </c>
      <c r="C5317" s="106" t="s">
        <v>16</v>
      </c>
      <c r="D5317" s="107">
        <v>16.97</v>
      </c>
    </row>
    <row r="5318" spans="1:4" ht="25.5" x14ac:dyDescent="0.25">
      <c r="A5318" s="104">
        <v>88648</v>
      </c>
      <c r="B5318" s="105" t="s">
        <v>5106</v>
      </c>
      <c r="C5318" s="106" t="s">
        <v>16</v>
      </c>
      <c r="D5318" s="107">
        <v>4.43</v>
      </c>
    </row>
    <row r="5319" spans="1:4" ht="25.5" x14ac:dyDescent="0.25">
      <c r="A5319" s="104">
        <v>88649</v>
      </c>
      <c r="B5319" s="105" t="s">
        <v>5107</v>
      </c>
      <c r="C5319" s="106" t="s">
        <v>16</v>
      </c>
      <c r="D5319" s="107">
        <v>4.95</v>
      </c>
    </row>
    <row r="5320" spans="1:4" ht="25.5" x14ac:dyDescent="0.25">
      <c r="A5320" s="104">
        <v>88650</v>
      </c>
      <c r="B5320" s="105" t="s">
        <v>5108</v>
      </c>
      <c r="C5320" s="106" t="s">
        <v>16</v>
      </c>
      <c r="D5320" s="107">
        <v>8.99</v>
      </c>
    </row>
    <row r="5321" spans="1:4" ht="38.25" x14ac:dyDescent="0.25">
      <c r="A5321" s="104">
        <v>96467</v>
      </c>
      <c r="B5321" s="105" t="s">
        <v>5109</v>
      </c>
      <c r="C5321" s="106" t="s">
        <v>16</v>
      </c>
      <c r="D5321" s="107">
        <v>4.09</v>
      </c>
    </row>
    <row r="5322" spans="1:4" x14ac:dyDescent="0.25">
      <c r="A5322" s="104" t="s">
        <v>5110</v>
      </c>
      <c r="B5322" s="105" t="s">
        <v>5111</v>
      </c>
      <c r="C5322" s="106" t="s">
        <v>16</v>
      </c>
      <c r="D5322" s="107">
        <v>22.44</v>
      </c>
    </row>
    <row r="5323" spans="1:4" ht="25.5" x14ac:dyDescent="0.25">
      <c r="A5323" s="104">
        <v>84168</v>
      </c>
      <c r="B5323" s="105" t="s">
        <v>5112</v>
      </c>
      <c r="C5323" s="106" t="s">
        <v>16</v>
      </c>
      <c r="D5323" s="107">
        <v>17.3</v>
      </c>
    </row>
    <row r="5324" spans="1:4" ht="25.5" x14ac:dyDescent="0.25">
      <c r="A5324" s="104">
        <v>68325</v>
      </c>
      <c r="B5324" s="105" t="s">
        <v>5113</v>
      </c>
      <c r="C5324" s="106" t="s">
        <v>8</v>
      </c>
      <c r="D5324" s="107">
        <v>40.98</v>
      </c>
    </row>
    <row r="5325" spans="1:4" ht="25.5" x14ac:dyDescent="0.25">
      <c r="A5325" s="104">
        <v>68333</v>
      </c>
      <c r="B5325" s="105" t="s">
        <v>5114</v>
      </c>
      <c r="C5325" s="106" t="s">
        <v>8</v>
      </c>
      <c r="D5325" s="107">
        <v>42.23</v>
      </c>
    </row>
    <row r="5326" spans="1:4" ht="25.5" x14ac:dyDescent="0.25">
      <c r="A5326" s="104">
        <v>72183</v>
      </c>
      <c r="B5326" s="105" t="s">
        <v>5115</v>
      </c>
      <c r="C5326" s="106" t="s">
        <v>8</v>
      </c>
      <c r="D5326" s="107">
        <v>74.89</v>
      </c>
    </row>
    <row r="5327" spans="1:4" ht="38.25" x14ac:dyDescent="0.25">
      <c r="A5327" s="104">
        <v>94990</v>
      </c>
      <c r="B5327" s="105" t="s">
        <v>5116</v>
      </c>
      <c r="C5327" s="106" t="s">
        <v>13</v>
      </c>
      <c r="D5327" s="107">
        <v>530.04</v>
      </c>
    </row>
    <row r="5328" spans="1:4" ht="38.25" x14ac:dyDescent="0.25">
      <c r="A5328" s="104">
        <v>94991</v>
      </c>
      <c r="B5328" s="105" t="s">
        <v>382</v>
      </c>
      <c r="C5328" s="106" t="s">
        <v>13</v>
      </c>
      <c r="D5328" s="107">
        <v>542.59</v>
      </c>
    </row>
    <row r="5329" spans="1:4" ht="38.25" x14ac:dyDescent="0.25">
      <c r="A5329" s="104">
        <v>94992</v>
      </c>
      <c r="B5329" s="105" t="s">
        <v>5117</v>
      </c>
      <c r="C5329" s="106" t="s">
        <v>8</v>
      </c>
      <c r="D5329" s="107">
        <v>58.28</v>
      </c>
    </row>
    <row r="5330" spans="1:4" ht="38.25" x14ac:dyDescent="0.25">
      <c r="A5330" s="104">
        <v>94993</v>
      </c>
      <c r="B5330" s="105" t="s">
        <v>5118</v>
      </c>
      <c r="C5330" s="106" t="s">
        <v>8</v>
      </c>
      <c r="D5330" s="107">
        <v>59.04</v>
      </c>
    </row>
    <row r="5331" spans="1:4" ht="38.25" x14ac:dyDescent="0.25">
      <c r="A5331" s="106">
        <v>94994</v>
      </c>
      <c r="B5331" s="105" t="s">
        <v>5119</v>
      </c>
      <c r="C5331" s="106" t="s">
        <v>8</v>
      </c>
      <c r="D5331" s="107">
        <v>69.819999999999993</v>
      </c>
    </row>
    <row r="5332" spans="1:4" ht="38.25" x14ac:dyDescent="0.25">
      <c r="A5332" s="104">
        <v>94995</v>
      </c>
      <c r="B5332" s="105" t="s">
        <v>383</v>
      </c>
      <c r="C5332" s="106" t="s">
        <v>8</v>
      </c>
      <c r="D5332" s="107">
        <v>70.819999999999993</v>
      </c>
    </row>
    <row r="5333" spans="1:4" ht="38.25" x14ac:dyDescent="0.25">
      <c r="A5333" s="104">
        <v>94996</v>
      </c>
      <c r="B5333" s="105" t="s">
        <v>5120</v>
      </c>
      <c r="C5333" s="106" t="s">
        <v>8</v>
      </c>
      <c r="D5333" s="107">
        <v>80.59</v>
      </c>
    </row>
    <row r="5334" spans="1:4" ht="38.25" x14ac:dyDescent="0.25">
      <c r="A5334" s="104">
        <v>94997</v>
      </c>
      <c r="B5334" s="105" t="s">
        <v>5121</v>
      </c>
      <c r="C5334" s="106" t="s">
        <v>8</v>
      </c>
      <c r="D5334" s="107">
        <v>81.849999999999994</v>
      </c>
    </row>
    <row r="5335" spans="1:4" ht="38.25" x14ac:dyDescent="0.25">
      <c r="A5335" s="104">
        <v>94998</v>
      </c>
      <c r="B5335" s="105" t="s">
        <v>5122</v>
      </c>
      <c r="C5335" s="106" t="s">
        <v>8</v>
      </c>
      <c r="D5335" s="107">
        <v>91.1</v>
      </c>
    </row>
    <row r="5336" spans="1:4" ht="38.25" x14ac:dyDescent="0.25">
      <c r="A5336" s="104">
        <v>94999</v>
      </c>
      <c r="B5336" s="105" t="s">
        <v>5123</v>
      </c>
      <c r="C5336" s="106" t="s">
        <v>8</v>
      </c>
      <c r="D5336" s="107">
        <v>92.6</v>
      </c>
    </row>
    <row r="5337" spans="1:4" ht="38.25" x14ac:dyDescent="0.25">
      <c r="A5337" s="104">
        <v>87620</v>
      </c>
      <c r="B5337" s="105" t="s">
        <v>5124</v>
      </c>
      <c r="C5337" s="106" t="s">
        <v>8</v>
      </c>
      <c r="D5337" s="107">
        <v>22.47</v>
      </c>
    </row>
    <row r="5338" spans="1:4" ht="38.25" x14ac:dyDescent="0.25">
      <c r="A5338" s="106">
        <v>87622</v>
      </c>
      <c r="B5338" s="105" t="s">
        <v>5125</v>
      </c>
      <c r="C5338" s="106" t="s">
        <v>8</v>
      </c>
      <c r="D5338" s="107">
        <v>25.26</v>
      </c>
    </row>
    <row r="5339" spans="1:4" ht="38.25" x14ac:dyDescent="0.25">
      <c r="A5339" s="104">
        <v>87623</v>
      </c>
      <c r="B5339" s="105" t="s">
        <v>5126</v>
      </c>
      <c r="C5339" s="106" t="s">
        <v>8</v>
      </c>
      <c r="D5339" s="107">
        <v>59.89</v>
      </c>
    </row>
    <row r="5340" spans="1:4" ht="25.5" x14ac:dyDescent="0.25">
      <c r="A5340" s="104">
        <v>87624</v>
      </c>
      <c r="B5340" s="105" t="s">
        <v>5127</v>
      </c>
      <c r="C5340" s="106" t="s">
        <v>8</v>
      </c>
      <c r="D5340" s="107">
        <v>64.84</v>
      </c>
    </row>
    <row r="5341" spans="1:4" ht="38.25" x14ac:dyDescent="0.25">
      <c r="A5341" s="106">
        <v>87630</v>
      </c>
      <c r="B5341" s="105" t="s">
        <v>5128</v>
      </c>
      <c r="C5341" s="106" t="s">
        <v>8</v>
      </c>
      <c r="D5341" s="107">
        <v>28.01</v>
      </c>
    </row>
    <row r="5342" spans="1:4" ht="38.25" x14ac:dyDescent="0.25">
      <c r="A5342" s="104">
        <v>87632</v>
      </c>
      <c r="B5342" s="105" t="s">
        <v>5129</v>
      </c>
      <c r="C5342" s="106" t="s">
        <v>8</v>
      </c>
      <c r="D5342" s="107">
        <v>31.9</v>
      </c>
    </row>
    <row r="5343" spans="1:4" ht="38.25" x14ac:dyDescent="0.25">
      <c r="A5343" s="104">
        <v>87633</v>
      </c>
      <c r="B5343" s="105" t="s">
        <v>5130</v>
      </c>
      <c r="C5343" s="106" t="s">
        <v>8</v>
      </c>
      <c r="D5343" s="107">
        <v>80.040000000000006</v>
      </c>
    </row>
    <row r="5344" spans="1:4" ht="25.5" x14ac:dyDescent="0.25">
      <c r="A5344" s="104">
        <v>87634</v>
      </c>
      <c r="B5344" s="105" t="s">
        <v>5131</v>
      </c>
      <c r="C5344" s="106" t="s">
        <v>8</v>
      </c>
      <c r="D5344" s="107">
        <v>86.92</v>
      </c>
    </row>
    <row r="5345" spans="1:4" ht="38.25" x14ac:dyDescent="0.25">
      <c r="A5345" s="104">
        <v>87640</v>
      </c>
      <c r="B5345" s="105" t="s">
        <v>356</v>
      </c>
      <c r="C5345" s="106" t="s">
        <v>8</v>
      </c>
      <c r="D5345" s="107">
        <v>32.47</v>
      </c>
    </row>
    <row r="5346" spans="1:4" ht="38.25" x14ac:dyDescent="0.25">
      <c r="A5346" s="104">
        <v>87642</v>
      </c>
      <c r="B5346" s="105" t="s">
        <v>5132</v>
      </c>
      <c r="C5346" s="106" t="s">
        <v>8</v>
      </c>
      <c r="D5346" s="107">
        <v>37.24</v>
      </c>
    </row>
    <row r="5347" spans="1:4" ht="38.25" x14ac:dyDescent="0.25">
      <c r="A5347" s="106">
        <v>87643</v>
      </c>
      <c r="B5347" s="105" t="s">
        <v>5133</v>
      </c>
      <c r="C5347" s="106" t="s">
        <v>8</v>
      </c>
      <c r="D5347" s="107">
        <v>96.45</v>
      </c>
    </row>
    <row r="5348" spans="1:4" ht="25.5" x14ac:dyDescent="0.25">
      <c r="A5348" s="104">
        <v>87644</v>
      </c>
      <c r="B5348" s="105" t="s">
        <v>5134</v>
      </c>
      <c r="C5348" s="106" t="s">
        <v>8</v>
      </c>
      <c r="D5348" s="107">
        <v>104.91</v>
      </c>
    </row>
    <row r="5349" spans="1:4" ht="38.25" x14ac:dyDescent="0.25">
      <c r="A5349" s="104">
        <v>87680</v>
      </c>
      <c r="B5349" s="105" t="s">
        <v>5135</v>
      </c>
      <c r="C5349" s="106" t="s">
        <v>8</v>
      </c>
      <c r="D5349" s="107">
        <v>27.12</v>
      </c>
    </row>
    <row r="5350" spans="1:4" ht="38.25" x14ac:dyDescent="0.25">
      <c r="A5350" s="104">
        <v>87682</v>
      </c>
      <c r="B5350" s="105" t="s">
        <v>5136</v>
      </c>
      <c r="C5350" s="106" t="s">
        <v>8</v>
      </c>
      <c r="D5350" s="107">
        <v>31.89</v>
      </c>
    </row>
    <row r="5351" spans="1:4" ht="38.25" x14ac:dyDescent="0.25">
      <c r="A5351" s="104">
        <v>87683</v>
      </c>
      <c r="B5351" s="105" t="s">
        <v>5137</v>
      </c>
      <c r="C5351" s="106" t="s">
        <v>8</v>
      </c>
      <c r="D5351" s="107">
        <v>91.1</v>
      </c>
    </row>
    <row r="5352" spans="1:4" ht="38.25" x14ac:dyDescent="0.25">
      <c r="A5352" s="104">
        <v>87684</v>
      </c>
      <c r="B5352" s="105" t="s">
        <v>5138</v>
      </c>
      <c r="C5352" s="106" t="s">
        <v>8</v>
      </c>
      <c r="D5352" s="107">
        <v>99.56</v>
      </c>
    </row>
    <row r="5353" spans="1:4" ht="38.25" x14ac:dyDescent="0.25">
      <c r="A5353" s="104">
        <v>87690</v>
      </c>
      <c r="B5353" s="105" t="s">
        <v>357</v>
      </c>
      <c r="C5353" s="106" t="s">
        <v>8</v>
      </c>
      <c r="D5353" s="107">
        <v>31.5</v>
      </c>
    </row>
    <row r="5354" spans="1:4" ht="38.25" x14ac:dyDescent="0.25">
      <c r="A5354" s="104">
        <v>87692</v>
      </c>
      <c r="B5354" s="105" t="s">
        <v>5139</v>
      </c>
      <c r="C5354" s="106" t="s">
        <v>8</v>
      </c>
      <c r="D5354" s="107">
        <v>36.97</v>
      </c>
    </row>
    <row r="5355" spans="1:4" ht="38.25" x14ac:dyDescent="0.25">
      <c r="A5355" s="104">
        <v>87693</v>
      </c>
      <c r="B5355" s="105" t="s">
        <v>5140</v>
      </c>
      <c r="C5355" s="106" t="s">
        <v>8</v>
      </c>
      <c r="D5355" s="107">
        <v>104.78</v>
      </c>
    </row>
    <row r="5356" spans="1:4" ht="38.25" x14ac:dyDescent="0.25">
      <c r="A5356" s="104">
        <v>87694</v>
      </c>
      <c r="B5356" s="105" t="s">
        <v>5141</v>
      </c>
      <c r="C5356" s="106" t="s">
        <v>8</v>
      </c>
      <c r="D5356" s="107">
        <v>114.46</v>
      </c>
    </row>
    <row r="5357" spans="1:4" ht="38.25" x14ac:dyDescent="0.25">
      <c r="A5357" s="104">
        <v>87700</v>
      </c>
      <c r="B5357" s="105" t="s">
        <v>5142</v>
      </c>
      <c r="C5357" s="106" t="s">
        <v>8</v>
      </c>
      <c r="D5357" s="107">
        <v>34.03</v>
      </c>
    </row>
    <row r="5358" spans="1:4" ht="38.25" x14ac:dyDescent="0.25">
      <c r="A5358" s="104">
        <v>87702</v>
      </c>
      <c r="B5358" s="105" t="s">
        <v>5143</v>
      </c>
      <c r="C5358" s="106" t="s">
        <v>8</v>
      </c>
      <c r="D5358" s="107">
        <v>39.979999999999997</v>
      </c>
    </row>
    <row r="5359" spans="1:4" ht="38.25" x14ac:dyDescent="0.25">
      <c r="A5359" s="104">
        <v>87703</v>
      </c>
      <c r="B5359" s="105" t="s">
        <v>5144</v>
      </c>
      <c r="C5359" s="106" t="s">
        <v>8</v>
      </c>
      <c r="D5359" s="107">
        <v>113.82</v>
      </c>
    </row>
    <row r="5360" spans="1:4" ht="38.25" x14ac:dyDescent="0.25">
      <c r="A5360" s="104">
        <v>87704</v>
      </c>
      <c r="B5360" s="105" t="s">
        <v>5145</v>
      </c>
      <c r="C5360" s="106" t="s">
        <v>8</v>
      </c>
      <c r="D5360" s="107">
        <v>124.37</v>
      </c>
    </row>
    <row r="5361" spans="1:4" ht="38.25" x14ac:dyDescent="0.25">
      <c r="A5361" s="104">
        <v>87735</v>
      </c>
      <c r="B5361" s="105" t="s">
        <v>5146</v>
      </c>
      <c r="C5361" s="106" t="s">
        <v>8</v>
      </c>
      <c r="D5361" s="107">
        <v>29.94</v>
      </c>
    </row>
    <row r="5362" spans="1:4" ht="38.25" x14ac:dyDescent="0.25">
      <c r="A5362" s="104">
        <v>87737</v>
      </c>
      <c r="B5362" s="105" t="s">
        <v>5147</v>
      </c>
      <c r="C5362" s="106" t="s">
        <v>8</v>
      </c>
      <c r="D5362" s="107">
        <v>32.729999999999997</v>
      </c>
    </row>
    <row r="5363" spans="1:4" ht="38.25" x14ac:dyDescent="0.25">
      <c r="A5363" s="104">
        <v>87738</v>
      </c>
      <c r="B5363" s="105" t="s">
        <v>5148</v>
      </c>
      <c r="C5363" s="106" t="s">
        <v>8</v>
      </c>
      <c r="D5363" s="107">
        <v>67.36</v>
      </c>
    </row>
    <row r="5364" spans="1:4" ht="38.25" x14ac:dyDescent="0.25">
      <c r="A5364" s="104">
        <v>87739</v>
      </c>
      <c r="B5364" s="105" t="s">
        <v>5149</v>
      </c>
      <c r="C5364" s="106" t="s">
        <v>8</v>
      </c>
      <c r="D5364" s="107">
        <v>72.31</v>
      </c>
    </row>
    <row r="5365" spans="1:4" ht="38.25" x14ac:dyDescent="0.25">
      <c r="A5365" s="104">
        <v>87745</v>
      </c>
      <c r="B5365" s="105" t="s">
        <v>5150</v>
      </c>
      <c r="C5365" s="106" t="s">
        <v>8</v>
      </c>
      <c r="D5365" s="107">
        <v>35.479999999999997</v>
      </c>
    </row>
    <row r="5366" spans="1:4" ht="38.25" x14ac:dyDescent="0.25">
      <c r="A5366" s="104">
        <v>87747</v>
      </c>
      <c r="B5366" s="105" t="s">
        <v>5151</v>
      </c>
      <c r="C5366" s="106" t="s">
        <v>8</v>
      </c>
      <c r="D5366" s="107">
        <v>39.369999999999997</v>
      </c>
    </row>
    <row r="5367" spans="1:4" ht="38.25" x14ac:dyDescent="0.25">
      <c r="A5367" s="104">
        <v>87748</v>
      </c>
      <c r="B5367" s="105" t="s">
        <v>5152</v>
      </c>
      <c r="C5367" s="106" t="s">
        <v>8</v>
      </c>
      <c r="D5367" s="107">
        <v>87.51</v>
      </c>
    </row>
    <row r="5368" spans="1:4" ht="38.25" x14ac:dyDescent="0.25">
      <c r="A5368" s="104">
        <v>87749</v>
      </c>
      <c r="B5368" s="105" t="s">
        <v>5153</v>
      </c>
      <c r="C5368" s="106" t="s">
        <v>8</v>
      </c>
      <c r="D5368" s="107">
        <v>94.39</v>
      </c>
    </row>
    <row r="5369" spans="1:4" ht="38.25" x14ac:dyDescent="0.25">
      <c r="A5369" s="104">
        <v>87755</v>
      </c>
      <c r="B5369" s="105" t="s">
        <v>5154</v>
      </c>
      <c r="C5369" s="106" t="s">
        <v>8</v>
      </c>
      <c r="D5369" s="107">
        <v>32.869999999999997</v>
      </c>
    </row>
    <row r="5370" spans="1:4" ht="38.25" x14ac:dyDescent="0.25">
      <c r="A5370" s="104">
        <v>87757</v>
      </c>
      <c r="B5370" s="105" t="s">
        <v>5155</v>
      </c>
      <c r="C5370" s="106" t="s">
        <v>8</v>
      </c>
      <c r="D5370" s="107">
        <v>36.76</v>
      </c>
    </row>
    <row r="5371" spans="1:4" ht="38.25" x14ac:dyDescent="0.25">
      <c r="A5371" s="104">
        <v>87758</v>
      </c>
      <c r="B5371" s="105" t="s">
        <v>5156</v>
      </c>
      <c r="C5371" s="106" t="s">
        <v>8</v>
      </c>
      <c r="D5371" s="107">
        <v>84.9</v>
      </c>
    </row>
    <row r="5372" spans="1:4" ht="38.25" x14ac:dyDescent="0.25">
      <c r="A5372" s="104">
        <v>87759</v>
      </c>
      <c r="B5372" s="105" t="s">
        <v>5157</v>
      </c>
      <c r="C5372" s="106" t="s">
        <v>8</v>
      </c>
      <c r="D5372" s="107">
        <v>91.78</v>
      </c>
    </row>
    <row r="5373" spans="1:4" ht="38.25" x14ac:dyDescent="0.25">
      <c r="A5373" s="104">
        <v>87765</v>
      </c>
      <c r="B5373" s="105" t="s">
        <v>355</v>
      </c>
      <c r="C5373" s="106" t="s">
        <v>8</v>
      </c>
      <c r="D5373" s="107">
        <v>37.33</v>
      </c>
    </row>
    <row r="5374" spans="1:4" ht="38.25" x14ac:dyDescent="0.25">
      <c r="A5374" s="104">
        <v>87767</v>
      </c>
      <c r="B5374" s="105" t="s">
        <v>5158</v>
      </c>
      <c r="C5374" s="106" t="s">
        <v>8</v>
      </c>
      <c r="D5374" s="107">
        <v>42.1</v>
      </c>
    </row>
    <row r="5375" spans="1:4" ht="38.25" x14ac:dyDescent="0.25">
      <c r="A5375" s="104">
        <v>87768</v>
      </c>
      <c r="B5375" s="105" t="s">
        <v>5159</v>
      </c>
      <c r="C5375" s="106" t="s">
        <v>8</v>
      </c>
      <c r="D5375" s="107">
        <v>101.31</v>
      </c>
    </row>
    <row r="5376" spans="1:4" ht="38.25" x14ac:dyDescent="0.25">
      <c r="A5376" s="104">
        <v>87769</v>
      </c>
      <c r="B5376" s="105" t="s">
        <v>5160</v>
      </c>
      <c r="C5376" s="106" t="s">
        <v>8</v>
      </c>
      <c r="D5376" s="107">
        <v>109.77</v>
      </c>
    </row>
    <row r="5377" spans="1:4" ht="25.5" x14ac:dyDescent="0.25">
      <c r="A5377" s="104">
        <v>88470</v>
      </c>
      <c r="B5377" s="105" t="s">
        <v>5161</v>
      </c>
      <c r="C5377" s="106" t="s">
        <v>8</v>
      </c>
      <c r="D5377" s="107">
        <v>20.77</v>
      </c>
    </row>
    <row r="5378" spans="1:4" ht="25.5" x14ac:dyDescent="0.25">
      <c r="A5378" s="104">
        <v>88471</v>
      </c>
      <c r="B5378" s="105" t="s">
        <v>5162</v>
      </c>
      <c r="C5378" s="106" t="s">
        <v>8</v>
      </c>
      <c r="D5378" s="107">
        <v>25.68</v>
      </c>
    </row>
    <row r="5379" spans="1:4" ht="25.5" x14ac:dyDescent="0.25">
      <c r="A5379" s="104">
        <v>88472</v>
      </c>
      <c r="B5379" s="105" t="s">
        <v>5163</v>
      </c>
      <c r="C5379" s="106" t="s">
        <v>8</v>
      </c>
      <c r="D5379" s="107">
        <v>29.51</v>
      </c>
    </row>
    <row r="5380" spans="1:4" ht="25.5" x14ac:dyDescent="0.25">
      <c r="A5380" s="104">
        <v>88476</v>
      </c>
      <c r="B5380" s="105" t="s">
        <v>5164</v>
      </c>
      <c r="C5380" s="106" t="s">
        <v>8</v>
      </c>
      <c r="D5380" s="107">
        <v>16.54</v>
      </c>
    </row>
    <row r="5381" spans="1:4" ht="25.5" x14ac:dyDescent="0.25">
      <c r="A5381" s="104">
        <v>88477</v>
      </c>
      <c r="B5381" s="105" t="s">
        <v>5165</v>
      </c>
      <c r="C5381" s="106" t="s">
        <v>8</v>
      </c>
      <c r="D5381" s="107">
        <v>22.81</v>
      </c>
    </row>
    <row r="5382" spans="1:4" ht="25.5" x14ac:dyDescent="0.25">
      <c r="A5382" s="104">
        <v>88478</v>
      </c>
      <c r="B5382" s="105" t="s">
        <v>5166</v>
      </c>
      <c r="C5382" s="106" t="s">
        <v>8</v>
      </c>
      <c r="D5382" s="107">
        <v>27.89</v>
      </c>
    </row>
    <row r="5383" spans="1:4" ht="38.25" x14ac:dyDescent="0.25">
      <c r="A5383" s="104">
        <v>90900</v>
      </c>
      <c r="B5383" s="105" t="s">
        <v>5167</v>
      </c>
      <c r="C5383" s="106" t="s">
        <v>8</v>
      </c>
      <c r="D5383" s="107">
        <v>56.01</v>
      </c>
    </row>
    <row r="5384" spans="1:4" ht="38.25" x14ac:dyDescent="0.25">
      <c r="A5384" s="104">
        <v>90902</v>
      </c>
      <c r="B5384" s="105" t="s">
        <v>5168</v>
      </c>
      <c r="C5384" s="106" t="s">
        <v>8</v>
      </c>
      <c r="D5384" s="107">
        <v>61.48</v>
      </c>
    </row>
    <row r="5385" spans="1:4" ht="38.25" x14ac:dyDescent="0.25">
      <c r="A5385" s="104">
        <v>90903</v>
      </c>
      <c r="B5385" s="105" t="s">
        <v>5169</v>
      </c>
      <c r="C5385" s="106" t="s">
        <v>8</v>
      </c>
      <c r="D5385" s="107">
        <v>129.29</v>
      </c>
    </row>
    <row r="5386" spans="1:4" ht="38.25" x14ac:dyDescent="0.25">
      <c r="A5386" s="104">
        <v>90904</v>
      </c>
      <c r="B5386" s="105" t="s">
        <v>5170</v>
      </c>
      <c r="C5386" s="106" t="s">
        <v>8</v>
      </c>
      <c r="D5386" s="107">
        <v>138.97</v>
      </c>
    </row>
    <row r="5387" spans="1:4" ht="38.25" x14ac:dyDescent="0.25">
      <c r="A5387" s="104">
        <v>90910</v>
      </c>
      <c r="B5387" s="105" t="s">
        <v>5171</v>
      </c>
      <c r="C5387" s="106" t="s">
        <v>8</v>
      </c>
      <c r="D5387" s="107">
        <v>59.22</v>
      </c>
    </row>
    <row r="5388" spans="1:4" ht="38.25" x14ac:dyDescent="0.25">
      <c r="A5388" s="104">
        <v>90912</v>
      </c>
      <c r="B5388" s="105" t="s">
        <v>5172</v>
      </c>
      <c r="C5388" s="106" t="s">
        <v>8</v>
      </c>
      <c r="D5388" s="107">
        <v>65.17</v>
      </c>
    </row>
    <row r="5389" spans="1:4" ht="38.25" x14ac:dyDescent="0.25">
      <c r="A5389" s="104">
        <v>90913</v>
      </c>
      <c r="B5389" s="105" t="s">
        <v>5173</v>
      </c>
      <c r="C5389" s="106" t="s">
        <v>8</v>
      </c>
      <c r="D5389" s="107">
        <v>139.01</v>
      </c>
    </row>
    <row r="5390" spans="1:4" ht="38.25" x14ac:dyDescent="0.25">
      <c r="A5390" s="104">
        <v>90914</v>
      </c>
      <c r="B5390" s="105" t="s">
        <v>5174</v>
      </c>
      <c r="C5390" s="106" t="s">
        <v>8</v>
      </c>
      <c r="D5390" s="107">
        <v>149.56</v>
      </c>
    </row>
    <row r="5391" spans="1:4" ht="38.25" x14ac:dyDescent="0.25">
      <c r="A5391" s="104">
        <v>90920</v>
      </c>
      <c r="B5391" s="105" t="s">
        <v>5175</v>
      </c>
      <c r="C5391" s="106" t="s">
        <v>8</v>
      </c>
      <c r="D5391" s="107">
        <v>65.12</v>
      </c>
    </row>
    <row r="5392" spans="1:4" ht="38.25" x14ac:dyDescent="0.25">
      <c r="A5392" s="104">
        <v>90922</v>
      </c>
      <c r="B5392" s="105" t="s">
        <v>5176</v>
      </c>
      <c r="C5392" s="106" t="s">
        <v>8</v>
      </c>
      <c r="D5392" s="107">
        <v>71.97</v>
      </c>
    </row>
    <row r="5393" spans="1:4" ht="38.25" x14ac:dyDescent="0.25">
      <c r="A5393" s="104">
        <v>90923</v>
      </c>
      <c r="B5393" s="105" t="s">
        <v>5177</v>
      </c>
      <c r="C5393" s="106" t="s">
        <v>8</v>
      </c>
      <c r="D5393" s="107">
        <v>156.87</v>
      </c>
    </row>
    <row r="5394" spans="1:4" ht="38.25" x14ac:dyDescent="0.25">
      <c r="A5394" s="104">
        <v>90924</v>
      </c>
      <c r="B5394" s="105" t="s">
        <v>5178</v>
      </c>
      <c r="C5394" s="106" t="s">
        <v>8</v>
      </c>
      <c r="D5394" s="107">
        <v>169</v>
      </c>
    </row>
    <row r="5395" spans="1:4" ht="38.25" x14ac:dyDescent="0.25">
      <c r="A5395" s="104">
        <v>90930</v>
      </c>
      <c r="B5395" s="105" t="s">
        <v>5179</v>
      </c>
      <c r="C5395" s="106" t="s">
        <v>8</v>
      </c>
      <c r="D5395" s="107">
        <v>51.19</v>
      </c>
    </row>
    <row r="5396" spans="1:4" ht="38.25" x14ac:dyDescent="0.25">
      <c r="A5396" s="104">
        <v>90932</v>
      </c>
      <c r="B5396" s="105" t="s">
        <v>5180</v>
      </c>
      <c r="C5396" s="106" t="s">
        <v>8</v>
      </c>
      <c r="D5396" s="107">
        <v>56.66</v>
      </c>
    </row>
    <row r="5397" spans="1:4" ht="38.25" x14ac:dyDescent="0.25">
      <c r="A5397" s="104">
        <v>90933</v>
      </c>
      <c r="B5397" s="105" t="s">
        <v>5181</v>
      </c>
      <c r="C5397" s="106" t="s">
        <v>8</v>
      </c>
      <c r="D5397" s="107">
        <v>124.47</v>
      </c>
    </row>
    <row r="5398" spans="1:4" ht="38.25" x14ac:dyDescent="0.25">
      <c r="A5398" s="104">
        <v>90934</v>
      </c>
      <c r="B5398" s="105" t="s">
        <v>5182</v>
      </c>
      <c r="C5398" s="106" t="s">
        <v>8</v>
      </c>
      <c r="D5398" s="107">
        <v>134.15</v>
      </c>
    </row>
    <row r="5399" spans="1:4" ht="38.25" x14ac:dyDescent="0.25">
      <c r="A5399" s="104">
        <v>90940</v>
      </c>
      <c r="B5399" s="105" t="s">
        <v>5183</v>
      </c>
      <c r="C5399" s="106" t="s">
        <v>8</v>
      </c>
      <c r="D5399" s="107">
        <v>54.41</v>
      </c>
    </row>
    <row r="5400" spans="1:4" ht="38.25" x14ac:dyDescent="0.25">
      <c r="A5400" s="104">
        <v>90942</v>
      </c>
      <c r="B5400" s="105" t="s">
        <v>5184</v>
      </c>
      <c r="C5400" s="106" t="s">
        <v>8</v>
      </c>
      <c r="D5400" s="107">
        <v>60.36</v>
      </c>
    </row>
    <row r="5401" spans="1:4" ht="38.25" x14ac:dyDescent="0.25">
      <c r="A5401" s="104">
        <v>90943</v>
      </c>
      <c r="B5401" s="105" t="s">
        <v>5185</v>
      </c>
      <c r="C5401" s="106" t="s">
        <v>8</v>
      </c>
      <c r="D5401" s="107">
        <v>134.19999999999999</v>
      </c>
    </row>
    <row r="5402" spans="1:4" ht="38.25" x14ac:dyDescent="0.25">
      <c r="A5402" s="104">
        <v>90944</v>
      </c>
      <c r="B5402" s="105" t="s">
        <v>5186</v>
      </c>
      <c r="C5402" s="106" t="s">
        <v>8</v>
      </c>
      <c r="D5402" s="107">
        <v>144.75</v>
      </c>
    </row>
    <row r="5403" spans="1:4" ht="38.25" x14ac:dyDescent="0.25">
      <c r="A5403" s="104">
        <v>90950</v>
      </c>
      <c r="B5403" s="105" t="s">
        <v>5187</v>
      </c>
      <c r="C5403" s="106" t="s">
        <v>8</v>
      </c>
      <c r="D5403" s="107">
        <v>60.3</v>
      </c>
    </row>
    <row r="5404" spans="1:4" ht="38.25" x14ac:dyDescent="0.25">
      <c r="A5404" s="104">
        <v>90952</v>
      </c>
      <c r="B5404" s="105" t="s">
        <v>5188</v>
      </c>
      <c r="C5404" s="106" t="s">
        <v>8</v>
      </c>
      <c r="D5404" s="107">
        <v>67.150000000000006</v>
      </c>
    </row>
    <row r="5405" spans="1:4" ht="38.25" x14ac:dyDescent="0.25">
      <c r="A5405" s="104">
        <v>90953</v>
      </c>
      <c r="B5405" s="105" t="s">
        <v>5189</v>
      </c>
      <c r="C5405" s="106" t="s">
        <v>8</v>
      </c>
      <c r="D5405" s="107">
        <v>152.05000000000001</v>
      </c>
    </row>
    <row r="5406" spans="1:4" ht="38.25" x14ac:dyDescent="0.25">
      <c r="A5406" s="104">
        <v>90954</v>
      </c>
      <c r="B5406" s="105" t="s">
        <v>5190</v>
      </c>
      <c r="C5406" s="106" t="s">
        <v>8</v>
      </c>
      <c r="D5406" s="107">
        <v>164.18</v>
      </c>
    </row>
    <row r="5407" spans="1:4" ht="63.75" x14ac:dyDescent="0.25">
      <c r="A5407" s="104">
        <v>94438</v>
      </c>
      <c r="B5407" s="105" t="s">
        <v>5191</v>
      </c>
      <c r="C5407" s="106" t="s">
        <v>8</v>
      </c>
      <c r="D5407" s="107">
        <v>30.28</v>
      </c>
    </row>
    <row r="5408" spans="1:4" ht="76.5" x14ac:dyDescent="0.25">
      <c r="A5408" s="104">
        <v>94439</v>
      </c>
      <c r="B5408" s="105" t="s">
        <v>5192</v>
      </c>
      <c r="C5408" s="106" t="s">
        <v>8</v>
      </c>
      <c r="D5408" s="107">
        <v>33.840000000000003</v>
      </c>
    </row>
    <row r="5409" spans="1:4" ht="51" x14ac:dyDescent="0.25">
      <c r="A5409" s="104">
        <v>94779</v>
      </c>
      <c r="B5409" s="105" t="s">
        <v>5193</v>
      </c>
      <c r="C5409" s="106" t="s">
        <v>8</v>
      </c>
      <c r="D5409" s="107">
        <v>29.39</v>
      </c>
    </row>
    <row r="5410" spans="1:4" ht="63.75" x14ac:dyDescent="0.25">
      <c r="A5410" s="104">
        <v>94782</v>
      </c>
      <c r="B5410" s="105" t="s">
        <v>5194</v>
      </c>
      <c r="C5410" s="106" t="s">
        <v>8</v>
      </c>
      <c r="D5410" s="107">
        <v>33.35</v>
      </c>
    </row>
    <row r="5411" spans="1:4" ht="25.5" x14ac:dyDescent="0.25">
      <c r="A5411" s="104">
        <v>72190</v>
      </c>
      <c r="B5411" s="105" t="s">
        <v>5195</v>
      </c>
      <c r="C5411" s="106" t="s">
        <v>16</v>
      </c>
      <c r="D5411" s="107">
        <v>33.01</v>
      </c>
    </row>
    <row r="5412" spans="1:4" ht="38.25" x14ac:dyDescent="0.25">
      <c r="A5412" s="104">
        <v>87871</v>
      </c>
      <c r="B5412" s="105" t="s">
        <v>5196</v>
      </c>
      <c r="C5412" s="106" t="s">
        <v>8</v>
      </c>
      <c r="D5412" s="107">
        <v>11.85</v>
      </c>
    </row>
    <row r="5413" spans="1:4" ht="51" x14ac:dyDescent="0.25">
      <c r="A5413" s="104">
        <v>87872</v>
      </c>
      <c r="B5413" s="105" t="s">
        <v>5197</v>
      </c>
      <c r="C5413" s="106" t="s">
        <v>8</v>
      </c>
      <c r="D5413" s="107">
        <v>11.28</v>
      </c>
    </row>
    <row r="5414" spans="1:4" ht="51" x14ac:dyDescent="0.25">
      <c r="A5414" s="104">
        <v>87873</v>
      </c>
      <c r="B5414" s="105" t="s">
        <v>5198</v>
      </c>
      <c r="C5414" s="106" t="s">
        <v>8</v>
      </c>
      <c r="D5414" s="107">
        <v>3.49</v>
      </c>
    </row>
    <row r="5415" spans="1:4" ht="51" x14ac:dyDescent="0.25">
      <c r="A5415" s="104">
        <v>87874</v>
      </c>
      <c r="B5415" s="105" t="s">
        <v>5199</v>
      </c>
      <c r="C5415" s="106" t="s">
        <v>8</v>
      </c>
      <c r="D5415" s="107">
        <v>3.36</v>
      </c>
    </row>
    <row r="5416" spans="1:4" ht="38.25" x14ac:dyDescent="0.25">
      <c r="A5416" s="104">
        <v>87876</v>
      </c>
      <c r="B5416" s="105" t="s">
        <v>5200</v>
      </c>
      <c r="C5416" s="106" t="s">
        <v>8</v>
      </c>
      <c r="D5416" s="107">
        <v>7.51</v>
      </c>
    </row>
    <row r="5417" spans="1:4" ht="51" x14ac:dyDescent="0.25">
      <c r="A5417" s="104">
        <v>87877</v>
      </c>
      <c r="B5417" s="105" t="s">
        <v>5201</v>
      </c>
      <c r="C5417" s="106" t="s">
        <v>8</v>
      </c>
      <c r="D5417" s="107">
        <v>7.23</v>
      </c>
    </row>
    <row r="5418" spans="1:4" ht="38.25" x14ac:dyDescent="0.25">
      <c r="A5418" s="104">
        <v>87878</v>
      </c>
      <c r="B5418" s="105" t="s">
        <v>5202</v>
      </c>
      <c r="C5418" s="106" t="s">
        <v>8</v>
      </c>
      <c r="D5418" s="107">
        <v>3.13</v>
      </c>
    </row>
    <row r="5419" spans="1:4" ht="38.25" x14ac:dyDescent="0.25">
      <c r="A5419" s="104">
        <v>87879</v>
      </c>
      <c r="B5419" s="105" t="s">
        <v>5203</v>
      </c>
      <c r="C5419" s="106" t="s">
        <v>8</v>
      </c>
      <c r="D5419" s="107">
        <v>2.72</v>
      </c>
    </row>
    <row r="5420" spans="1:4" ht="38.25" x14ac:dyDescent="0.25">
      <c r="A5420" s="104">
        <v>87881</v>
      </c>
      <c r="B5420" s="105" t="s">
        <v>5204</v>
      </c>
      <c r="C5420" s="106" t="s">
        <v>8</v>
      </c>
      <c r="D5420" s="107">
        <v>3.41</v>
      </c>
    </row>
    <row r="5421" spans="1:4" ht="38.25" x14ac:dyDescent="0.25">
      <c r="A5421" s="104">
        <v>87882</v>
      </c>
      <c r="B5421" s="105" t="s">
        <v>358</v>
      </c>
      <c r="C5421" s="106" t="s">
        <v>8</v>
      </c>
      <c r="D5421" s="107">
        <v>3.28</v>
      </c>
    </row>
    <row r="5422" spans="1:4" ht="25.5" x14ac:dyDescent="0.25">
      <c r="A5422" s="104">
        <v>87884</v>
      </c>
      <c r="B5422" s="105" t="s">
        <v>5205</v>
      </c>
      <c r="C5422" s="106" t="s">
        <v>8</v>
      </c>
      <c r="D5422" s="107">
        <v>7.43</v>
      </c>
    </row>
    <row r="5423" spans="1:4" ht="38.25" x14ac:dyDescent="0.25">
      <c r="A5423" s="104">
        <v>87885</v>
      </c>
      <c r="B5423" s="105" t="s">
        <v>5206</v>
      </c>
      <c r="C5423" s="106" t="s">
        <v>8</v>
      </c>
      <c r="D5423" s="107">
        <v>7.15</v>
      </c>
    </row>
    <row r="5424" spans="1:4" ht="25.5" x14ac:dyDescent="0.25">
      <c r="A5424" s="104">
        <v>87886</v>
      </c>
      <c r="B5424" s="105" t="s">
        <v>5207</v>
      </c>
      <c r="C5424" s="106" t="s">
        <v>8</v>
      </c>
      <c r="D5424" s="107">
        <v>16.510000000000002</v>
      </c>
    </row>
    <row r="5425" spans="1:4" ht="38.25" x14ac:dyDescent="0.25">
      <c r="A5425" s="104">
        <v>87887</v>
      </c>
      <c r="B5425" s="105" t="s">
        <v>5208</v>
      </c>
      <c r="C5425" s="106" t="s">
        <v>8</v>
      </c>
      <c r="D5425" s="107">
        <v>15.94</v>
      </c>
    </row>
    <row r="5426" spans="1:4" ht="51" x14ac:dyDescent="0.25">
      <c r="A5426" s="104">
        <v>87888</v>
      </c>
      <c r="B5426" s="105" t="s">
        <v>5209</v>
      </c>
      <c r="C5426" s="106" t="s">
        <v>8</v>
      </c>
      <c r="D5426" s="107">
        <v>4.49</v>
      </c>
    </row>
    <row r="5427" spans="1:4" ht="51" x14ac:dyDescent="0.25">
      <c r="A5427" s="104">
        <v>87889</v>
      </c>
      <c r="B5427" s="105" t="s">
        <v>5210</v>
      </c>
      <c r="C5427" s="106" t="s">
        <v>8</v>
      </c>
      <c r="D5427" s="107">
        <v>4.3600000000000003</v>
      </c>
    </row>
    <row r="5428" spans="1:4" ht="51" x14ac:dyDescent="0.25">
      <c r="A5428" s="104">
        <v>87891</v>
      </c>
      <c r="B5428" s="105" t="s">
        <v>5211</v>
      </c>
      <c r="C5428" s="106" t="s">
        <v>8</v>
      </c>
      <c r="D5428" s="107">
        <v>8.51</v>
      </c>
    </row>
    <row r="5429" spans="1:4" ht="51" x14ac:dyDescent="0.25">
      <c r="A5429" s="104">
        <v>87892</v>
      </c>
      <c r="B5429" s="105" t="s">
        <v>5212</v>
      </c>
      <c r="C5429" s="106" t="s">
        <v>8</v>
      </c>
      <c r="D5429" s="107">
        <v>8.23</v>
      </c>
    </row>
    <row r="5430" spans="1:4" ht="38.25" x14ac:dyDescent="0.25">
      <c r="A5430" s="104">
        <v>87893</v>
      </c>
      <c r="B5430" s="105" t="s">
        <v>5213</v>
      </c>
      <c r="C5430" s="106" t="s">
        <v>8</v>
      </c>
      <c r="D5430" s="107">
        <v>4.88</v>
      </c>
    </row>
    <row r="5431" spans="1:4" ht="51" x14ac:dyDescent="0.25">
      <c r="A5431" s="104">
        <v>87894</v>
      </c>
      <c r="B5431" s="105" t="s">
        <v>5214</v>
      </c>
      <c r="C5431" s="106" t="s">
        <v>8</v>
      </c>
      <c r="D5431" s="107">
        <v>4.47</v>
      </c>
    </row>
    <row r="5432" spans="1:4" ht="51" x14ac:dyDescent="0.25">
      <c r="A5432" s="104">
        <v>87896</v>
      </c>
      <c r="B5432" s="105" t="s">
        <v>5215</v>
      </c>
      <c r="C5432" s="106" t="s">
        <v>8</v>
      </c>
      <c r="D5432" s="107">
        <v>4.41</v>
      </c>
    </row>
    <row r="5433" spans="1:4" ht="51" x14ac:dyDescent="0.25">
      <c r="A5433" s="104">
        <v>87897</v>
      </c>
      <c r="B5433" s="105" t="s">
        <v>5216</v>
      </c>
      <c r="C5433" s="106" t="s">
        <v>8</v>
      </c>
      <c r="D5433" s="107">
        <v>4</v>
      </c>
    </row>
    <row r="5434" spans="1:4" ht="51" x14ac:dyDescent="0.25">
      <c r="A5434" s="104">
        <v>87899</v>
      </c>
      <c r="B5434" s="105" t="s">
        <v>5217</v>
      </c>
      <c r="C5434" s="106" t="s">
        <v>8</v>
      </c>
      <c r="D5434" s="107">
        <v>5.37</v>
      </c>
    </row>
    <row r="5435" spans="1:4" ht="51" x14ac:dyDescent="0.25">
      <c r="A5435" s="104">
        <v>87900</v>
      </c>
      <c r="B5435" s="105" t="s">
        <v>5218</v>
      </c>
      <c r="C5435" s="106" t="s">
        <v>8</v>
      </c>
      <c r="D5435" s="107">
        <v>5.24</v>
      </c>
    </row>
    <row r="5436" spans="1:4" ht="51" x14ac:dyDescent="0.25">
      <c r="A5436" s="104">
        <v>87902</v>
      </c>
      <c r="B5436" s="105" t="s">
        <v>5219</v>
      </c>
      <c r="C5436" s="106" t="s">
        <v>8</v>
      </c>
      <c r="D5436" s="107">
        <v>9.39</v>
      </c>
    </row>
    <row r="5437" spans="1:4" ht="51" x14ac:dyDescent="0.25">
      <c r="A5437" s="104">
        <v>87903</v>
      </c>
      <c r="B5437" s="105" t="s">
        <v>5220</v>
      </c>
      <c r="C5437" s="106" t="s">
        <v>8</v>
      </c>
      <c r="D5437" s="107">
        <v>9.11</v>
      </c>
    </row>
    <row r="5438" spans="1:4" ht="38.25" x14ac:dyDescent="0.25">
      <c r="A5438" s="104">
        <v>87904</v>
      </c>
      <c r="B5438" s="105" t="s">
        <v>5221</v>
      </c>
      <c r="C5438" s="106" t="s">
        <v>8</v>
      </c>
      <c r="D5438" s="107">
        <v>6.34</v>
      </c>
    </row>
    <row r="5439" spans="1:4" ht="51" x14ac:dyDescent="0.25">
      <c r="A5439" s="104">
        <v>87905</v>
      </c>
      <c r="B5439" s="105" t="s">
        <v>5222</v>
      </c>
      <c r="C5439" s="106" t="s">
        <v>8</v>
      </c>
      <c r="D5439" s="107">
        <v>5.93</v>
      </c>
    </row>
    <row r="5440" spans="1:4" ht="51" x14ac:dyDescent="0.25">
      <c r="A5440" s="104">
        <v>87907</v>
      </c>
      <c r="B5440" s="105" t="s">
        <v>5223</v>
      </c>
      <c r="C5440" s="106" t="s">
        <v>8</v>
      </c>
      <c r="D5440" s="107">
        <v>5.69</v>
      </c>
    </row>
    <row r="5441" spans="1:4" ht="51" x14ac:dyDescent="0.25">
      <c r="A5441" s="104">
        <v>87908</v>
      </c>
      <c r="B5441" s="105" t="s">
        <v>5224</v>
      </c>
      <c r="C5441" s="106" t="s">
        <v>8</v>
      </c>
      <c r="D5441" s="107">
        <v>5.28</v>
      </c>
    </row>
    <row r="5442" spans="1:4" ht="38.25" x14ac:dyDescent="0.25">
      <c r="A5442" s="104">
        <v>87910</v>
      </c>
      <c r="B5442" s="105" t="s">
        <v>5225</v>
      </c>
      <c r="C5442" s="106" t="s">
        <v>8</v>
      </c>
      <c r="D5442" s="107">
        <v>16.420000000000002</v>
      </c>
    </row>
    <row r="5443" spans="1:4" ht="51" x14ac:dyDescent="0.25">
      <c r="A5443" s="104">
        <v>87911</v>
      </c>
      <c r="B5443" s="105" t="s">
        <v>5226</v>
      </c>
      <c r="C5443" s="106" t="s">
        <v>8</v>
      </c>
      <c r="D5443" s="107">
        <v>15.85</v>
      </c>
    </row>
    <row r="5444" spans="1:4" ht="38.25" x14ac:dyDescent="0.25">
      <c r="A5444" s="104">
        <v>87411</v>
      </c>
      <c r="B5444" s="105" t="s">
        <v>5227</v>
      </c>
      <c r="C5444" s="106" t="s">
        <v>8</v>
      </c>
      <c r="D5444" s="107">
        <v>11.75</v>
      </c>
    </row>
    <row r="5445" spans="1:4" ht="38.25" x14ac:dyDescent="0.25">
      <c r="A5445" s="104">
        <v>87412</v>
      </c>
      <c r="B5445" s="105" t="s">
        <v>5228</v>
      </c>
      <c r="C5445" s="106" t="s">
        <v>8</v>
      </c>
      <c r="D5445" s="107">
        <v>16.54</v>
      </c>
    </row>
    <row r="5446" spans="1:4" ht="38.25" x14ac:dyDescent="0.25">
      <c r="A5446" s="104">
        <v>87413</v>
      </c>
      <c r="B5446" s="105" t="s">
        <v>5229</v>
      </c>
      <c r="C5446" s="106" t="s">
        <v>8</v>
      </c>
      <c r="D5446" s="107">
        <v>19.260000000000002</v>
      </c>
    </row>
    <row r="5447" spans="1:4" ht="38.25" x14ac:dyDescent="0.25">
      <c r="A5447" s="104">
        <v>87414</v>
      </c>
      <c r="B5447" s="105" t="s">
        <v>5230</v>
      </c>
      <c r="C5447" s="106" t="s">
        <v>8</v>
      </c>
      <c r="D5447" s="107">
        <v>17.61</v>
      </c>
    </row>
    <row r="5448" spans="1:4" ht="38.25" x14ac:dyDescent="0.25">
      <c r="A5448" s="104">
        <v>87415</v>
      </c>
      <c r="B5448" s="105" t="s">
        <v>5231</v>
      </c>
      <c r="C5448" s="106" t="s">
        <v>8</v>
      </c>
      <c r="D5448" s="107">
        <v>22.25</v>
      </c>
    </row>
    <row r="5449" spans="1:4" ht="38.25" x14ac:dyDescent="0.25">
      <c r="A5449" s="104">
        <v>87416</v>
      </c>
      <c r="B5449" s="105" t="s">
        <v>5232</v>
      </c>
      <c r="C5449" s="106" t="s">
        <v>8</v>
      </c>
      <c r="D5449" s="107">
        <v>25.16</v>
      </c>
    </row>
    <row r="5450" spans="1:4" ht="38.25" x14ac:dyDescent="0.25">
      <c r="A5450" s="104">
        <v>87417</v>
      </c>
      <c r="B5450" s="105" t="s">
        <v>5233</v>
      </c>
      <c r="C5450" s="106" t="s">
        <v>8</v>
      </c>
      <c r="D5450" s="107">
        <v>12.42</v>
      </c>
    </row>
    <row r="5451" spans="1:4" ht="38.25" x14ac:dyDescent="0.25">
      <c r="A5451" s="104">
        <v>87418</v>
      </c>
      <c r="B5451" s="105" t="s">
        <v>5234</v>
      </c>
      <c r="C5451" s="106" t="s">
        <v>8</v>
      </c>
      <c r="D5451" s="107">
        <v>12.77</v>
      </c>
    </row>
    <row r="5452" spans="1:4" ht="38.25" x14ac:dyDescent="0.25">
      <c r="A5452" s="104">
        <v>87419</v>
      </c>
      <c r="B5452" s="105" t="s">
        <v>5235</v>
      </c>
      <c r="C5452" s="106" t="s">
        <v>8</v>
      </c>
      <c r="D5452" s="107">
        <v>13.8</v>
      </c>
    </row>
    <row r="5453" spans="1:4" ht="38.25" x14ac:dyDescent="0.25">
      <c r="A5453" s="104">
        <v>87420</v>
      </c>
      <c r="B5453" s="105" t="s">
        <v>5236</v>
      </c>
      <c r="C5453" s="106" t="s">
        <v>8</v>
      </c>
      <c r="D5453" s="107">
        <v>18.82</v>
      </c>
    </row>
    <row r="5454" spans="1:4" ht="38.25" x14ac:dyDescent="0.25">
      <c r="A5454" s="104">
        <v>87421</v>
      </c>
      <c r="B5454" s="105" t="s">
        <v>5237</v>
      </c>
      <c r="C5454" s="106" t="s">
        <v>8</v>
      </c>
      <c r="D5454" s="107">
        <v>19.170000000000002</v>
      </c>
    </row>
    <row r="5455" spans="1:4" ht="38.25" x14ac:dyDescent="0.25">
      <c r="A5455" s="104">
        <v>87422</v>
      </c>
      <c r="B5455" s="105" t="s">
        <v>5238</v>
      </c>
      <c r="C5455" s="106" t="s">
        <v>8</v>
      </c>
      <c r="D5455" s="107">
        <v>20.2</v>
      </c>
    </row>
    <row r="5456" spans="1:4" ht="38.25" x14ac:dyDescent="0.25">
      <c r="A5456" s="104">
        <v>87423</v>
      </c>
      <c r="B5456" s="105" t="s">
        <v>5239</v>
      </c>
      <c r="C5456" s="106" t="s">
        <v>8</v>
      </c>
      <c r="D5456" s="107">
        <v>24.63</v>
      </c>
    </row>
    <row r="5457" spans="1:4" ht="38.25" x14ac:dyDescent="0.25">
      <c r="A5457" s="104">
        <v>87424</v>
      </c>
      <c r="B5457" s="105" t="s">
        <v>5240</v>
      </c>
      <c r="C5457" s="106" t="s">
        <v>8</v>
      </c>
      <c r="D5457" s="107">
        <v>25.16</v>
      </c>
    </row>
    <row r="5458" spans="1:4" ht="38.25" x14ac:dyDescent="0.25">
      <c r="A5458" s="104">
        <v>87425</v>
      </c>
      <c r="B5458" s="105" t="s">
        <v>5241</v>
      </c>
      <c r="C5458" s="106" t="s">
        <v>8</v>
      </c>
      <c r="D5458" s="107">
        <v>26.01</v>
      </c>
    </row>
    <row r="5459" spans="1:4" ht="38.25" x14ac:dyDescent="0.25">
      <c r="A5459" s="104">
        <v>87426</v>
      </c>
      <c r="B5459" s="105" t="s">
        <v>5242</v>
      </c>
      <c r="C5459" s="106" t="s">
        <v>8</v>
      </c>
      <c r="D5459" s="107">
        <v>29.08</v>
      </c>
    </row>
    <row r="5460" spans="1:4" ht="38.25" x14ac:dyDescent="0.25">
      <c r="A5460" s="104">
        <v>87427</v>
      </c>
      <c r="B5460" s="105" t="s">
        <v>5243</v>
      </c>
      <c r="C5460" s="106" t="s">
        <v>8</v>
      </c>
      <c r="D5460" s="107">
        <v>29.61</v>
      </c>
    </row>
    <row r="5461" spans="1:4" ht="38.25" x14ac:dyDescent="0.25">
      <c r="A5461" s="104">
        <v>87428</v>
      </c>
      <c r="B5461" s="105" t="s">
        <v>5244</v>
      </c>
      <c r="C5461" s="106" t="s">
        <v>8</v>
      </c>
      <c r="D5461" s="107">
        <v>30.46</v>
      </c>
    </row>
    <row r="5462" spans="1:4" ht="38.25" x14ac:dyDescent="0.25">
      <c r="A5462" s="104">
        <v>87429</v>
      </c>
      <c r="B5462" s="105" t="s">
        <v>5245</v>
      </c>
      <c r="C5462" s="106" t="s">
        <v>8</v>
      </c>
      <c r="D5462" s="107">
        <v>13.91</v>
      </c>
    </row>
    <row r="5463" spans="1:4" ht="38.25" x14ac:dyDescent="0.25">
      <c r="A5463" s="104">
        <v>87430</v>
      </c>
      <c r="B5463" s="105" t="s">
        <v>5246</v>
      </c>
      <c r="C5463" s="106" t="s">
        <v>8</v>
      </c>
      <c r="D5463" s="107">
        <v>14.26</v>
      </c>
    </row>
    <row r="5464" spans="1:4" ht="38.25" x14ac:dyDescent="0.25">
      <c r="A5464" s="104">
        <v>87431</v>
      </c>
      <c r="B5464" s="105" t="s">
        <v>5247</v>
      </c>
      <c r="C5464" s="106" t="s">
        <v>8</v>
      </c>
      <c r="D5464" s="107">
        <v>14.44</v>
      </c>
    </row>
    <row r="5465" spans="1:4" ht="38.25" x14ac:dyDescent="0.25">
      <c r="A5465" s="104">
        <v>87432</v>
      </c>
      <c r="B5465" s="105" t="s">
        <v>5248</v>
      </c>
      <c r="C5465" s="106" t="s">
        <v>8</v>
      </c>
      <c r="D5465" s="107">
        <v>20.25</v>
      </c>
    </row>
    <row r="5466" spans="1:4" ht="38.25" x14ac:dyDescent="0.25">
      <c r="A5466" s="104">
        <v>87433</v>
      </c>
      <c r="B5466" s="105" t="s">
        <v>5249</v>
      </c>
      <c r="C5466" s="106" t="s">
        <v>8</v>
      </c>
      <c r="D5466" s="107">
        <v>20.95</v>
      </c>
    </row>
    <row r="5467" spans="1:4" ht="38.25" x14ac:dyDescent="0.25">
      <c r="A5467" s="104">
        <v>87434</v>
      </c>
      <c r="B5467" s="105" t="s">
        <v>5250</v>
      </c>
      <c r="C5467" s="106" t="s">
        <v>8</v>
      </c>
      <c r="D5467" s="107">
        <v>21.46</v>
      </c>
    </row>
    <row r="5468" spans="1:4" ht="38.25" x14ac:dyDescent="0.25">
      <c r="A5468" s="104">
        <v>87435</v>
      </c>
      <c r="B5468" s="105" t="s">
        <v>5251</v>
      </c>
      <c r="C5468" s="106" t="s">
        <v>8</v>
      </c>
      <c r="D5468" s="107">
        <v>22.48</v>
      </c>
    </row>
    <row r="5469" spans="1:4" ht="38.25" x14ac:dyDescent="0.25">
      <c r="A5469" s="104">
        <v>87436</v>
      </c>
      <c r="B5469" s="105" t="s">
        <v>5252</v>
      </c>
      <c r="C5469" s="106" t="s">
        <v>8</v>
      </c>
      <c r="D5469" s="107">
        <v>23.69</v>
      </c>
    </row>
    <row r="5470" spans="1:4" ht="38.25" x14ac:dyDescent="0.25">
      <c r="A5470" s="104">
        <v>87437</v>
      </c>
      <c r="B5470" s="105" t="s">
        <v>5253</v>
      </c>
      <c r="C5470" s="106" t="s">
        <v>8</v>
      </c>
      <c r="D5470" s="107">
        <v>24.54</v>
      </c>
    </row>
    <row r="5471" spans="1:4" ht="38.25" x14ac:dyDescent="0.25">
      <c r="A5471" s="104">
        <v>87438</v>
      </c>
      <c r="B5471" s="105" t="s">
        <v>5254</v>
      </c>
      <c r="C5471" s="106" t="s">
        <v>8</v>
      </c>
      <c r="D5471" s="107">
        <v>27.81</v>
      </c>
    </row>
    <row r="5472" spans="1:4" ht="38.25" x14ac:dyDescent="0.25">
      <c r="A5472" s="104">
        <v>87439</v>
      </c>
      <c r="B5472" s="105" t="s">
        <v>5255</v>
      </c>
      <c r="C5472" s="106" t="s">
        <v>8</v>
      </c>
      <c r="D5472" s="107">
        <v>29.33</v>
      </c>
    </row>
    <row r="5473" spans="1:4" ht="38.25" x14ac:dyDescent="0.25">
      <c r="A5473" s="104">
        <v>87440</v>
      </c>
      <c r="B5473" s="105" t="s">
        <v>5256</v>
      </c>
      <c r="C5473" s="106" t="s">
        <v>8</v>
      </c>
      <c r="D5473" s="107">
        <v>30.03</v>
      </c>
    </row>
    <row r="5474" spans="1:4" ht="63.75" x14ac:dyDescent="0.25">
      <c r="A5474" s="104">
        <v>87527</v>
      </c>
      <c r="B5474" s="105" t="s">
        <v>5257</v>
      </c>
      <c r="C5474" s="106" t="s">
        <v>8</v>
      </c>
      <c r="D5474" s="107">
        <v>26.18</v>
      </c>
    </row>
    <row r="5475" spans="1:4" ht="51" x14ac:dyDescent="0.25">
      <c r="A5475" s="104">
        <v>87528</v>
      </c>
      <c r="B5475" s="105" t="s">
        <v>5258</v>
      </c>
      <c r="C5475" s="106" t="s">
        <v>8</v>
      </c>
      <c r="D5475" s="107">
        <v>29.73</v>
      </c>
    </row>
    <row r="5476" spans="1:4" ht="51" x14ac:dyDescent="0.25">
      <c r="A5476" s="104">
        <v>87529</v>
      </c>
      <c r="B5476" s="105" t="s">
        <v>5259</v>
      </c>
      <c r="C5476" s="106" t="s">
        <v>8</v>
      </c>
      <c r="D5476" s="107">
        <v>23.64</v>
      </c>
    </row>
    <row r="5477" spans="1:4" ht="51" x14ac:dyDescent="0.25">
      <c r="A5477" s="104">
        <v>87530</v>
      </c>
      <c r="B5477" s="105" t="s">
        <v>5260</v>
      </c>
      <c r="C5477" s="106" t="s">
        <v>8</v>
      </c>
      <c r="D5477" s="107">
        <v>27.19</v>
      </c>
    </row>
    <row r="5478" spans="1:4" ht="63.75" x14ac:dyDescent="0.25">
      <c r="A5478" s="104">
        <v>87531</v>
      </c>
      <c r="B5478" s="105" t="s">
        <v>5261</v>
      </c>
      <c r="C5478" s="106" t="s">
        <v>8</v>
      </c>
      <c r="D5478" s="107">
        <v>22.75</v>
      </c>
    </row>
    <row r="5479" spans="1:4" ht="63.75" x14ac:dyDescent="0.25">
      <c r="A5479" s="104">
        <v>87532</v>
      </c>
      <c r="B5479" s="105" t="s">
        <v>5262</v>
      </c>
      <c r="C5479" s="106" t="s">
        <v>8</v>
      </c>
      <c r="D5479" s="107">
        <v>26.3</v>
      </c>
    </row>
    <row r="5480" spans="1:4" ht="63.75" x14ac:dyDescent="0.25">
      <c r="A5480" s="104">
        <v>87535</v>
      </c>
      <c r="B5480" s="105" t="s">
        <v>5263</v>
      </c>
      <c r="C5480" s="106" t="s">
        <v>8</v>
      </c>
      <c r="D5480" s="107">
        <v>20.22</v>
      </c>
    </row>
    <row r="5481" spans="1:4" ht="51" x14ac:dyDescent="0.25">
      <c r="A5481" s="104">
        <v>87536</v>
      </c>
      <c r="B5481" s="105" t="s">
        <v>5264</v>
      </c>
      <c r="C5481" s="106" t="s">
        <v>8</v>
      </c>
      <c r="D5481" s="107">
        <v>23.77</v>
      </c>
    </row>
    <row r="5482" spans="1:4" ht="76.5" x14ac:dyDescent="0.25">
      <c r="A5482" s="104">
        <v>87537</v>
      </c>
      <c r="B5482" s="105" t="s">
        <v>5265</v>
      </c>
      <c r="C5482" s="106" t="s">
        <v>8</v>
      </c>
      <c r="D5482" s="107">
        <v>63.06</v>
      </c>
    </row>
    <row r="5483" spans="1:4" ht="63.75" x14ac:dyDescent="0.25">
      <c r="A5483" s="104">
        <v>87538</v>
      </c>
      <c r="B5483" s="105" t="s">
        <v>5266</v>
      </c>
      <c r="C5483" s="106" t="s">
        <v>8</v>
      </c>
      <c r="D5483" s="107">
        <v>60.9</v>
      </c>
    </row>
    <row r="5484" spans="1:4" ht="76.5" x14ac:dyDescent="0.25">
      <c r="A5484" s="104">
        <v>87539</v>
      </c>
      <c r="B5484" s="105" t="s">
        <v>5267</v>
      </c>
      <c r="C5484" s="106" t="s">
        <v>8</v>
      </c>
      <c r="D5484" s="107">
        <v>60.13</v>
      </c>
    </row>
    <row r="5485" spans="1:4" ht="76.5" x14ac:dyDescent="0.25">
      <c r="A5485" s="104">
        <v>87541</v>
      </c>
      <c r="B5485" s="105" t="s">
        <v>5268</v>
      </c>
      <c r="C5485" s="106" t="s">
        <v>8</v>
      </c>
      <c r="D5485" s="107">
        <v>57.98</v>
      </c>
    </row>
    <row r="5486" spans="1:4" ht="63.75" x14ac:dyDescent="0.25">
      <c r="A5486" s="104">
        <v>87543</v>
      </c>
      <c r="B5486" s="105" t="s">
        <v>5269</v>
      </c>
      <c r="C5486" s="106" t="s">
        <v>8</v>
      </c>
      <c r="D5486" s="107">
        <v>19.68</v>
      </c>
    </row>
    <row r="5487" spans="1:4" ht="63.75" x14ac:dyDescent="0.25">
      <c r="A5487" s="104">
        <v>87545</v>
      </c>
      <c r="B5487" s="105" t="s">
        <v>5270</v>
      </c>
      <c r="C5487" s="106" t="s">
        <v>8</v>
      </c>
      <c r="D5487" s="107">
        <v>17.829999999999998</v>
      </c>
    </row>
    <row r="5488" spans="1:4" ht="51" x14ac:dyDescent="0.25">
      <c r="A5488" s="104">
        <v>87546</v>
      </c>
      <c r="B5488" s="105" t="s">
        <v>5271</v>
      </c>
      <c r="C5488" s="106" t="s">
        <v>8</v>
      </c>
      <c r="D5488" s="107">
        <v>19.84</v>
      </c>
    </row>
    <row r="5489" spans="1:4" ht="51" x14ac:dyDescent="0.25">
      <c r="A5489" s="104">
        <v>87547</v>
      </c>
      <c r="B5489" s="105" t="s">
        <v>5272</v>
      </c>
      <c r="C5489" s="106" t="s">
        <v>8</v>
      </c>
      <c r="D5489" s="107">
        <v>15.32</v>
      </c>
    </row>
    <row r="5490" spans="1:4" ht="51" x14ac:dyDescent="0.25">
      <c r="A5490" s="104">
        <v>87548</v>
      </c>
      <c r="B5490" s="105" t="s">
        <v>5273</v>
      </c>
      <c r="C5490" s="106" t="s">
        <v>8</v>
      </c>
      <c r="D5490" s="107">
        <v>17.329999999999998</v>
      </c>
    </row>
    <row r="5491" spans="1:4" ht="63.75" x14ac:dyDescent="0.25">
      <c r="A5491" s="104">
        <v>87549</v>
      </c>
      <c r="B5491" s="105" t="s">
        <v>5274</v>
      </c>
      <c r="C5491" s="106" t="s">
        <v>8</v>
      </c>
      <c r="D5491" s="107">
        <v>14.41</v>
      </c>
    </row>
    <row r="5492" spans="1:4" ht="63.75" x14ac:dyDescent="0.25">
      <c r="A5492" s="104">
        <v>87550</v>
      </c>
      <c r="B5492" s="105" t="s">
        <v>5275</v>
      </c>
      <c r="C5492" s="106" t="s">
        <v>8</v>
      </c>
      <c r="D5492" s="107">
        <v>16.420000000000002</v>
      </c>
    </row>
    <row r="5493" spans="1:4" ht="63.75" x14ac:dyDescent="0.25">
      <c r="A5493" s="104">
        <v>87553</v>
      </c>
      <c r="B5493" s="105" t="s">
        <v>5276</v>
      </c>
      <c r="C5493" s="106" t="s">
        <v>8</v>
      </c>
      <c r="D5493" s="107">
        <v>11.89</v>
      </c>
    </row>
    <row r="5494" spans="1:4" ht="51" x14ac:dyDescent="0.25">
      <c r="A5494" s="104">
        <v>87554</v>
      </c>
      <c r="B5494" s="105" t="s">
        <v>5277</v>
      </c>
      <c r="C5494" s="106" t="s">
        <v>8</v>
      </c>
      <c r="D5494" s="107">
        <v>13.9</v>
      </c>
    </row>
    <row r="5495" spans="1:4" ht="76.5" x14ac:dyDescent="0.25">
      <c r="A5495" s="104">
        <v>87555</v>
      </c>
      <c r="B5495" s="105" t="s">
        <v>5278</v>
      </c>
      <c r="C5495" s="106" t="s">
        <v>8</v>
      </c>
      <c r="D5495" s="107">
        <v>37.94</v>
      </c>
    </row>
    <row r="5496" spans="1:4" ht="63.75" x14ac:dyDescent="0.25">
      <c r="A5496" s="104">
        <v>87556</v>
      </c>
      <c r="B5496" s="105" t="s">
        <v>5279</v>
      </c>
      <c r="C5496" s="106" t="s">
        <v>8</v>
      </c>
      <c r="D5496" s="107">
        <v>35.81</v>
      </c>
    </row>
    <row r="5497" spans="1:4" ht="76.5" x14ac:dyDescent="0.25">
      <c r="A5497" s="104">
        <v>87557</v>
      </c>
      <c r="B5497" s="105" t="s">
        <v>5280</v>
      </c>
      <c r="C5497" s="106" t="s">
        <v>8</v>
      </c>
      <c r="D5497" s="107">
        <v>35.020000000000003</v>
      </c>
    </row>
    <row r="5498" spans="1:4" ht="76.5" x14ac:dyDescent="0.25">
      <c r="A5498" s="104">
        <v>87559</v>
      </c>
      <c r="B5498" s="105" t="s">
        <v>5281</v>
      </c>
      <c r="C5498" s="106" t="s">
        <v>8</v>
      </c>
      <c r="D5498" s="107">
        <v>32.869999999999997</v>
      </c>
    </row>
    <row r="5499" spans="1:4" ht="63.75" x14ac:dyDescent="0.25">
      <c r="A5499" s="104">
        <v>87561</v>
      </c>
      <c r="B5499" s="105" t="s">
        <v>5282</v>
      </c>
      <c r="C5499" s="106" t="s">
        <v>8</v>
      </c>
      <c r="D5499" s="107">
        <v>35.22</v>
      </c>
    </row>
    <row r="5500" spans="1:4" ht="51" x14ac:dyDescent="0.25">
      <c r="A5500" s="104">
        <v>87775</v>
      </c>
      <c r="B5500" s="105" t="s">
        <v>207</v>
      </c>
      <c r="C5500" s="106" t="s">
        <v>8</v>
      </c>
      <c r="D5500" s="107">
        <v>37.56</v>
      </c>
    </row>
    <row r="5501" spans="1:4" ht="38.25" x14ac:dyDescent="0.25">
      <c r="A5501" s="104">
        <v>87777</v>
      </c>
      <c r="B5501" s="105" t="s">
        <v>5283</v>
      </c>
      <c r="C5501" s="106" t="s">
        <v>8</v>
      </c>
      <c r="D5501" s="107">
        <v>40.53</v>
      </c>
    </row>
    <row r="5502" spans="1:4" ht="51" x14ac:dyDescent="0.25">
      <c r="A5502" s="104">
        <v>87778</v>
      </c>
      <c r="B5502" s="105" t="s">
        <v>5284</v>
      </c>
      <c r="C5502" s="106" t="s">
        <v>8</v>
      </c>
      <c r="D5502" s="107">
        <v>66.510000000000005</v>
      </c>
    </row>
    <row r="5503" spans="1:4" ht="51" x14ac:dyDescent="0.25">
      <c r="A5503" s="104">
        <v>87779</v>
      </c>
      <c r="B5503" s="105" t="s">
        <v>5285</v>
      </c>
      <c r="C5503" s="106" t="s">
        <v>8</v>
      </c>
      <c r="D5503" s="107">
        <v>43.79</v>
      </c>
    </row>
    <row r="5504" spans="1:4" ht="38.25" x14ac:dyDescent="0.25">
      <c r="A5504" s="104">
        <v>87781</v>
      </c>
      <c r="B5504" s="105" t="s">
        <v>5286</v>
      </c>
      <c r="C5504" s="106" t="s">
        <v>8</v>
      </c>
      <c r="D5504" s="107">
        <v>47.76</v>
      </c>
    </row>
    <row r="5505" spans="1:4" ht="51" x14ac:dyDescent="0.25">
      <c r="A5505" s="104">
        <v>87783</v>
      </c>
      <c r="B5505" s="105" t="s">
        <v>5287</v>
      </c>
      <c r="C5505" s="106" t="s">
        <v>8</v>
      </c>
      <c r="D5505" s="107">
        <v>84.03</v>
      </c>
    </row>
    <row r="5506" spans="1:4" ht="51" x14ac:dyDescent="0.25">
      <c r="A5506" s="104">
        <v>87784</v>
      </c>
      <c r="B5506" s="105" t="s">
        <v>5288</v>
      </c>
      <c r="C5506" s="106" t="s">
        <v>8</v>
      </c>
      <c r="D5506" s="107">
        <v>50.02</v>
      </c>
    </row>
    <row r="5507" spans="1:4" ht="38.25" x14ac:dyDescent="0.25">
      <c r="A5507" s="104">
        <v>87786</v>
      </c>
      <c r="B5507" s="105" t="s">
        <v>5289</v>
      </c>
      <c r="C5507" s="106" t="s">
        <v>8</v>
      </c>
      <c r="D5507" s="107">
        <v>55</v>
      </c>
    </row>
    <row r="5508" spans="1:4" ht="51" x14ac:dyDescent="0.25">
      <c r="A5508" s="104">
        <v>87787</v>
      </c>
      <c r="B5508" s="105" t="s">
        <v>5290</v>
      </c>
      <c r="C5508" s="106" t="s">
        <v>8</v>
      </c>
      <c r="D5508" s="107">
        <v>101.54</v>
      </c>
    </row>
    <row r="5509" spans="1:4" ht="51" x14ac:dyDescent="0.25">
      <c r="A5509" s="104">
        <v>87788</v>
      </c>
      <c r="B5509" s="105" t="s">
        <v>5291</v>
      </c>
      <c r="C5509" s="106" t="s">
        <v>8</v>
      </c>
      <c r="D5509" s="107">
        <v>64.38</v>
      </c>
    </row>
    <row r="5510" spans="1:4" ht="51" x14ac:dyDescent="0.25">
      <c r="A5510" s="104">
        <v>87790</v>
      </c>
      <c r="B5510" s="105" t="s">
        <v>5292</v>
      </c>
      <c r="C5510" s="106" t="s">
        <v>8</v>
      </c>
      <c r="D5510" s="107">
        <v>69.849999999999994</v>
      </c>
    </row>
    <row r="5511" spans="1:4" ht="63.75" x14ac:dyDescent="0.25">
      <c r="A5511" s="104">
        <v>87791</v>
      </c>
      <c r="B5511" s="105" t="s">
        <v>5293</v>
      </c>
      <c r="C5511" s="106" t="s">
        <v>8</v>
      </c>
      <c r="D5511" s="107">
        <v>118.59</v>
      </c>
    </row>
    <row r="5512" spans="1:4" ht="51" x14ac:dyDescent="0.25">
      <c r="A5512" s="104">
        <v>87792</v>
      </c>
      <c r="B5512" s="105" t="s">
        <v>350</v>
      </c>
      <c r="C5512" s="106" t="s">
        <v>8</v>
      </c>
      <c r="D5512" s="107">
        <v>24.89</v>
      </c>
    </row>
    <row r="5513" spans="1:4" ht="38.25" x14ac:dyDescent="0.25">
      <c r="A5513" s="104">
        <v>87794</v>
      </c>
      <c r="B5513" s="105" t="s">
        <v>5294</v>
      </c>
      <c r="C5513" s="106" t="s">
        <v>8</v>
      </c>
      <c r="D5513" s="107">
        <v>27.65</v>
      </c>
    </row>
    <row r="5514" spans="1:4" ht="63.75" x14ac:dyDescent="0.25">
      <c r="A5514" s="104">
        <v>87795</v>
      </c>
      <c r="B5514" s="105" t="s">
        <v>5295</v>
      </c>
      <c r="C5514" s="106" t="s">
        <v>8</v>
      </c>
      <c r="D5514" s="107">
        <v>51.61</v>
      </c>
    </row>
    <row r="5515" spans="1:4" ht="51" x14ac:dyDescent="0.25">
      <c r="A5515" s="104">
        <v>87797</v>
      </c>
      <c r="B5515" s="105" t="s">
        <v>5296</v>
      </c>
      <c r="C5515" s="106" t="s">
        <v>8</v>
      </c>
      <c r="D5515" s="107">
        <v>30.88</v>
      </c>
    </row>
    <row r="5516" spans="1:4" ht="38.25" x14ac:dyDescent="0.25">
      <c r="A5516" s="104">
        <v>87799</v>
      </c>
      <c r="B5516" s="105" t="s">
        <v>5297</v>
      </c>
      <c r="C5516" s="106" t="s">
        <v>8</v>
      </c>
      <c r="D5516" s="107">
        <v>34.58</v>
      </c>
    </row>
    <row r="5517" spans="1:4" ht="63.75" x14ac:dyDescent="0.25">
      <c r="A5517" s="104">
        <v>87800</v>
      </c>
      <c r="B5517" s="105" t="s">
        <v>5298</v>
      </c>
      <c r="C5517" s="106" t="s">
        <v>8</v>
      </c>
      <c r="D5517" s="107">
        <v>68.150000000000006</v>
      </c>
    </row>
    <row r="5518" spans="1:4" ht="51" x14ac:dyDescent="0.25">
      <c r="A5518" s="104">
        <v>87801</v>
      </c>
      <c r="B5518" s="105" t="s">
        <v>5299</v>
      </c>
      <c r="C5518" s="106" t="s">
        <v>8</v>
      </c>
      <c r="D5518" s="107">
        <v>36.869999999999997</v>
      </c>
    </row>
    <row r="5519" spans="1:4" ht="38.25" x14ac:dyDescent="0.25">
      <c r="A5519" s="104">
        <v>87803</v>
      </c>
      <c r="B5519" s="105" t="s">
        <v>5300</v>
      </c>
      <c r="C5519" s="106" t="s">
        <v>8</v>
      </c>
      <c r="D5519" s="107">
        <v>41.52</v>
      </c>
    </row>
    <row r="5520" spans="1:4" ht="63.75" x14ac:dyDescent="0.25">
      <c r="A5520" s="104">
        <v>87804</v>
      </c>
      <c r="B5520" s="105" t="s">
        <v>5301</v>
      </c>
      <c r="C5520" s="106" t="s">
        <v>8</v>
      </c>
      <c r="D5520" s="107">
        <v>84.69</v>
      </c>
    </row>
    <row r="5521" spans="1:4" ht="51" x14ac:dyDescent="0.25">
      <c r="A5521" s="104">
        <v>87805</v>
      </c>
      <c r="B5521" s="105" t="s">
        <v>5302</v>
      </c>
      <c r="C5521" s="106" t="s">
        <v>8</v>
      </c>
      <c r="D5521" s="107">
        <v>42.44</v>
      </c>
    </row>
    <row r="5522" spans="1:4" ht="51" x14ac:dyDescent="0.25">
      <c r="A5522" s="104">
        <v>87807</v>
      </c>
      <c r="B5522" s="105" t="s">
        <v>5303</v>
      </c>
      <c r="C5522" s="106" t="s">
        <v>8</v>
      </c>
      <c r="D5522" s="107">
        <v>47.56</v>
      </c>
    </row>
    <row r="5523" spans="1:4" ht="63.75" x14ac:dyDescent="0.25">
      <c r="A5523" s="104">
        <v>87808</v>
      </c>
      <c r="B5523" s="105" t="s">
        <v>5304</v>
      </c>
      <c r="C5523" s="106" t="s">
        <v>8</v>
      </c>
      <c r="D5523" s="107">
        <v>92.64</v>
      </c>
    </row>
    <row r="5524" spans="1:4" ht="51" x14ac:dyDescent="0.25">
      <c r="A5524" s="104">
        <v>87809</v>
      </c>
      <c r="B5524" s="105" t="s">
        <v>5305</v>
      </c>
      <c r="C5524" s="106" t="s">
        <v>8</v>
      </c>
      <c r="D5524" s="107">
        <v>59.81</v>
      </c>
    </row>
    <row r="5525" spans="1:4" ht="51" x14ac:dyDescent="0.25">
      <c r="A5525" s="104">
        <v>87811</v>
      </c>
      <c r="B5525" s="105" t="s">
        <v>5306</v>
      </c>
      <c r="C5525" s="106" t="s">
        <v>8</v>
      </c>
      <c r="D5525" s="107">
        <v>62.57</v>
      </c>
    </row>
    <row r="5526" spans="1:4" ht="51" x14ac:dyDescent="0.25">
      <c r="A5526" s="104">
        <v>87812</v>
      </c>
      <c r="B5526" s="105" t="s">
        <v>5307</v>
      </c>
      <c r="C5526" s="106" t="s">
        <v>8</v>
      </c>
      <c r="D5526" s="107">
        <v>86.22</v>
      </c>
    </row>
    <row r="5527" spans="1:4" ht="51" x14ac:dyDescent="0.25">
      <c r="A5527" s="104">
        <v>87813</v>
      </c>
      <c r="B5527" s="105" t="s">
        <v>5308</v>
      </c>
      <c r="C5527" s="106" t="s">
        <v>8</v>
      </c>
      <c r="D5527" s="107">
        <v>65.8</v>
      </c>
    </row>
    <row r="5528" spans="1:4" ht="51" x14ac:dyDescent="0.25">
      <c r="A5528" s="104">
        <v>87815</v>
      </c>
      <c r="B5528" s="105" t="s">
        <v>5309</v>
      </c>
      <c r="C5528" s="106" t="s">
        <v>8</v>
      </c>
      <c r="D5528" s="107">
        <v>69.5</v>
      </c>
    </row>
    <row r="5529" spans="1:4" ht="51" x14ac:dyDescent="0.25">
      <c r="A5529" s="104">
        <v>87816</v>
      </c>
      <c r="B5529" s="105" t="s">
        <v>5310</v>
      </c>
      <c r="C5529" s="106" t="s">
        <v>8</v>
      </c>
      <c r="D5529" s="107">
        <v>102.76</v>
      </c>
    </row>
    <row r="5530" spans="1:4" ht="51" x14ac:dyDescent="0.25">
      <c r="A5530" s="104">
        <v>87817</v>
      </c>
      <c r="B5530" s="105" t="s">
        <v>5311</v>
      </c>
      <c r="C5530" s="106" t="s">
        <v>8</v>
      </c>
      <c r="D5530" s="107">
        <v>71.47</v>
      </c>
    </row>
    <row r="5531" spans="1:4" ht="51" x14ac:dyDescent="0.25">
      <c r="A5531" s="104">
        <v>87819</v>
      </c>
      <c r="B5531" s="105" t="s">
        <v>5312</v>
      </c>
      <c r="C5531" s="106" t="s">
        <v>8</v>
      </c>
      <c r="D5531" s="107">
        <v>76.12</v>
      </c>
    </row>
    <row r="5532" spans="1:4" ht="51" x14ac:dyDescent="0.25">
      <c r="A5532" s="104">
        <v>87820</v>
      </c>
      <c r="B5532" s="105" t="s">
        <v>5313</v>
      </c>
      <c r="C5532" s="106" t="s">
        <v>8</v>
      </c>
      <c r="D5532" s="107">
        <v>119.3</v>
      </c>
    </row>
    <row r="5533" spans="1:4" ht="63.75" x14ac:dyDescent="0.25">
      <c r="A5533" s="104">
        <v>87821</v>
      </c>
      <c r="B5533" s="105" t="s">
        <v>5314</v>
      </c>
      <c r="C5533" s="106" t="s">
        <v>8</v>
      </c>
      <c r="D5533" s="107">
        <v>103.06</v>
      </c>
    </row>
    <row r="5534" spans="1:4" ht="51" x14ac:dyDescent="0.25">
      <c r="A5534" s="104">
        <v>87823</v>
      </c>
      <c r="B5534" s="105" t="s">
        <v>5315</v>
      </c>
      <c r="C5534" s="106" t="s">
        <v>8</v>
      </c>
      <c r="D5534" s="107">
        <v>108.18</v>
      </c>
    </row>
    <row r="5535" spans="1:4" ht="63.75" x14ac:dyDescent="0.25">
      <c r="A5535" s="104">
        <v>87824</v>
      </c>
      <c r="B5535" s="105" t="s">
        <v>5316</v>
      </c>
      <c r="C5535" s="106" t="s">
        <v>8</v>
      </c>
      <c r="D5535" s="107">
        <v>152.94</v>
      </c>
    </row>
    <row r="5536" spans="1:4" ht="51" x14ac:dyDescent="0.25">
      <c r="A5536" s="104">
        <v>87825</v>
      </c>
      <c r="B5536" s="105" t="s">
        <v>5317</v>
      </c>
      <c r="C5536" s="106" t="s">
        <v>8</v>
      </c>
      <c r="D5536" s="107">
        <v>47.28</v>
      </c>
    </row>
    <row r="5537" spans="1:4" ht="51" x14ac:dyDescent="0.25">
      <c r="A5537" s="104">
        <v>87827</v>
      </c>
      <c r="B5537" s="105" t="s">
        <v>5318</v>
      </c>
      <c r="C5537" s="106" t="s">
        <v>8</v>
      </c>
      <c r="D5537" s="107">
        <v>50.67</v>
      </c>
    </row>
    <row r="5538" spans="1:4" ht="51" x14ac:dyDescent="0.25">
      <c r="A5538" s="104">
        <v>87828</v>
      </c>
      <c r="B5538" s="105" t="s">
        <v>5319</v>
      </c>
      <c r="C5538" s="106" t="s">
        <v>8</v>
      </c>
      <c r="D5538" s="107">
        <v>80.97</v>
      </c>
    </row>
    <row r="5539" spans="1:4" ht="51" x14ac:dyDescent="0.25">
      <c r="A5539" s="104">
        <v>87829</v>
      </c>
      <c r="B5539" s="105" t="s">
        <v>5320</v>
      </c>
      <c r="C5539" s="106" t="s">
        <v>8</v>
      </c>
      <c r="D5539" s="107">
        <v>54.03</v>
      </c>
    </row>
    <row r="5540" spans="1:4" ht="51" x14ac:dyDescent="0.25">
      <c r="A5540" s="104">
        <v>87831</v>
      </c>
      <c r="B5540" s="105" t="s">
        <v>5321</v>
      </c>
      <c r="C5540" s="106" t="s">
        <v>8</v>
      </c>
      <c r="D5540" s="107">
        <v>58.56</v>
      </c>
    </row>
    <row r="5541" spans="1:4" ht="51" x14ac:dyDescent="0.25">
      <c r="A5541" s="104">
        <v>87832</v>
      </c>
      <c r="B5541" s="105" t="s">
        <v>5322</v>
      </c>
      <c r="C5541" s="106" t="s">
        <v>8</v>
      </c>
      <c r="D5541" s="107">
        <v>100.59</v>
      </c>
    </row>
    <row r="5542" spans="1:4" ht="51" x14ac:dyDescent="0.25">
      <c r="A5542" s="104">
        <v>87834</v>
      </c>
      <c r="B5542" s="105" t="s">
        <v>5323</v>
      </c>
      <c r="C5542" s="106" t="s">
        <v>8</v>
      </c>
      <c r="D5542" s="107">
        <v>156.61000000000001</v>
      </c>
    </row>
    <row r="5543" spans="1:4" ht="38.25" x14ac:dyDescent="0.25">
      <c r="A5543" s="104">
        <v>87835</v>
      </c>
      <c r="B5543" s="105" t="s">
        <v>5324</v>
      </c>
      <c r="C5543" s="106" t="s">
        <v>8</v>
      </c>
      <c r="D5543" s="107">
        <v>107.14</v>
      </c>
    </row>
    <row r="5544" spans="1:4" ht="51" x14ac:dyDescent="0.25">
      <c r="A5544" s="104">
        <v>87836</v>
      </c>
      <c r="B5544" s="105" t="s">
        <v>5325</v>
      </c>
      <c r="C5544" s="106" t="s">
        <v>8</v>
      </c>
      <c r="D5544" s="107">
        <v>150.76</v>
      </c>
    </row>
    <row r="5545" spans="1:4" ht="51" x14ac:dyDescent="0.25">
      <c r="A5545" s="104">
        <v>87837</v>
      </c>
      <c r="B5545" s="105" t="s">
        <v>5326</v>
      </c>
      <c r="C5545" s="106" t="s">
        <v>8</v>
      </c>
      <c r="D5545" s="107">
        <v>102.04</v>
      </c>
    </row>
    <row r="5546" spans="1:4" ht="51" x14ac:dyDescent="0.25">
      <c r="A5546" s="104">
        <v>87838</v>
      </c>
      <c r="B5546" s="105" t="s">
        <v>5327</v>
      </c>
      <c r="C5546" s="106" t="s">
        <v>8</v>
      </c>
      <c r="D5546" s="107">
        <v>162.83000000000001</v>
      </c>
    </row>
    <row r="5547" spans="1:4" ht="51" x14ac:dyDescent="0.25">
      <c r="A5547" s="104">
        <v>87839</v>
      </c>
      <c r="B5547" s="105" t="s">
        <v>5328</v>
      </c>
      <c r="C5547" s="106" t="s">
        <v>8</v>
      </c>
      <c r="D5547" s="107">
        <v>111.25</v>
      </c>
    </row>
    <row r="5548" spans="1:4" ht="51" x14ac:dyDescent="0.25">
      <c r="A5548" s="104">
        <v>87840</v>
      </c>
      <c r="B5548" s="105" t="s">
        <v>5329</v>
      </c>
      <c r="C5548" s="106" t="s">
        <v>8</v>
      </c>
      <c r="D5548" s="107">
        <v>155.66</v>
      </c>
    </row>
    <row r="5549" spans="1:4" ht="51" x14ac:dyDescent="0.25">
      <c r="A5549" s="104">
        <v>87841</v>
      </c>
      <c r="B5549" s="105" t="s">
        <v>5330</v>
      </c>
      <c r="C5549" s="106" t="s">
        <v>8</v>
      </c>
      <c r="D5549" s="107">
        <v>104.82</v>
      </c>
    </row>
    <row r="5550" spans="1:4" ht="51" x14ac:dyDescent="0.25">
      <c r="A5550" s="104">
        <v>87842</v>
      </c>
      <c r="B5550" s="105" t="s">
        <v>5331</v>
      </c>
      <c r="C5550" s="106" t="s">
        <v>8</v>
      </c>
      <c r="D5550" s="107">
        <v>159.91999999999999</v>
      </c>
    </row>
    <row r="5551" spans="1:4" ht="51" x14ac:dyDescent="0.25">
      <c r="A5551" s="104">
        <v>87843</v>
      </c>
      <c r="B5551" s="105" t="s">
        <v>5332</v>
      </c>
      <c r="C5551" s="106" t="s">
        <v>8</v>
      </c>
      <c r="D5551" s="107">
        <v>117.2</v>
      </c>
    </row>
    <row r="5552" spans="1:4" ht="51" x14ac:dyDescent="0.25">
      <c r="A5552" s="104">
        <v>87844</v>
      </c>
      <c r="B5552" s="105" t="s">
        <v>5333</v>
      </c>
      <c r="C5552" s="106" t="s">
        <v>8</v>
      </c>
      <c r="D5552" s="107">
        <v>149.26</v>
      </c>
    </row>
    <row r="5553" spans="1:4" ht="51" x14ac:dyDescent="0.25">
      <c r="A5553" s="104">
        <v>87845</v>
      </c>
      <c r="B5553" s="105" t="s">
        <v>5334</v>
      </c>
      <c r="C5553" s="106" t="s">
        <v>8</v>
      </c>
      <c r="D5553" s="107">
        <v>107.3</v>
      </c>
    </row>
    <row r="5554" spans="1:4" ht="51" x14ac:dyDescent="0.25">
      <c r="A5554" s="104">
        <v>87846</v>
      </c>
      <c r="B5554" s="105" t="s">
        <v>5335</v>
      </c>
      <c r="C5554" s="106" t="s">
        <v>8</v>
      </c>
      <c r="D5554" s="107">
        <v>169.21</v>
      </c>
    </row>
    <row r="5555" spans="1:4" ht="38.25" x14ac:dyDescent="0.25">
      <c r="A5555" s="104">
        <v>87847</v>
      </c>
      <c r="B5555" s="105" t="s">
        <v>5336</v>
      </c>
      <c r="C5555" s="106" t="s">
        <v>8</v>
      </c>
      <c r="D5555" s="107">
        <v>119.72</v>
      </c>
    </row>
    <row r="5556" spans="1:4" ht="51" x14ac:dyDescent="0.25">
      <c r="A5556" s="104">
        <v>87848</v>
      </c>
      <c r="B5556" s="105" t="s">
        <v>5337</v>
      </c>
      <c r="C5556" s="106" t="s">
        <v>8</v>
      </c>
      <c r="D5556" s="107">
        <v>162.38999999999999</v>
      </c>
    </row>
    <row r="5557" spans="1:4" ht="51" x14ac:dyDescent="0.25">
      <c r="A5557" s="104">
        <v>87849</v>
      </c>
      <c r="B5557" s="105" t="s">
        <v>5338</v>
      </c>
      <c r="C5557" s="106" t="s">
        <v>8</v>
      </c>
      <c r="D5557" s="107">
        <v>113.67</v>
      </c>
    </row>
    <row r="5558" spans="1:4" ht="51" x14ac:dyDescent="0.25">
      <c r="A5558" s="104">
        <v>87850</v>
      </c>
      <c r="B5558" s="105" t="s">
        <v>5339</v>
      </c>
      <c r="C5558" s="106" t="s">
        <v>8</v>
      </c>
      <c r="D5558" s="107">
        <v>175.44</v>
      </c>
    </row>
    <row r="5559" spans="1:4" ht="51" x14ac:dyDescent="0.25">
      <c r="A5559" s="104">
        <v>87851</v>
      </c>
      <c r="B5559" s="105" t="s">
        <v>5340</v>
      </c>
      <c r="C5559" s="106" t="s">
        <v>8</v>
      </c>
      <c r="D5559" s="107">
        <v>123.85</v>
      </c>
    </row>
    <row r="5560" spans="1:4" ht="51" x14ac:dyDescent="0.25">
      <c r="A5560" s="104">
        <v>87852</v>
      </c>
      <c r="B5560" s="105" t="s">
        <v>5341</v>
      </c>
      <c r="C5560" s="106" t="s">
        <v>8</v>
      </c>
      <c r="D5560" s="107">
        <v>167.27</v>
      </c>
    </row>
    <row r="5561" spans="1:4" ht="51" x14ac:dyDescent="0.25">
      <c r="A5561" s="104">
        <v>87853</v>
      </c>
      <c r="B5561" s="105" t="s">
        <v>5342</v>
      </c>
      <c r="C5561" s="106" t="s">
        <v>8</v>
      </c>
      <c r="D5561" s="107">
        <v>116.43</v>
      </c>
    </row>
    <row r="5562" spans="1:4" ht="51" x14ac:dyDescent="0.25">
      <c r="A5562" s="104">
        <v>87854</v>
      </c>
      <c r="B5562" s="105" t="s">
        <v>5343</v>
      </c>
      <c r="C5562" s="106" t="s">
        <v>8</v>
      </c>
      <c r="D5562" s="107">
        <v>172.52</v>
      </c>
    </row>
    <row r="5563" spans="1:4" ht="51" x14ac:dyDescent="0.25">
      <c r="A5563" s="104">
        <v>87855</v>
      </c>
      <c r="B5563" s="105" t="s">
        <v>5344</v>
      </c>
      <c r="C5563" s="106" t="s">
        <v>8</v>
      </c>
      <c r="D5563" s="107">
        <v>129.81</v>
      </c>
    </row>
    <row r="5564" spans="1:4" ht="51" x14ac:dyDescent="0.25">
      <c r="A5564" s="104">
        <v>87856</v>
      </c>
      <c r="B5564" s="105" t="s">
        <v>5345</v>
      </c>
      <c r="C5564" s="106" t="s">
        <v>8</v>
      </c>
      <c r="D5564" s="107">
        <v>160.88999999999999</v>
      </c>
    </row>
    <row r="5565" spans="1:4" ht="51" x14ac:dyDescent="0.25">
      <c r="A5565" s="104">
        <v>87857</v>
      </c>
      <c r="B5565" s="105" t="s">
        <v>5346</v>
      </c>
      <c r="C5565" s="106" t="s">
        <v>8</v>
      </c>
      <c r="D5565" s="107">
        <v>118.92</v>
      </c>
    </row>
    <row r="5566" spans="1:4" ht="38.25" x14ac:dyDescent="0.25">
      <c r="A5566" s="104">
        <v>87858</v>
      </c>
      <c r="B5566" s="105" t="s">
        <v>5347</v>
      </c>
      <c r="C5566" s="106" t="s">
        <v>8</v>
      </c>
      <c r="D5566" s="107">
        <v>113.82</v>
      </c>
    </row>
    <row r="5567" spans="1:4" ht="38.25" x14ac:dyDescent="0.25">
      <c r="A5567" s="104">
        <v>87859</v>
      </c>
      <c r="B5567" s="105" t="s">
        <v>5348</v>
      </c>
      <c r="C5567" s="106" t="s">
        <v>8</v>
      </c>
      <c r="D5567" s="107">
        <v>130.58000000000001</v>
      </c>
    </row>
    <row r="5568" spans="1:4" ht="63.75" x14ac:dyDescent="0.25">
      <c r="A5568" s="104">
        <v>89048</v>
      </c>
      <c r="B5568" s="105" t="s">
        <v>5349</v>
      </c>
      <c r="C5568" s="106" t="s">
        <v>8</v>
      </c>
      <c r="D5568" s="107">
        <v>24.18</v>
      </c>
    </row>
    <row r="5569" spans="1:4" ht="51" x14ac:dyDescent="0.25">
      <c r="A5569" s="104">
        <v>89049</v>
      </c>
      <c r="B5569" s="105" t="s">
        <v>5350</v>
      </c>
      <c r="C5569" s="106" t="s">
        <v>8</v>
      </c>
      <c r="D5569" s="107">
        <v>16.12</v>
      </c>
    </row>
    <row r="5570" spans="1:4" ht="63.75" x14ac:dyDescent="0.25">
      <c r="A5570" s="104">
        <v>89173</v>
      </c>
      <c r="B5570" s="105" t="s">
        <v>206</v>
      </c>
      <c r="C5570" s="106" t="s">
        <v>8</v>
      </c>
      <c r="D5570" s="107">
        <v>23.77</v>
      </c>
    </row>
    <row r="5571" spans="1:4" ht="51" x14ac:dyDescent="0.25">
      <c r="A5571" s="104">
        <v>90406</v>
      </c>
      <c r="B5571" s="105" t="s">
        <v>359</v>
      </c>
      <c r="C5571" s="106" t="s">
        <v>8</v>
      </c>
      <c r="D5571" s="107">
        <v>31.03</v>
      </c>
    </row>
    <row r="5572" spans="1:4" ht="38.25" x14ac:dyDescent="0.25">
      <c r="A5572" s="104">
        <v>90407</v>
      </c>
      <c r="B5572" s="105" t="s">
        <v>5351</v>
      </c>
      <c r="C5572" s="106" t="s">
        <v>8</v>
      </c>
      <c r="D5572" s="107">
        <v>34.58</v>
      </c>
    </row>
    <row r="5573" spans="1:4" ht="51" x14ac:dyDescent="0.25">
      <c r="A5573" s="104">
        <v>90408</v>
      </c>
      <c r="B5573" s="105" t="s">
        <v>651</v>
      </c>
      <c r="C5573" s="106" t="s">
        <v>8</v>
      </c>
      <c r="D5573" s="107">
        <v>22.49</v>
      </c>
    </row>
    <row r="5574" spans="1:4" ht="38.25" x14ac:dyDescent="0.25">
      <c r="A5574" s="104">
        <v>90409</v>
      </c>
      <c r="B5574" s="105" t="s">
        <v>5352</v>
      </c>
      <c r="C5574" s="106" t="s">
        <v>8</v>
      </c>
      <c r="D5574" s="107">
        <v>24.5</v>
      </c>
    </row>
    <row r="5575" spans="1:4" ht="38.25" x14ac:dyDescent="0.25">
      <c r="A5575" s="104">
        <v>87242</v>
      </c>
      <c r="B5575" s="105" t="s">
        <v>5353</v>
      </c>
      <c r="C5575" s="106" t="s">
        <v>8</v>
      </c>
      <c r="D5575" s="107">
        <v>196.98</v>
      </c>
    </row>
    <row r="5576" spans="1:4" ht="38.25" x14ac:dyDescent="0.25">
      <c r="A5576" s="104">
        <v>87243</v>
      </c>
      <c r="B5576" s="105" t="s">
        <v>5354</v>
      </c>
      <c r="C5576" s="106" t="s">
        <v>8</v>
      </c>
      <c r="D5576" s="107">
        <v>181.48</v>
      </c>
    </row>
    <row r="5577" spans="1:4" ht="38.25" x14ac:dyDescent="0.25">
      <c r="A5577" s="104">
        <v>87244</v>
      </c>
      <c r="B5577" s="105" t="s">
        <v>5355</v>
      </c>
      <c r="C5577" s="106" t="s">
        <v>8</v>
      </c>
      <c r="D5577" s="107">
        <v>190.26</v>
      </c>
    </row>
    <row r="5578" spans="1:4" ht="38.25" x14ac:dyDescent="0.25">
      <c r="A5578" s="104">
        <v>87245</v>
      </c>
      <c r="B5578" s="105" t="s">
        <v>5356</v>
      </c>
      <c r="C5578" s="106" t="s">
        <v>8</v>
      </c>
      <c r="D5578" s="107">
        <v>228.68</v>
      </c>
    </row>
    <row r="5579" spans="1:4" ht="51" x14ac:dyDescent="0.25">
      <c r="A5579" s="104">
        <v>87264</v>
      </c>
      <c r="B5579" s="105" t="s">
        <v>5357</v>
      </c>
      <c r="C5579" s="106" t="s">
        <v>8</v>
      </c>
      <c r="D5579" s="107">
        <v>42.06</v>
      </c>
    </row>
    <row r="5580" spans="1:4" ht="51" x14ac:dyDescent="0.25">
      <c r="A5580" s="104">
        <v>87265</v>
      </c>
      <c r="B5580" s="105" t="s">
        <v>336</v>
      </c>
      <c r="C5580" s="106" t="s">
        <v>8</v>
      </c>
      <c r="D5580" s="107">
        <v>36.5</v>
      </c>
    </row>
    <row r="5581" spans="1:4" ht="51" x14ac:dyDescent="0.25">
      <c r="A5581" s="104">
        <v>87266</v>
      </c>
      <c r="B5581" s="105" t="s">
        <v>5358</v>
      </c>
      <c r="C5581" s="106" t="s">
        <v>8</v>
      </c>
      <c r="D5581" s="107">
        <v>44.04</v>
      </c>
    </row>
    <row r="5582" spans="1:4" ht="51" x14ac:dyDescent="0.25">
      <c r="A5582" s="104">
        <v>87267</v>
      </c>
      <c r="B5582" s="105" t="s">
        <v>5359</v>
      </c>
      <c r="C5582" s="106" t="s">
        <v>8</v>
      </c>
      <c r="D5582" s="107">
        <v>41.55</v>
      </c>
    </row>
    <row r="5583" spans="1:4" ht="51" x14ac:dyDescent="0.25">
      <c r="A5583" s="104">
        <v>87268</v>
      </c>
      <c r="B5583" s="105" t="s">
        <v>5360</v>
      </c>
      <c r="C5583" s="106" t="s">
        <v>8</v>
      </c>
      <c r="D5583" s="107">
        <v>45.22</v>
      </c>
    </row>
    <row r="5584" spans="1:4" ht="51" x14ac:dyDescent="0.25">
      <c r="A5584" s="104">
        <v>87269</v>
      </c>
      <c r="B5584" s="105" t="s">
        <v>5361</v>
      </c>
      <c r="C5584" s="106" t="s">
        <v>8</v>
      </c>
      <c r="D5584" s="107">
        <v>39.17</v>
      </c>
    </row>
    <row r="5585" spans="1:4" ht="51" x14ac:dyDescent="0.25">
      <c r="A5585" s="104">
        <v>87270</v>
      </c>
      <c r="B5585" s="105" t="s">
        <v>5362</v>
      </c>
      <c r="C5585" s="106" t="s">
        <v>8</v>
      </c>
      <c r="D5585" s="107">
        <v>46.89</v>
      </c>
    </row>
    <row r="5586" spans="1:4" ht="51" x14ac:dyDescent="0.25">
      <c r="A5586" s="104">
        <v>87271</v>
      </c>
      <c r="B5586" s="105" t="s">
        <v>5363</v>
      </c>
      <c r="C5586" s="106" t="s">
        <v>8</v>
      </c>
      <c r="D5586" s="107">
        <v>44.04</v>
      </c>
    </row>
    <row r="5587" spans="1:4" ht="51" x14ac:dyDescent="0.25">
      <c r="A5587" s="104">
        <v>87272</v>
      </c>
      <c r="B5587" s="105" t="s">
        <v>5364</v>
      </c>
      <c r="C5587" s="106" t="s">
        <v>8</v>
      </c>
      <c r="D5587" s="107">
        <v>48.46</v>
      </c>
    </row>
    <row r="5588" spans="1:4" ht="51" x14ac:dyDescent="0.25">
      <c r="A5588" s="104">
        <v>87273</v>
      </c>
      <c r="B5588" s="105" t="s">
        <v>5365</v>
      </c>
      <c r="C5588" s="106" t="s">
        <v>8</v>
      </c>
      <c r="D5588" s="107">
        <v>41.07</v>
      </c>
    </row>
    <row r="5589" spans="1:4" ht="51" x14ac:dyDescent="0.25">
      <c r="A5589" s="104">
        <v>87274</v>
      </c>
      <c r="B5589" s="105" t="s">
        <v>5366</v>
      </c>
      <c r="C5589" s="106" t="s">
        <v>8</v>
      </c>
      <c r="D5589" s="107">
        <v>49.64</v>
      </c>
    </row>
    <row r="5590" spans="1:4" ht="51" x14ac:dyDescent="0.25">
      <c r="A5590" s="104">
        <v>87275</v>
      </c>
      <c r="B5590" s="105" t="s">
        <v>5367</v>
      </c>
      <c r="C5590" s="106" t="s">
        <v>8</v>
      </c>
      <c r="D5590" s="107">
        <v>47.12</v>
      </c>
    </row>
    <row r="5591" spans="1:4" ht="38.25" x14ac:dyDescent="0.25">
      <c r="A5591" s="104">
        <v>88786</v>
      </c>
      <c r="B5591" s="105" t="s">
        <v>5368</v>
      </c>
      <c r="C5591" s="106" t="s">
        <v>8</v>
      </c>
      <c r="D5591" s="107">
        <v>219.43</v>
      </c>
    </row>
    <row r="5592" spans="1:4" ht="38.25" x14ac:dyDescent="0.25">
      <c r="A5592" s="104">
        <v>88787</v>
      </c>
      <c r="B5592" s="105" t="s">
        <v>5369</v>
      </c>
      <c r="C5592" s="106" t="s">
        <v>8</v>
      </c>
      <c r="D5592" s="107">
        <v>202.87</v>
      </c>
    </row>
    <row r="5593" spans="1:4" ht="51" x14ac:dyDescent="0.25">
      <c r="A5593" s="104">
        <v>88788</v>
      </c>
      <c r="B5593" s="105" t="s">
        <v>5370</v>
      </c>
      <c r="C5593" s="106" t="s">
        <v>8</v>
      </c>
      <c r="D5593" s="107">
        <v>211.65</v>
      </c>
    </row>
    <row r="5594" spans="1:4" ht="51" x14ac:dyDescent="0.25">
      <c r="A5594" s="104">
        <v>88789</v>
      </c>
      <c r="B5594" s="105" t="s">
        <v>5371</v>
      </c>
      <c r="C5594" s="106" t="s">
        <v>8</v>
      </c>
      <c r="D5594" s="107">
        <v>253.7</v>
      </c>
    </row>
    <row r="5595" spans="1:4" ht="63.75" x14ac:dyDescent="0.25">
      <c r="A5595" s="104">
        <v>89045</v>
      </c>
      <c r="B5595" s="105" t="s">
        <v>5372</v>
      </c>
      <c r="C5595" s="106" t="s">
        <v>8</v>
      </c>
      <c r="D5595" s="107">
        <v>41.92</v>
      </c>
    </row>
    <row r="5596" spans="1:4" ht="63.75" x14ac:dyDescent="0.25">
      <c r="A5596" s="104">
        <v>89170</v>
      </c>
      <c r="B5596" s="105" t="s">
        <v>5373</v>
      </c>
      <c r="C5596" s="106" t="s">
        <v>8</v>
      </c>
      <c r="D5596" s="107">
        <v>40.51</v>
      </c>
    </row>
    <row r="5597" spans="1:4" ht="51" x14ac:dyDescent="0.25">
      <c r="A5597" s="104">
        <v>93392</v>
      </c>
      <c r="B5597" s="105" t="s">
        <v>5374</v>
      </c>
      <c r="C5597" s="106" t="s">
        <v>8</v>
      </c>
      <c r="D5597" s="107">
        <v>34.28</v>
      </c>
    </row>
    <row r="5598" spans="1:4" ht="51" x14ac:dyDescent="0.25">
      <c r="A5598" s="104">
        <v>93393</v>
      </c>
      <c r="B5598" s="105" t="s">
        <v>5375</v>
      </c>
      <c r="C5598" s="106" t="s">
        <v>8</v>
      </c>
      <c r="D5598" s="107">
        <v>28.79</v>
      </c>
    </row>
    <row r="5599" spans="1:4" ht="51" x14ac:dyDescent="0.25">
      <c r="A5599" s="104">
        <v>93394</v>
      </c>
      <c r="B5599" s="105" t="s">
        <v>5376</v>
      </c>
      <c r="C5599" s="106" t="s">
        <v>8</v>
      </c>
      <c r="D5599" s="107">
        <v>36.26</v>
      </c>
    </row>
    <row r="5600" spans="1:4" ht="51" x14ac:dyDescent="0.25">
      <c r="A5600" s="104">
        <v>93395</v>
      </c>
      <c r="B5600" s="105" t="s">
        <v>5377</v>
      </c>
      <c r="C5600" s="106" t="s">
        <v>8</v>
      </c>
      <c r="D5600" s="107">
        <v>33.770000000000003</v>
      </c>
    </row>
    <row r="5601" spans="1:4" ht="51" x14ac:dyDescent="0.25">
      <c r="A5601" s="104">
        <v>99194</v>
      </c>
      <c r="B5601" s="105" t="s">
        <v>5378</v>
      </c>
      <c r="C5601" s="106" t="s">
        <v>8</v>
      </c>
      <c r="D5601" s="107">
        <v>40.799999999999997</v>
      </c>
    </row>
    <row r="5602" spans="1:4" ht="51" x14ac:dyDescent="0.25">
      <c r="A5602" s="104">
        <v>99195</v>
      </c>
      <c r="B5602" s="105" t="s">
        <v>5379</v>
      </c>
      <c r="C5602" s="106" t="s">
        <v>8</v>
      </c>
      <c r="D5602" s="107">
        <v>35.31</v>
      </c>
    </row>
    <row r="5603" spans="1:4" ht="51" x14ac:dyDescent="0.25">
      <c r="A5603" s="104">
        <v>99196</v>
      </c>
      <c r="B5603" s="105" t="s">
        <v>5380</v>
      </c>
      <c r="C5603" s="106" t="s">
        <v>8</v>
      </c>
      <c r="D5603" s="107">
        <v>42.78</v>
      </c>
    </row>
    <row r="5604" spans="1:4" ht="51" x14ac:dyDescent="0.25">
      <c r="A5604" s="104">
        <v>99198</v>
      </c>
      <c r="B5604" s="105" t="s">
        <v>5381</v>
      </c>
      <c r="C5604" s="106" t="s">
        <v>8</v>
      </c>
      <c r="D5604" s="107">
        <v>40.29</v>
      </c>
    </row>
    <row r="5605" spans="1:4" ht="38.25" x14ac:dyDescent="0.25">
      <c r="A5605" s="104">
        <v>84088</v>
      </c>
      <c r="B5605" s="105" t="s">
        <v>5382</v>
      </c>
      <c r="C5605" s="106" t="s">
        <v>16</v>
      </c>
      <c r="D5605" s="107">
        <v>102.94</v>
      </c>
    </row>
    <row r="5606" spans="1:4" ht="38.25" x14ac:dyDescent="0.25">
      <c r="A5606" s="104">
        <v>84089</v>
      </c>
      <c r="B5606" s="105" t="s">
        <v>5383</v>
      </c>
      <c r="C5606" s="106" t="s">
        <v>16</v>
      </c>
      <c r="D5606" s="107">
        <v>144.76</v>
      </c>
    </row>
    <row r="5607" spans="1:4" x14ac:dyDescent="0.25">
      <c r="A5607" s="104">
        <v>40675</v>
      </c>
      <c r="B5607" s="105" t="s">
        <v>5384</v>
      </c>
      <c r="C5607" s="106" t="s">
        <v>16</v>
      </c>
      <c r="D5607" s="107">
        <v>3.78</v>
      </c>
    </row>
    <row r="5608" spans="1:4" ht="25.5" x14ac:dyDescent="0.25">
      <c r="A5608" s="104">
        <v>96112</v>
      </c>
      <c r="B5608" s="105" t="s">
        <v>5385</v>
      </c>
      <c r="C5608" s="106" t="s">
        <v>8</v>
      </c>
      <c r="D5608" s="107">
        <v>84.97</v>
      </c>
    </row>
    <row r="5609" spans="1:4" ht="25.5" x14ac:dyDescent="0.25">
      <c r="A5609" s="104">
        <v>96117</v>
      </c>
      <c r="B5609" s="105" t="s">
        <v>5386</v>
      </c>
      <c r="C5609" s="106" t="s">
        <v>8</v>
      </c>
      <c r="D5609" s="107">
        <v>95.99</v>
      </c>
    </row>
    <row r="5610" spans="1:4" ht="25.5" x14ac:dyDescent="0.25">
      <c r="A5610" s="104">
        <v>96122</v>
      </c>
      <c r="B5610" s="105" t="s">
        <v>5387</v>
      </c>
      <c r="C5610" s="106" t="s">
        <v>16</v>
      </c>
      <c r="D5610" s="107">
        <v>21.43</v>
      </c>
    </row>
    <row r="5611" spans="1:4" ht="25.5" x14ac:dyDescent="0.25">
      <c r="A5611" s="104">
        <v>96109</v>
      </c>
      <c r="B5611" s="105" t="s">
        <v>5388</v>
      </c>
      <c r="C5611" s="106" t="s">
        <v>8</v>
      </c>
      <c r="D5611" s="107">
        <v>34.950000000000003</v>
      </c>
    </row>
    <row r="5612" spans="1:4" ht="25.5" x14ac:dyDescent="0.25">
      <c r="A5612" s="104">
        <v>96110</v>
      </c>
      <c r="B5612" s="105" t="s">
        <v>5389</v>
      </c>
      <c r="C5612" s="106" t="s">
        <v>8</v>
      </c>
      <c r="D5612" s="107">
        <v>54.76</v>
      </c>
    </row>
    <row r="5613" spans="1:4" ht="25.5" x14ac:dyDescent="0.25">
      <c r="A5613" s="104">
        <v>96113</v>
      </c>
      <c r="B5613" s="105" t="s">
        <v>5390</v>
      </c>
      <c r="C5613" s="106" t="s">
        <v>8</v>
      </c>
      <c r="D5613" s="107">
        <v>31.41</v>
      </c>
    </row>
    <row r="5614" spans="1:4" ht="25.5" x14ac:dyDescent="0.25">
      <c r="A5614" s="104">
        <v>96114</v>
      </c>
      <c r="B5614" s="105" t="s">
        <v>5391</v>
      </c>
      <c r="C5614" s="106" t="s">
        <v>8</v>
      </c>
      <c r="D5614" s="107">
        <v>56.95</v>
      </c>
    </row>
    <row r="5615" spans="1:4" x14ac:dyDescent="0.25">
      <c r="A5615" s="104">
        <v>96120</v>
      </c>
      <c r="B5615" s="105" t="s">
        <v>5392</v>
      </c>
      <c r="C5615" s="106" t="s">
        <v>16</v>
      </c>
      <c r="D5615" s="107">
        <v>2.44</v>
      </c>
    </row>
    <row r="5616" spans="1:4" ht="25.5" x14ac:dyDescent="0.25">
      <c r="A5616" s="104">
        <v>96123</v>
      </c>
      <c r="B5616" s="105" t="s">
        <v>5393</v>
      </c>
      <c r="C5616" s="106" t="s">
        <v>16</v>
      </c>
      <c r="D5616" s="107">
        <v>23.33</v>
      </c>
    </row>
    <row r="5617" spans="1:4" ht="25.5" x14ac:dyDescent="0.25">
      <c r="A5617" s="104">
        <v>99054</v>
      </c>
      <c r="B5617" s="105" t="s">
        <v>5394</v>
      </c>
      <c r="C5617" s="106" t="s">
        <v>8</v>
      </c>
      <c r="D5617" s="107">
        <v>42.47</v>
      </c>
    </row>
    <row r="5618" spans="1:4" x14ac:dyDescent="0.25">
      <c r="A5618" s="104" t="s">
        <v>5395</v>
      </c>
      <c r="B5618" s="105" t="s">
        <v>5396</v>
      </c>
      <c r="C5618" s="106" t="s">
        <v>16</v>
      </c>
      <c r="D5618" s="107">
        <v>84.69</v>
      </c>
    </row>
    <row r="5619" spans="1:4" ht="25.5" x14ac:dyDescent="0.25">
      <c r="A5619" s="104">
        <v>96111</v>
      </c>
      <c r="B5619" s="105" t="s">
        <v>5397</v>
      </c>
      <c r="C5619" s="106" t="s">
        <v>8</v>
      </c>
      <c r="D5619" s="107">
        <v>36.619999999999997</v>
      </c>
    </row>
    <row r="5620" spans="1:4" ht="25.5" x14ac:dyDescent="0.25">
      <c r="A5620" s="104">
        <v>96116</v>
      </c>
      <c r="B5620" s="105" t="s">
        <v>5398</v>
      </c>
      <c r="C5620" s="106" t="s">
        <v>8</v>
      </c>
      <c r="D5620" s="107">
        <v>40.75</v>
      </c>
    </row>
    <row r="5621" spans="1:4" ht="25.5" x14ac:dyDescent="0.25">
      <c r="A5621" s="104">
        <v>96121</v>
      </c>
      <c r="B5621" s="105" t="s">
        <v>5399</v>
      </c>
      <c r="C5621" s="106" t="s">
        <v>16</v>
      </c>
      <c r="D5621" s="107">
        <v>7.02</v>
      </c>
    </row>
    <row r="5622" spans="1:4" ht="25.5" x14ac:dyDescent="0.25">
      <c r="A5622" s="104">
        <v>96485</v>
      </c>
      <c r="B5622" s="105" t="s">
        <v>5400</v>
      </c>
      <c r="C5622" s="106" t="s">
        <v>8</v>
      </c>
      <c r="D5622" s="107">
        <v>42.15</v>
      </c>
    </row>
    <row r="5623" spans="1:4" ht="25.5" x14ac:dyDescent="0.25">
      <c r="A5623" s="104">
        <v>96486</v>
      </c>
      <c r="B5623" s="105" t="s">
        <v>5401</v>
      </c>
      <c r="C5623" s="106" t="s">
        <v>8</v>
      </c>
      <c r="D5623" s="107">
        <v>46.62</v>
      </c>
    </row>
    <row r="5624" spans="1:4" ht="38.25" x14ac:dyDescent="0.25">
      <c r="A5624" s="104">
        <v>91514</v>
      </c>
      <c r="B5624" s="105" t="s">
        <v>5402</v>
      </c>
      <c r="C5624" s="106" t="s">
        <v>8</v>
      </c>
      <c r="D5624" s="107">
        <v>4.6900000000000004</v>
      </c>
    </row>
    <row r="5625" spans="1:4" ht="38.25" x14ac:dyDescent="0.25">
      <c r="A5625" s="104">
        <v>91515</v>
      </c>
      <c r="B5625" s="105" t="s">
        <v>5403</v>
      </c>
      <c r="C5625" s="106" t="s">
        <v>8</v>
      </c>
      <c r="D5625" s="107">
        <v>6.2</v>
      </c>
    </row>
    <row r="5626" spans="1:4" ht="38.25" x14ac:dyDescent="0.25">
      <c r="A5626" s="104">
        <v>91516</v>
      </c>
      <c r="B5626" s="105" t="s">
        <v>5404</v>
      </c>
      <c r="C5626" s="106" t="s">
        <v>8</v>
      </c>
      <c r="D5626" s="107">
        <v>9.0500000000000007</v>
      </c>
    </row>
    <row r="5627" spans="1:4" ht="38.25" x14ac:dyDescent="0.25">
      <c r="A5627" s="104">
        <v>91517</v>
      </c>
      <c r="B5627" s="105" t="s">
        <v>5405</v>
      </c>
      <c r="C5627" s="106" t="s">
        <v>8</v>
      </c>
      <c r="D5627" s="107">
        <v>10.08</v>
      </c>
    </row>
    <row r="5628" spans="1:4" ht="38.25" x14ac:dyDescent="0.25">
      <c r="A5628" s="104">
        <v>91519</v>
      </c>
      <c r="B5628" s="105" t="s">
        <v>5406</v>
      </c>
      <c r="C5628" s="106" t="s">
        <v>8</v>
      </c>
      <c r="D5628" s="107">
        <v>11.57</v>
      </c>
    </row>
    <row r="5629" spans="1:4" ht="25.5" x14ac:dyDescent="0.25">
      <c r="A5629" s="104">
        <v>91520</v>
      </c>
      <c r="B5629" s="105" t="s">
        <v>5407</v>
      </c>
      <c r="C5629" s="106" t="s">
        <v>8</v>
      </c>
      <c r="D5629" s="107">
        <v>1.71</v>
      </c>
    </row>
    <row r="5630" spans="1:4" ht="25.5" x14ac:dyDescent="0.25">
      <c r="A5630" s="104">
        <v>91522</v>
      </c>
      <c r="B5630" s="105" t="s">
        <v>5408</v>
      </c>
      <c r="C5630" s="106" t="s">
        <v>8</v>
      </c>
      <c r="D5630" s="107">
        <v>2.06</v>
      </c>
    </row>
    <row r="5631" spans="1:4" ht="25.5" x14ac:dyDescent="0.25">
      <c r="A5631" s="104">
        <v>91525</v>
      </c>
      <c r="B5631" s="105" t="s">
        <v>5409</v>
      </c>
      <c r="C5631" s="106" t="s">
        <v>8</v>
      </c>
      <c r="D5631" s="107">
        <v>3.85</v>
      </c>
    </row>
    <row r="5632" spans="1:4" ht="51" x14ac:dyDescent="0.25">
      <c r="A5632" s="104">
        <v>87280</v>
      </c>
      <c r="B5632" s="105" t="s">
        <v>11590</v>
      </c>
      <c r="C5632" s="106" t="s">
        <v>13</v>
      </c>
      <c r="D5632" s="107">
        <v>267.16000000000003</v>
      </c>
    </row>
    <row r="5633" spans="1:4" ht="51" x14ac:dyDescent="0.25">
      <c r="A5633" s="104">
        <v>87281</v>
      </c>
      <c r="B5633" s="105" t="s">
        <v>11591</v>
      </c>
      <c r="C5633" s="106" t="s">
        <v>13</v>
      </c>
      <c r="D5633" s="107">
        <v>265.17</v>
      </c>
    </row>
    <row r="5634" spans="1:4" ht="51" x14ac:dyDescent="0.25">
      <c r="A5634" s="104">
        <v>87283</v>
      </c>
      <c r="B5634" s="105" t="s">
        <v>11592</v>
      </c>
      <c r="C5634" s="106" t="s">
        <v>13</v>
      </c>
      <c r="D5634" s="107">
        <v>278.61</v>
      </c>
    </row>
    <row r="5635" spans="1:4" ht="51" x14ac:dyDescent="0.25">
      <c r="A5635" s="104">
        <v>87284</v>
      </c>
      <c r="B5635" s="105" t="s">
        <v>11593</v>
      </c>
      <c r="C5635" s="106" t="s">
        <v>13</v>
      </c>
      <c r="D5635" s="107">
        <v>274.97000000000003</v>
      </c>
    </row>
    <row r="5636" spans="1:4" ht="51" x14ac:dyDescent="0.25">
      <c r="A5636" s="104">
        <v>87286</v>
      </c>
      <c r="B5636" s="105" t="s">
        <v>11594</v>
      </c>
      <c r="C5636" s="106" t="s">
        <v>13</v>
      </c>
      <c r="D5636" s="107">
        <v>347.76</v>
      </c>
    </row>
    <row r="5637" spans="1:4" ht="51" x14ac:dyDescent="0.25">
      <c r="A5637" s="104">
        <v>87287</v>
      </c>
      <c r="B5637" s="105" t="s">
        <v>11595</v>
      </c>
      <c r="C5637" s="106" t="s">
        <v>13</v>
      </c>
      <c r="D5637" s="107">
        <v>339.05</v>
      </c>
    </row>
    <row r="5638" spans="1:4" ht="51" x14ac:dyDescent="0.25">
      <c r="A5638" s="104">
        <v>87289</v>
      </c>
      <c r="B5638" s="105" t="s">
        <v>11596</v>
      </c>
      <c r="C5638" s="106" t="s">
        <v>13</v>
      </c>
      <c r="D5638" s="107">
        <v>334.44</v>
      </c>
    </row>
    <row r="5639" spans="1:4" ht="51" x14ac:dyDescent="0.25">
      <c r="A5639" s="104">
        <v>87290</v>
      </c>
      <c r="B5639" s="105" t="s">
        <v>11597</v>
      </c>
      <c r="C5639" s="106" t="s">
        <v>13</v>
      </c>
      <c r="D5639" s="107">
        <v>330.63</v>
      </c>
    </row>
    <row r="5640" spans="1:4" ht="51" x14ac:dyDescent="0.25">
      <c r="A5640" s="104">
        <v>87292</v>
      </c>
      <c r="B5640" s="105" t="s">
        <v>11598</v>
      </c>
      <c r="C5640" s="106" t="s">
        <v>13</v>
      </c>
      <c r="D5640" s="107">
        <v>342</v>
      </c>
    </row>
    <row r="5641" spans="1:4" ht="51" x14ac:dyDescent="0.25">
      <c r="A5641" s="104">
        <v>87294</v>
      </c>
      <c r="B5641" s="105" t="s">
        <v>11599</v>
      </c>
      <c r="C5641" s="106" t="s">
        <v>13</v>
      </c>
      <c r="D5641" s="107">
        <v>327.60000000000002</v>
      </c>
    </row>
    <row r="5642" spans="1:4" ht="51" x14ac:dyDescent="0.25">
      <c r="A5642" s="104">
        <v>87295</v>
      </c>
      <c r="B5642" s="105" t="s">
        <v>11600</v>
      </c>
      <c r="C5642" s="106" t="s">
        <v>13</v>
      </c>
      <c r="D5642" s="107">
        <v>332</v>
      </c>
    </row>
    <row r="5643" spans="1:4" ht="51" x14ac:dyDescent="0.25">
      <c r="A5643" s="104">
        <v>87296</v>
      </c>
      <c r="B5643" s="105" t="s">
        <v>11601</v>
      </c>
      <c r="C5643" s="106" t="s">
        <v>13</v>
      </c>
      <c r="D5643" s="107">
        <v>317.26</v>
      </c>
    </row>
    <row r="5644" spans="1:4" ht="38.25" x14ac:dyDescent="0.25">
      <c r="A5644" s="104">
        <v>87298</v>
      </c>
      <c r="B5644" s="105" t="s">
        <v>11602</v>
      </c>
      <c r="C5644" s="106" t="s">
        <v>13</v>
      </c>
      <c r="D5644" s="107">
        <v>419.71</v>
      </c>
    </row>
    <row r="5645" spans="1:4" ht="38.25" x14ac:dyDescent="0.25">
      <c r="A5645" s="104">
        <v>87299</v>
      </c>
      <c r="B5645" s="105" t="s">
        <v>11603</v>
      </c>
      <c r="C5645" s="106" t="s">
        <v>13</v>
      </c>
      <c r="D5645" s="107">
        <v>272.97000000000003</v>
      </c>
    </row>
    <row r="5646" spans="1:4" ht="38.25" x14ac:dyDescent="0.25">
      <c r="A5646" s="104">
        <v>87301</v>
      </c>
      <c r="B5646" s="105" t="s">
        <v>11604</v>
      </c>
      <c r="C5646" s="106" t="s">
        <v>13</v>
      </c>
      <c r="D5646" s="107">
        <v>375.38</v>
      </c>
    </row>
    <row r="5647" spans="1:4" ht="38.25" x14ac:dyDescent="0.25">
      <c r="A5647" s="104">
        <v>87302</v>
      </c>
      <c r="B5647" s="105" t="s">
        <v>11605</v>
      </c>
      <c r="C5647" s="106" t="s">
        <v>13</v>
      </c>
      <c r="D5647" s="107">
        <v>371.67</v>
      </c>
    </row>
    <row r="5648" spans="1:4" ht="38.25" x14ac:dyDescent="0.25">
      <c r="A5648" s="104">
        <v>87304</v>
      </c>
      <c r="B5648" s="105" t="s">
        <v>11606</v>
      </c>
      <c r="C5648" s="106" t="s">
        <v>13</v>
      </c>
      <c r="D5648" s="107">
        <v>338.12</v>
      </c>
    </row>
    <row r="5649" spans="1:4" ht="38.25" x14ac:dyDescent="0.25">
      <c r="A5649" s="104">
        <v>87305</v>
      </c>
      <c r="B5649" s="105" t="s">
        <v>11607</v>
      </c>
      <c r="C5649" s="106" t="s">
        <v>13</v>
      </c>
      <c r="D5649" s="107">
        <v>341.33</v>
      </c>
    </row>
    <row r="5650" spans="1:4" ht="38.25" x14ac:dyDescent="0.25">
      <c r="A5650" s="104">
        <v>87307</v>
      </c>
      <c r="B5650" s="105" t="s">
        <v>11608</v>
      </c>
      <c r="C5650" s="106" t="s">
        <v>13</v>
      </c>
      <c r="D5650" s="107">
        <v>320.43</v>
      </c>
    </row>
    <row r="5651" spans="1:4" ht="38.25" x14ac:dyDescent="0.25">
      <c r="A5651" s="104">
        <v>87308</v>
      </c>
      <c r="B5651" s="105" t="s">
        <v>11609</v>
      </c>
      <c r="C5651" s="106" t="s">
        <v>13</v>
      </c>
      <c r="D5651" s="107">
        <v>316.26</v>
      </c>
    </row>
    <row r="5652" spans="1:4" ht="38.25" x14ac:dyDescent="0.25">
      <c r="A5652" s="104">
        <v>87310</v>
      </c>
      <c r="B5652" s="105" t="s">
        <v>11610</v>
      </c>
      <c r="C5652" s="106" t="s">
        <v>13</v>
      </c>
      <c r="D5652" s="107">
        <v>270.60000000000002</v>
      </c>
    </row>
    <row r="5653" spans="1:4" ht="38.25" x14ac:dyDescent="0.25">
      <c r="A5653" s="104">
        <v>87311</v>
      </c>
      <c r="B5653" s="105" t="s">
        <v>11611</v>
      </c>
      <c r="C5653" s="106" t="s">
        <v>13</v>
      </c>
      <c r="D5653" s="107">
        <v>266.17</v>
      </c>
    </row>
    <row r="5654" spans="1:4" ht="38.25" x14ac:dyDescent="0.25">
      <c r="A5654" s="104">
        <v>87313</v>
      </c>
      <c r="B5654" s="105" t="s">
        <v>11612</v>
      </c>
      <c r="C5654" s="106" t="s">
        <v>13</v>
      </c>
      <c r="D5654" s="107">
        <v>330.1</v>
      </c>
    </row>
    <row r="5655" spans="1:4" ht="38.25" x14ac:dyDescent="0.25">
      <c r="A5655" s="104">
        <v>87314</v>
      </c>
      <c r="B5655" s="105" t="s">
        <v>11613</v>
      </c>
      <c r="C5655" s="106" t="s">
        <v>13</v>
      </c>
      <c r="D5655" s="107">
        <v>326.88</v>
      </c>
    </row>
    <row r="5656" spans="1:4" ht="38.25" x14ac:dyDescent="0.25">
      <c r="A5656" s="106">
        <v>87316</v>
      </c>
      <c r="B5656" s="105" t="s">
        <v>11614</v>
      </c>
      <c r="C5656" s="106" t="s">
        <v>13</v>
      </c>
      <c r="D5656" s="107">
        <v>298.39</v>
      </c>
    </row>
    <row r="5657" spans="1:4" ht="38.25" x14ac:dyDescent="0.25">
      <c r="A5657" s="104">
        <v>87317</v>
      </c>
      <c r="B5657" s="105" t="s">
        <v>11615</v>
      </c>
      <c r="C5657" s="106" t="s">
        <v>13</v>
      </c>
      <c r="D5657" s="107">
        <v>291.02</v>
      </c>
    </row>
    <row r="5658" spans="1:4" ht="38.25" x14ac:dyDescent="0.25">
      <c r="A5658" s="104">
        <v>87319</v>
      </c>
      <c r="B5658" s="105" t="s">
        <v>11616</v>
      </c>
      <c r="C5658" s="106" t="s">
        <v>13</v>
      </c>
      <c r="D5658" s="107">
        <v>1693.2</v>
      </c>
    </row>
    <row r="5659" spans="1:4" ht="38.25" x14ac:dyDescent="0.25">
      <c r="A5659" s="104">
        <v>87320</v>
      </c>
      <c r="B5659" s="105" t="s">
        <v>11617</v>
      </c>
      <c r="C5659" s="106" t="s">
        <v>13</v>
      </c>
      <c r="D5659" s="107">
        <v>1696.51</v>
      </c>
    </row>
    <row r="5660" spans="1:4" ht="38.25" x14ac:dyDescent="0.25">
      <c r="A5660" s="104">
        <v>87322</v>
      </c>
      <c r="B5660" s="105" t="s">
        <v>11618</v>
      </c>
      <c r="C5660" s="106" t="s">
        <v>13</v>
      </c>
      <c r="D5660" s="107">
        <v>1758.13</v>
      </c>
    </row>
    <row r="5661" spans="1:4" ht="38.25" x14ac:dyDescent="0.25">
      <c r="A5661" s="104">
        <v>87323</v>
      </c>
      <c r="B5661" s="105" t="s">
        <v>11619</v>
      </c>
      <c r="C5661" s="106" t="s">
        <v>13</v>
      </c>
      <c r="D5661" s="107">
        <v>1757.19</v>
      </c>
    </row>
    <row r="5662" spans="1:4" ht="38.25" x14ac:dyDescent="0.25">
      <c r="A5662" s="104">
        <v>87325</v>
      </c>
      <c r="B5662" s="105" t="s">
        <v>11620</v>
      </c>
      <c r="C5662" s="106" t="s">
        <v>13</v>
      </c>
      <c r="D5662" s="107">
        <v>1712.19</v>
      </c>
    </row>
    <row r="5663" spans="1:4" ht="38.25" x14ac:dyDescent="0.25">
      <c r="A5663" s="104">
        <v>87326</v>
      </c>
      <c r="B5663" s="105" t="s">
        <v>11621</v>
      </c>
      <c r="C5663" s="106" t="s">
        <v>13</v>
      </c>
      <c r="D5663" s="107">
        <v>1715.05</v>
      </c>
    </row>
    <row r="5664" spans="1:4" ht="63.75" x14ac:dyDescent="0.25">
      <c r="A5664" s="106">
        <v>87327</v>
      </c>
      <c r="B5664" s="105" t="s">
        <v>11622</v>
      </c>
      <c r="C5664" s="106" t="s">
        <v>13</v>
      </c>
      <c r="D5664" s="107">
        <v>281.8</v>
      </c>
    </row>
    <row r="5665" spans="1:4" ht="63.75" x14ac:dyDescent="0.25">
      <c r="A5665" s="104">
        <v>87328</v>
      </c>
      <c r="B5665" s="105" t="s">
        <v>11623</v>
      </c>
      <c r="C5665" s="106" t="s">
        <v>13</v>
      </c>
      <c r="D5665" s="107">
        <v>247.79</v>
      </c>
    </row>
    <row r="5666" spans="1:4" ht="63.75" x14ac:dyDescent="0.25">
      <c r="A5666" s="104">
        <v>87329</v>
      </c>
      <c r="B5666" s="105" t="s">
        <v>11624</v>
      </c>
      <c r="C5666" s="106" t="s">
        <v>13</v>
      </c>
      <c r="D5666" s="107">
        <v>303.20999999999998</v>
      </c>
    </row>
    <row r="5667" spans="1:4" ht="63.75" x14ac:dyDescent="0.25">
      <c r="A5667" s="104">
        <v>87330</v>
      </c>
      <c r="B5667" s="105" t="s">
        <v>11625</v>
      </c>
      <c r="C5667" s="106" t="s">
        <v>13</v>
      </c>
      <c r="D5667" s="107">
        <v>264.51</v>
      </c>
    </row>
    <row r="5668" spans="1:4" ht="51" x14ac:dyDescent="0.25">
      <c r="A5668" s="104">
        <v>87331</v>
      </c>
      <c r="B5668" s="105" t="s">
        <v>11626</v>
      </c>
      <c r="C5668" s="106" t="s">
        <v>13</v>
      </c>
      <c r="D5668" s="107">
        <v>361.76</v>
      </c>
    </row>
    <row r="5669" spans="1:4" ht="51" x14ac:dyDescent="0.25">
      <c r="A5669" s="104">
        <v>87332</v>
      </c>
      <c r="B5669" s="105" t="s">
        <v>11627</v>
      </c>
      <c r="C5669" s="106" t="s">
        <v>13</v>
      </c>
      <c r="D5669" s="107">
        <v>326.52999999999997</v>
      </c>
    </row>
    <row r="5670" spans="1:4" ht="51" x14ac:dyDescent="0.25">
      <c r="A5670" s="104">
        <v>87333</v>
      </c>
      <c r="B5670" s="105" t="s">
        <v>11628</v>
      </c>
      <c r="C5670" s="106" t="s">
        <v>13</v>
      </c>
      <c r="D5670" s="107">
        <v>337.88</v>
      </c>
    </row>
    <row r="5671" spans="1:4" ht="51" x14ac:dyDescent="0.25">
      <c r="A5671" s="104">
        <v>87334</v>
      </c>
      <c r="B5671" s="105" t="s">
        <v>11629</v>
      </c>
      <c r="C5671" s="106" t="s">
        <v>13</v>
      </c>
      <c r="D5671" s="107">
        <v>316.93</v>
      </c>
    </row>
    <row r="5672" spans="1:4" ht="51" x14ac:dyDescent="0.25">
      <c r="A5672" s="104">
        <v>87335</v>
      </c>
      <c r="B5672" s="105" t="s">
        <v>11630</v>
      </c>
      <c r="C5672" s="106" t="s">
        <v>13</v>
      </c>
      <c r="D5672" s="107">
        <v>333.59</v>
      </c>
    </row>
    <row r="5673" spans="1:4" ht="51" x14ac:dyDescent="0.25">
      <c r="A5673" s="104">
        <v>87336</v>
      </c>
      <c r="B5673" s="105" t="s">
        <v>11631</v>
      </c>
      <c r="C5673" s="106" t="s">
        <v>13</v>
      </c>
      <c r="D5673" s="107">
        <v>327.13</v>
      </c>
    </row>
    <row r="5674" spans="1:4" ht="51" x14ac:dyDescent="0.25">
      <c r="A5674" s="104">
        <v>87337</v>
      </c>
      <c r="B5674" s="105" t="s">
        <v>11632</v>
      </c>
      <c r="C5674" s="106" t="s">
        <v>13</v>
      </c>
      <c r="D5674" s="107">
        <v>328.02</v>
      </c>
    </row>
    <row r="5675" spans="1:4" ht="51" x14ac:dyDescent="0.25">
      <c r="A5675" s="104">
        <v>87338</v>
      </c>
      <c r="B5675" s="105" t="s">
        <v>11633</v>
      </c>
      <c r="C5675" s="106" t="s">
        <v>13</v>
      </c>
      <c r="D5675" s="107">
        <v>316.45</v>
      </c>
    </row>
    <row r="5676" spans="1:4" ht="38.25" x14ac:dyDescent="0.25">
      <c r="A5676" s="104">
        <v>87339</v>
      </c>
      <c r="B5676" s="105" t="s">
        <v>11634</v>
      </c>
      <c r="C5676" s="106" t="s">
        <v>13</v>
      </c>
      <c r="D5676" s="107">
        <v>491.86</v>
      </c>
    </row>
    <row r="5677" spans="1:4" ht="38.25" x14ac:dyDescent="0.25">
      <c r="A5677" s="104">
        <v>87340</v>
      </c>
      <c r="B5677" s="105" t="s">
        <v>11635</v>
      </c>
      <c r="C5677" s="106" t="s">
        <v>13</v>
      </c>
      <c r="D5677" s="107">
        <v>418.83</v>
      </c>
    </row>
    <row r="5678" spans="1:4" ht="38.25" x14ac:dyDescent="0.25">
      <c r="A5678" s="104">
        <v>87341</v>
      </c>
      <c r="B5678" s="105" t="s">
        <v>11636</v>
      </c>
      <c r="C5678" s="106" t="s">
        <v>13</v>
      </c>
      <c r="D5678" s="107">
        <v>401.49</v>
      </c>
    </row>
    <row r="5679" spans="1:4" ht="38.25" x14ac:dyDescent="0.25">
      <c r="A5679" s="104">
        <v>87342</v>
      </c>
      <c r="B5679" s="105" t="s">
        <v>11637</v>
      </c>
      <c r="C5679" s="106" t="s">
        <v>13</v>
      </c>
      <c r="D5679" s="107">
        <v>417.76</v>
      </c>
    </row>
    <row r="5680" spans="1:4" ht="38.25" x14ac:dyDescent="0.25">
      <c r="A5680" s="104">
        <v>87343</v>
      </c>
      <c r="B5680" s="105" t="s">
        <v>11638</v>
      </c>
      <c r="C5680" s="106" t="s">
        <v>13</v>
      </c>
      <c r="D5680" s="107">
        <v>376.59</v>
      </c>
    </row>
    <row r="5681" spans="1:4" ht="38.25" x14ac:dyDescent="0.25">
      <c r="A5681" s="104">
        <v>87344</v>
      </c>
      <c r="B5681" s="105" t="s">
        <v>11639</v>
      </c>
      <c r="C5681" s="106" t="s">
        <v>13</v>
      </c>
      <c r="D5681" s="107">
        <v>354.79</v>
      </c>
    </row>
    <row r="5682" spans="1:4" ht="38.25" x14ac:dyDescent="0.25">
      <c r="A5682" s="104">
        <v>87345</v>
      </c>
      <c r="B5682" s="105" t="s">
        <v>11640</v>
      </c>
      <c r="C5682" s="106" t="s">
        <v>13</v>
      </c>
      <c r="D5682" s="107">
        <v>373.72</v>
      </c>
    </row>
    <row r="5683" spans="1:4" ht="38.25" x14ac:dyDescent="0.25">
      <c r="A5683" s="104">
        <v>87346</v>
      </c>
      <c r="B5683" s="105" t="s">
        <v>11641</v>
      </c>
      <c r="C5683" s="106" t="s">
        <v>13</v>
      </c>
      <c r="D5683" s="107">
        <v>339.84</v>
      </c>
    </row>
    <row r="5684" spans="1:4" ht="38.25" x14ac:dyDescent="0.25">
      <c r="A5684" s="104">
        <v>87347</v>
      </c>
      <c r="B5684" s="105" t="s">
        <v>11642</v>
      </c>
      <c r="C5684" s="106" t="s">
        <v>13</v>
      </c>
      <c r="D5684" s="107">
        <v>322.63</v>
      </c>
    </row>
    <row r="5685" spans="1:4" ht="38.25" x14ac:dyDescent="0.25">
      <c r="A5685" s="104">
        <v>87348</v>
      </c>
      <c r="B5685" s="105" t="s">
        <v>11643</v>
      </c>
      <c r="C5685" s="106" t="s">
        <v>13</v>
      </c>
      <c r="D5685" s="107">
        <v>340.92</v>
      </c>
    </row>
    <row r="5686" spans="1:4" ht="38.25" x14ac:dyDescent="0.25">
      <c r="A5686" s="104">
        <v>87349</v>
      </c>
      <c r="B5686" s="105" t="s">
        <v>11644</v>
      </c>
      <c r="C5686" s="106" t="s">
        <v>13</v>
      </c>
      <c r="D5686" s="107">
        <v>297.47000000000003</v>
      </c>
    </row>
    <row r="5687" spans="1:4" ht="38.25" x14ac:dyDescent="0.25">
      <c r="A5687" s="104">
        <v>87350</v>
      </c>
      <c r="B5687" s="105" t="s">
        <v>11645</v>
      </c>
      <c r="C5687" s="106" t="s">
        <v>13</v>
      </c>
      <c r="D5687" s="107">
        <v>298.45</v>
      </c>
    </row>
    <row r="5688" spans="1:4" ht="38.25" x14ac:dyDescent="0.25">
      <c r="A5688" s="104">
        <v>87351</v>
      </c>
      <c r="B5688" s="105" t="s">
        <v>11646</v>
      </c>
      <c r="C5688" s="106" t="s">
        <v>13</v>
      </c>
      <c r="D5688" s="107">
        <v>256.67</v>
      </c>
    </row>
    <row r="5689" spans="1:4" ht="38.25" x14ac:dyDescent="0.25">
      <c r="A5689" s="104">
        <v>87352</v>
      </c>
      <c r="B5689" s="105" t="s">
        <v>11647</v>
      </c>
      <c r="C5689" s="106" t="s">
        <v>13</v>
      </c>
      <c r="D5689" s="107">
        <v>378.3</v>
      </c>
    </row>
    <row r="5690" spans="1:4" ht="38.25" x14ac:dyDescent="0.25">
      <c r="A5690" s="104">
        <v>87353</v>
      </c>
      <c r="B5690" s="105" t="s">
        <v>11648</v>
      </c>
      <c r="C5690" s="106" t="s">
        <v>13</v>
      </c>
      <c r="D5690" s="107">
        <v>333.12</v>
      </c>
    </row>
    <row r="5691" spans="1:4" ht="38.25" x14ac:dyDescent="0.25">
      <c r="A5691" s="104">
        <v>87354</v>
      </c>
      <c r="B5691" s="105" t="s">
        <v>11649</v>
      </c>
      <c r="C5691" s="106" t="s">
        <v>13</v>
      </c>
      <c r="D5691" s="107">
        <v>313.91000000000003</v>
      </c>
    </row>
    <row r="5692" spans="1:4" ht="38.25" x14ac:dyDescent="0.25">
      <c r="A5692" s="104">
        <v>87355</v>
      </c>
      <c r="B5692" s="105" t="s">
        <v>11650</v>
      </c>
      <c r="C5692" s="106" t="s">
        <v>13</v>
      </c>
      <c r="D5692" s="107">
        <v>321.27</v>
      </c>
    </row>
    <row r="5693" spans="1:4" ht="38.25" x14ac:dyDescent="0.25">
      <c r="A5693" s="104">
        <v>87356</v>
      </c>
      <c r="B5693" s="105" t="s">
        <v>11651</v>
      </c>
      <c r="C5693" s="106" t="s">
        <v>13</v>
      </c>
      <c r="D5693" s="107">
        <v>291</v>
      </c>
    </row>
    <row r="5694" spans="1:4" ht="38.25" x14ac:dyDescent="0.25">
      <c r="A5694" s="104">
        <v>87357</v>
      </c>
      <c r="B5694" s="105" t="s">
        <v>11652</v>
      </c>
      <c r="C5694" s="106" t="s">
        <v>13</v>
      </c>
      <c r="D5694" s="107">
        <v>277.12</v>
      </c>
    </row>
    <row r="5695" spans="1:4" ht="51" x14ac:dyDescent="0.25">
      <c r="A5695" s="104">
        <v>87358</v>
      </c>
      <c r="B5695" s="105" t="s">
        <v>11653</v>
      </c>
      <c r="C5695" s="106" t="s">
        <v>13</v>
      </c>
      <c r="D5695" s="107">
        <v>1679.28</v>
      </c>
    </row>
    <row r="5696" spans="1:4" ht="51" x14ac:dyDescent="0.25">
      <c r="A5696" s="104">
        <v>87359</v>
      </c>
      <c r="B5696" s="105" t="s">
        <v>11654</v>
      </c>
      <c r="C5696" s="106" t="s">
        <v>13</v>
      </c>
      <c r="D5696" s="107">
        <v>1661.93</v>
      </c>
    </row>
    <row r="5697" spans="1:4" ht="51" x14ac:dyDescent="0.25">
      <c r="A5697" s="104">
        <v>87360</v>
      </c>
      <c r="B5697" s="105" t="s">
        <v>11655</v>
      </c>
      <c r="C5697" s="106" t="s">
        <v>13</v>
      </c>
      <c r="D5697" s="107">
        <v>1744.95</v>
      </c>
    </row>
    <row r="5698" spans="1:4" ht="51" x14ac:dyDescent="0.25">
      <c r="A5698" s="104">
        <v>87361</v>
      </c>
      <c r="B5698" s="105" t="s">
        <v>11656</v>
      </c>
      <c r="C5698" s="106" t="s">
        <v>13</v>
      </c>
      <c r="D5698" s="107">
        <v>1717.15</v>
      </c>
    </row>
    <row r="5699" spans="1:4" ht="51" x14ac:dyDescent="0.25">
      <c r="A5699" s="104">
        <v>87362</v>
      </c>
      <c r="B5699" s="105" t="s">
        <v>11657</v>
      </c>
      <c r="C5699" s="106" t="s">
        <v>13</v>
      </c>
      <c r="D5699" s="107">
        <v>1714.71</v>
      </c>
    </row>
    <row r="5700" spans="1:4" ht="51" x14ac:dyDescent="0.25">
      <c r="A5700" s="104">
        <v>87363</v>
      </c>
      <c r="B5700" s="105" t="s">
        <v>11658</v>
      </c>
      <c r="C5700" s="106" t="s">
        <v>13</v>
      </c>
      <c r="D5700" s="107">
        <v>1703.13</v>
      </c>
    </row>
    <row r="5701" spans="1:4" ht="51" x14ac:dyDescent="0.25">
      <c r="A5701" s="104">
        <v>87364</v>
      </c>
      <c r="B5701" s="105" t="s">
        <v>11659</v>
      </c>
      <c r="C5701" s="106" t="s">
        <v>13</v>
      </c>
      <c r="D5701" s="107">
        <v>1683.51</v>
      </c>
    </row>
    <row r="5702" spans="1:4" ht="51" x14ac:dyDescent="0.25">
      <c r="A5702" s="104">
        <v>87365</v>
      </c>
      <c r="B5702" s="105" t="s">
        <v>11660</v>
      </c>
      <c r="C5702" s="106" t="s">
        <v>13</v>
      </c>
      <c r="D5702" s="107">
        <v>356.27</v>
      </c>
    </row>
    <row r="5703" spans="1:4" ht="51" x14ac:dyDescent="0.25">
      <c r="A5703" s="104">
        <v>87366</v>
      </c>
      <c r="B5703" s="105" t="s">
        <v>11661</v>
      </c>
      <c r="C5703" s="106" t="s">
        <v>13</v>
      </c>
      <c r="D5703" s="109">
        <v>376.17</v>
      </c>
    </row>
    <row r="5704" spans="1:4" ht="38.25" x14ac:dyDescent="0.25">
      <c r="A5704" s="104">
        <v>87367</v>
      </c>
      <c r="B5704" s="105" t="s">
        <v>11662</v>
      </c>
      <c r="C5704" s="106" t="s">
        <v>13</v>
      </c>
      <c r="D5704" s="109">
        <v>437.85</v>
      </c>
    </row>
    <row r="5705" spans="1:4" ht="38.25" x14ac:dyDescent="0.25">
      <c r="A5705" s="104">
        <v>87368</v>
      </c>
      <c r="B5705" s="105" t="s">
        <v>11663</v>
      </c>
      <c r="C5705" s="106" t="s">
        <v>13</v>
      </c>
      <c r="D5705" s="109">
        <v>427.21</v>
      </c>
    </row>
    <row r="5706" spans="1:4" ht="38.25" x14ac:dyDescent="0.25">
      <c r="A5706" s="104">
        <v>87369</v>
      </c>
      <c r="B5706" s="105" t="s">
        <v>11664</v>
      </c>
      <c r="C5706" s="106" t="s">
        <v>13</v>
      </c>
      <c r="D5706" s="109">
        <v>436.31</v>
      </c>
    </row>
    <row r="5707" spans="1:4" ht="38.25" x14ac:dyDescent="0.25">
      <c r="A5707" s="104">
        <v>87370</v>
      </c>
      <c r="B5707" s="105" t="s">
        <v>11665</v>
      </c>
      <c r="C5707" s="106" t="s">
        <v>13</v>
      </c>
      <c r="D5707" s="109">
        <v>420.84</v>
      </c>
    </row>
    <row r="5708" spans="1:4" ht="38.25" x14ac:dyDescent="0.25">
      <c r="A5708" s="104">
        <v>87371</v>
      </c>
      <c r="B5708" s="105" t="s">
        <v>11666</v>
      </c>
      <c r="C5708" s="106" t="s">
        <v>13</v>
      </c>
      <c r="D5708" s="109">
        <v>411.73</v>
      </c>
    </row>
    <row r="5709" spans="1:4" ht="25.5" x14ac:dyDescent="0.25">
      <c r="A5709" s="104">
        <v>87372</v>
      </c>
      <c r="B5709" s="105" t="s">
        <v>11667</v>
      </c>
      <c r="C5709" s="106" t="s">
        <v>13</v>
      </c>
      <c r="D5709" s="107">
        <v>521.67999999999995</v>
      </c>
    </row>
    <row r="5710" spans="1:4" ht="25.5" x14ac:dyDescent="0.25">
      <c r="A5710" s="104">
        <v>87373</v>
      </c>
      <c r="B5710" s="105" t="s">
        <v>11668</v>
      </c>
      <c r="C5710" s="106" t="s">
        <v>13</v>
      </c>
      <c r="D5710" s="107">
        <v>465.46</v>
      </c>
    </row>
    <row r="5711" spans="1:4" ht="25.5" x14ac:dyDescent="0.25">
      <c r="A5711" s="104">
        <v>87374</v>
      </c>
      <c r="B5711" s="105" t="s">
        <v>11669</v>
      </c>
      <c r="C5711" s="106" t="s">
        <v>13</v>
      </c>
      <c r="D5711" s="107">
        <v>434.26</v>
      </c>
    </row>
    <row r="5712" spans="1:4" ht="25.5" x14ac:dyDescent="0.25">
      <c r="A5712" s="104">
        <v>87375</v>
      </c>
      <c r="B5712" s="105" t="s">
        <v>11670</v>
      </c>
      <c r="C5712" s="106" t="s">
        <v>13</v>
      </c>
      <c r="D5712" s="107">
        <v>414.38</v>
      </c>
    </row>
    <row r="5713" spans="1:4" ht="38.25" x14ac:dyDescent="0.25">
      <c r="A5713" s="104">
        <v>87376</v>
      </c>
      <c r="B5713" s="105" t="s">
        <v>11671</v>
      </c>
      <c r="C5713" s="106" t="s">
        <v>13</v>
      </c>
      <c r="D5713" s="107">
        <v>365.31</v>
      </c>
    </row>
    <row r="5714" spans="1:4" ht="38.25" x14ac:dyDescent="0.25">
      <c r="A5714" s="104">
        <v>87377</v>
      </c>
      <c r="B5714" s="105" t="s">
        <v>11672</v>
      </c>
      <c r="C5714" s="106" t="s">
        <v>13</v>
      </c>
      <c r="D5714" s="107">
        <v>427.94</v>
      </c>
    </row>
    <row r="5715" spans="1:4" ht="38.25" x14ac:dyDescent="0.25">
      <c r="A5715" s="104">
        <v>87378</v>
      </c>
      <c r="B5715" s="105" t="s">
        <v>11673</v>
      </c>
      <c r="C5715" s="106" t="s">
        <v>13</v>
      </c>
      <c r="D5715" s="107">
        <v>387.14</v>
      </c>
    </row>
    <row r="5716" spans="1:4" ht="38.25" x14ac:dyDescent="0.25">
      <c r="A5716" s="104">
        <v>87379</v>
      </c>
      <c r="B5716" s="105" t="s">
        <v>11674</v>
      </c>
      <c r="C5716" s="106" t="s">
        <v>13</v>
      </c>
      <c r="D5716" s="107">
        <v>1777.81</v>
      </c>
    </row>
    <row r="5717" spans="1:4" ht="38.25" x14ac:dyDescent="0.25">
      <c r="A5717" s="104">
        <v>87380</v>
      </c>
      <c r="B5717" s="105" t="s">
        <v>11675</v>
      </c>
      <c r="C5717" s="106" t="s">
        <v>13</v>
      </c>
      <c r="D5717" s="107">
        <v>1835.57</v>
      </c>
    </row>
    <row r="5718" spans="1:4" ht="38.25" x14ac:dyDescent="0.25">
      <c r="A5718" s="104">
        <v>87381</v>
      </c>
      <c r="B5718" s="105" t="s">
        <v>11676</v>
      </c>
      <c r="C5718" s="106" t="s">
        <v>13</v>
      </c>
      <c r="D5718" s="107">
        <v>1797.52</v>
      </c>
    </row>
    <row r="5719" spans="1:4" ht="38.25" x14ac:dyDescent="0.25">
      <c r="A5719" s="104">
        <v>87382</v>
      </c>
      <c r="B5719" s="105" t="s">
        <v>11677</v>
      </c>
      <c r="C5719" s="106" t="s">
        <v>13</v>
      </c>
      <c r="D5719" s="107">
        <v>1368.86</v>
      </c>
    </row>
    <row r="5720" spans="1:4" ht="38.25" x14ac:dyDescent="0.25">
      <c r="A5720" s="104">
        <v>87383</v>
      </c>
      <c r="B5720" s="105" t="s">
        <v>11678</v>
      </c>
      <c r="C5720" s="106" t="s">
        <v>13</v>
      </c>
      <c r="D5720" s="107">
        <v>1369.59</v>
      </c>
    </row>
    <row r="5721" spans="1:4" ht="38.25" x14ac:dyDescent="0.25">
      <c r="A5721" s="104">
        <v>87384</v>
      </c>
      <c r="B5721" s="105" t="s">
        <v>11679</v>
      </c>
      <c r="C5721" s="106" t="s">
        <v>13</v>
      </c>
      <c r="D5721" s="107">
        <v>1367.75</v>
      </c>
    </row>
    <row r="5722" spans="1:4" ht="25.5" x14ac:dyDescent="0.25">
      <c r="A5722" s="104">
        <v>87385</v>
      </c>
      <c r="B5722" s="105" t="s">
        <v>11680</v>
      </c>
      <c r="C5722" s="106" t="s">
        <v>13</v>
      </c>
      <c r="D5722" s="107">
        <v>1584.47</v>
      </c>
    </row>
    <row r="5723" spans="1:4" ht="25.5" x14ac:dyDescent="0.25">
      <c r="A5723" s="104">
        <v>87386</v>
      </c>
      <c r="B5723" s="105" t="s">
        <v>11681</v>
      </c>
      <c r="C5723" s="106" t="s">
        <v>13</v>
      </c>
      <c r="D5723" s="107">
        <v>1582.57</v>
      </c>
    </row>
    <row r="5724" spans="1:4" ht="25.5" x14ac:dyDescent="0.25">
      <c r="A5724" s="104">
        <v>87387</v>
      </c>
      <c r="B5724" s="105" t="s">
        <v>11682</v>
      </c>
      <c r="C5724" s="106" t="s">
        <v>13</v>
      </c>
      <c r="D5724" s="107">
        <v>1582.81</v>
      </c>
    </row>
    <row r="5725" spans="1:4" ht="38.25" x14ac:dyDescent="0.25">
      <c r="A5725" s="104">
        <v>87388</v>
      </c>
      <c r="B5725" s="105" t="s">
        <v>11683</v>
      </c>
      <c r="C5725" s="106" t="s">
        <v>13</v>
      </c>
      <c r="D5725" s="107">
        <v>3833.4</v>
      </c>
    </row>
    <row r="5726" spans="1:4" ht="38.25" x14ac:dyDescent="0.25">
      <c r="A5726" s="104">
        <v>87389</v>
      </c>
      <c r="B5726" s="105" t="s">
        <v>11684</v>
      </c>
      <c r="C5726" s="106" t="s">
        <v>13</v>
      </c>
      <c r="D5726" s="107">
        <v>3851.86</v>
      </c>
    </row>
    <row r="5727" spans="1:4" ht="38.25" x14ac:dyDescent="0.25">
      <c r="A5727" s="104">
        <v>87390</v>
      </c>
      <c r="B5727" s="105" t="s">
        <v>11685</v>
      </c>
      <c r="C5727" s="106" t="s">
        <v>13</v>
      </c>
      <c r="D5727" s="107">
        <v>3875.37</v>
      </c>
    </row>
    <row r="5728" spans="1:4" ht="25.5" x14ac:dyDescent="0.25">
      <c r="A5728" s="104">
        <v>87391</v>
      </c>
      <c r="B5728" s="105" t="s">
        <v>11686</v>
      </c>
      <c r="C5728" s="106" t="s">
        <v>13</v>
      </c>
      <c r="D5728" s="107">
        <v>4245.95</v>
      </c>
    </row>
    <row r="5729" spans="1:4" ht="25.5" x14ac:dyDescent="0.25">
      <c r="A5729" s="104">
        <v>87393</v>
      </c>
      <c r="B5729" s="105" t="s">
        <v>11687</v>
      </c>
      <c r="C5729" s="106" t="s">
        <v>13</v>
      </c>
      <c r="D5729" s="107">
        <v>4287.6899999999996</v>
      </c>
    </row>
    <row r="5730" spans="1:4" ht="25.5" x14ac:dyDescent="0.25">
      <c r="A5730" s="104">
        <v>87394</v>
      </c>
      <c r="B5730" s="105" t="s">
        <v>11688</v>
      </c>
      <c r="C5730" s="106" t="s">
        <v>13</v>
      </c>
      <c r="D5730" s="107">
        <v>4330.04</v>
      </c>
    </row>
    <row r="5731" spans="1:4" ht="25.5" x14ac:dyDescent="0.25">
      <c r="A5731" s="104">
        <v>87395</v>
      </c>
      <c r="B5731" s="105" t="s">
        <v>11689</v>
      </c>
      <c r="C5731" s="106" t="s">
        <v>13</v>
      </c>
      <c r="D5731" s="107">
        <v>2662.43</v>
      </c>
    </row>
    <row r="5732" spans="1:4" ht="25.5" x14ac:dyDescent="0.25">
      <c r="A5732" s="104">
        <v>87396</v>
      </c>
      <c r="B5732" s="105" t="s">
        <v>11690</v>
      </c>
      <c r="C5732" s="106" t="s">
        <v>13</v>
      </c>
      <c r="D5732" s="107">
        <v>2682.9</v>
      </c>
    </row>
    <row r="5733" spans="1:4" ht="25.5" x14ac:dyDescent="0.25">
      <c r="A5733" s="104">
        <v>87397</v>
      </c>
      <c r="B5733" s="105" t="s">
        <v>11691</v>
      </c>
      <c r="C5733" s="106" t="s">
        <v>13</v>
      </c>
      <c r="D5733" s="107">
        <v>2704.92</v>
      </c>
    </row>
    <row r="5734" spans="1:4" ht="25.5" x14ac:dyDescent="0.25">
      <c r="A5734" s="104">
        <v>87398</v>
      </c>
      <c r="B5734" s="105" t="s">
        <v>11692</v>
      </c>
      <c r="C5734" s="106" t="s">
        <v>13</v>
      </c>
      <c r="D5734" s="107">
        <v>1522.81</v>
      </c>
    </row>
    <row r="5735" spans="1:4" ht="25.5" x14ac:dyDescent="0.25">
      <c r="A5735" s="104">
        <v>87399</v>
      </c>
      <c r="B5735" s="105" t="s">
        <v>11693</v>
      </c>
      <c r="C5735" s="106" t="s">
        <v>13</v>
      </c>
      <c r="D5735" s="107">
        <v>1742.12</v>
      </c>
    </row>
    <row r="5736" spans="1:4" ht="25.5" x14ac:dyDescent="0.25">
      <c r="A5736" s="104">
        <v>87401</v>
      </c>
      <c r="B5736" s="105" t="s">
        <v>11694</v>
      </c>
      <c r="C5736" s="106" t="s">
        <v>13</v>
      </c>
      <c r="D5736" s="107">
        <v>4476.1000000000004</v>
      </c>
    </row>
    <row r="5737" spans="1:4" ht="25.5" x14ac:dyDescent="0.25">
      <c r="A5737" s="104">
        <v>87402</v>
      </c>
      <c r="B5737" s="105" t="s">
        <v>11695</v>
      </c>
      <c r="C5737" s="106" t="s">
        <v>13</v>
      </c>
      <c r="D5737" s="107">
        <v>2860.15</v>
      </c>
    </row>
    <row r="5738" spans="1:4" ht="38.25" x14ac:dyDescent="0.25">
      <c r="A5738" s="104">
        <v>87404</v>
      </c>
      <c r="B5738" s="105" t="s">
        <v>11696</v>
      </c>
      <c r="C5738" s="106" t="s">
        <v>13</v>
      </c>
      <c r="D5738" s="107">
        <v>3975.85</v>
      </c>
    </row>
    <row r="5739" spans="1:4" ht="38.25" x14ac:dyDescent="0.25">
      <c r="A5739" s="104">
        <v>87405</v>
      </c>
      <c r="B5739" s="105" t="s">
        <v>5410</v>
      </c>
      <c r="C5739" s="106" t="s">
        <v>13</v>
      </c>
      <c r="D5739" s="107">
        <v>3990.18</v>
      </c>
    </row>
    <row r="5740" spans="1:4" ht="25.5" x14ac:dyDescent="0.25">
      <c r="A5740" s="104">
        <v>87407</v>
      </c>
      <c r="B5740" s="105" t="s">
        <v>11697</v>
      </c>
      <c r="C5740" s="106" t="s">
        <v>13</v>
      </c>
      <c r="D5740" s="109">
        <v>1396.79</v>
      </c>
    </row>
    <row r="5741" spans="1:4" ht="25.5" x14ac:dyDescent="0.25">
      <c r="A5741" s="104">
        <v>87408</v>
      </c>
      <c r="B5741" s="105" t="s">
        <v>5411</v>
      </c>
      <c r="C5741" s="106" t="s">
        <v>13</v>
      </c>
      <c r="D5741" s="109">
        <v>1390.61</v>
      </c>
    </row>
    <row r="5742" spans="1:4" ht="25.5" x14ac:dyDescent="0.25">
      <c r="A5742" s="104">
        <v>87410</v>
      </c>
      <c r="B5742" s="105" t="s">
        <v>11698</v>
      </c>
      <c r="C5742" s="106" t="s">
        <v>13</v>
      </c>
      <c r="D5742" s="109">
        <v>730.88</v>
      </c>
    </row>
    <row r="5743" spans="1:4" ht="38.25" x14ac:dyDescent="0.25">
      <c r="A5743" s="104">
        <v>88626</v>
      </c>
      <c r="B5743" s="105" t="s">
        <v>11699</v>
      </c>
      <c r="C5743" s="106" t="s">
        <v>13</v>
      </c>
      <c r="D5743" s="109">
        <v>338.11</v>
      </c>
    </row>
    <row r="5744" spans="1:4" ht="38.25" x14ac:dyDescent="0.25">
      <c r="A5744" s="104">
        <v>88627</v>
      </c>
      <c r="B5744" s="105" t="s">
        <v>11700</v>
      </c>
      <c r="C5744" s="106" t="s">
        <v>13</v>
      </c>
      <c r="D5744" s="109">
        <v>412.24</v>
      </c>
    </row>
    <row r="5745" spans="1:4" ht="25.5" x14ac:dyDescent="0.25">
      <c r="A5745" s="104">
        <v>88628</v>
      </c>
      <c r="B5745" s="105" t="s">
        <v>11701</v>
      </c>
      <c r="C5745" s="106" t="s">
        <v>13</v>
      </c>
      <c r="D5745" s="109">
        <v>349.75</v>
      </c>
    </row>
    <row r="5746" spans="1:4" ht="25.5" x14ac:dyDescent="0.25">
      <c r="A5746" s="104">
        <v>88629</v>
      </c>
      <c r="B5746" s="105" t="s">
        <v>11702</v>
      </c>
      <c r="C5746" s="106" t="s">
        <v>13</v>
      </c>
      <c r="D5746" s="109">
        <v>426.67</v>
      </c>
    </row>
    <row r="5747" spans="1:4" ht="25.5" x14ac:dyDescent="0.25">
      <c r="A5747" s="104">
        <v>88630</v>
      </c>
      <c r="B5747" s="105" t="s">
        <v>5412</v>
      </c>
      <c r="C5747" s="106" t="s">
        <v>13</v>
      </c>
      <c r="D5747" s="107">
        <v>295.89</v>
      </c>
    </row>
    <row r="5748" spans="1:4" ht="25.5" x14ac:dyDescent="0.25">
      <c r="A5748" s="104">
        <v>88631</v>
      </c>
      <c r="B5748" s="105" t="s">
        <v>11703</v>
      </c>
      <c r="C5748" s="106" t="s">
        <v>13</v>
      </c>
      <c r="D5748" s="107">
        <v>381.86</v>
      </c>
    </row>
    <row r="5749" spans="1:4" ht="51" x14ac:dyDescent="0.25">
      <c r="A5749" s="104">
        <v>88715</v>
      </c>
      <c r="B5749" s="105" t="s">
        <v>11704</v>
      </c>
      <c r="C5749" s="106" t="s">
        <v>13</v>
      </c>
      <c r="D5749" s="107">
        <v>322.43</v>
      </c>
    </row>
    <row r="5750" spans="1:4" ht="38.25" x14ac:dyDescent="0.25">
      <c r="A5750" s="104">
        <v>95563</v>
      </c>
      <c r="B5750" s="105" t="s">
        <v>11705</v>
      </c>
      <c r="C5750" s="106" t="s">
        <v>13</v>
      </c>
      <c r="D5750" s="107">
        <v>523.4</v>
      </c>
    </row>
    <row r="5751" spans="1:4" ht="38.25" x14ac:dyDescent="0.25">
      <c r="A5751" s="104">
        <v>100464</v>
      </c>
      <c r="B5751" s="105" t="s">
        <v>11706</v>
      </c>
      <c r="C5751" s="106" t="s">
        <v>13</v>
      </c>
      <c r="D5751" s="107">
        <v>353.46</v>
      </c>
    </row>
    <row r="5752" spans="1:4" ht="38.25" x14ac:dyDescent="0.25">
      <c r="A5752" s="104">
        <v>100465</v>
      </c>
      <c r="B5752" s="105" t="s">
        <v>11707</v>
      </c>
      <c r="C5752" s="106" t="s">
        <v>13</v>
      </c>
      <c r="D5752" s="107">
        <v>331.07</v>
      </c>
    </row>
    <row r="5753" spans="1:4" ht="38.25" x14ac:dyDescent="0.25">
      <c r="A5753" s="104">
        <v>100466</v>
      </c>
      <c r="B5753" s="105" t="s">
        <v>11708</v>
      </c>
      <c r="C5753" s="106" t="s">
        <v>13</v>
      </c>
      <c r="D5753" s="107">
        <v>320.89999999999998</v>
      </c>
    </row>
    <row r="5754" spans="1:4" ht="38.25" x14ac:dyDescent="0.25">
      <c r="A5754" s="104">
        <v>100468</v>
      </c>
      <c r="B5754" s="105" t="s">
        <v>11709</v>
      </c>
      <c r="C5754" s="106" t="s">
        <v>13</v>
      </c>
      <c r="D5754" s="107">
        <v>421.44</v>
      </c>
    </row>
    <row r="5755" spans="1:4" ht="38.25" x14ac:dyDescent="0.25">
      <c r="A5755" s="104">
        <v>100469</v>
      </c>
      <c r="B5755" s="105" t="s">
        <v>11710</v>
      </c>
      <c r="C5755" s="106" t="s">
        <v>13</v>
      </c>
      <c r="D5755" s="107">
        <v>344.24</v>
      </c>
    </row>
    <row r="5756" spans="1:4" ht="38.25" x14ac:dyDescent="0.25">
      <c r="A5756" s="104">
        <v>100470</v>
      </c>
      <c r="B5756" s="105" t="s">
        <v>11711</v>
      </c>
      <c r="C5756" s="106" t="s">
        <v>13</v>
      </c>
      <c r="D5756" s="107">
        <v>306.08999999999997</v>
      </c>
    </row>
    <row r="5757" spans="1:4" ht="38.25" x14ac:dyDescent="0.25">
      <c r="A5757" s="104">
        <v>100472</v>
      </c>
      <c r="B5757" s="105" t="s">
        <v>11712</v>
      </c>
      <c r="C5757" s="106" t="s">
        <v>13</v>
      </c>
      <c r="D5757" s="107">
        <v>336.43</v>
      </c>
    </row>
    <row r="5758" spans="1:4" ht="38.25" x14ac:dyDescent="0.25">
      <c r="A5758" s="104">
        <v>100473</v>
      </c>
      <c r="B5758" s="105" t="s">
        <v>11713</v>
      </c>
      <c r="C5758" s="106" t="s">
        <v>13</v>
      </c>
      <c r="D5758" s="107">
        <v>307.81</v>
      </c>
    </row>
    <row r="5759" spans="1:4" ht="38.25" x14ac:dyDescent="0.25">
      <c r="A5759" s="104">
        <v>100474</v>
      </c>
      <c r="B5759" s="105" t="s">
        <v>11714</v>
      </c>
      <c r="C5759" s="106" t="s">
        <v>13</v>
      </c>
      <c r="D5759" s="107">
        <v>296.35000000000002</v>
      </c>
    </row>
    <row r="5760" spans="1:4" ht="38.25" x14ac:dyDescent="0.25">
      <c r="A5760" s="104">
        <v>100475</v>
      </c>
      <c r="B5760" s="105" t="s">
        <v>11715</v>
      </c>
      <c r="C5760" s="106" t="s">
        <v>13</v>
      </c>
      <c r="D5760" s="107">
        <v>453.91</v>
      </c>
    </row>
    <row r="5761" spans="1:4" ht="38.25" x14ac:dyDescent="0.25">
      <c r="A5761" s="104">
        <v>100477</v>
      </c>
      <c r="B5761" s="105" t="s">
        <v>11716</v>
      </c>
      <c r="C5761" s="106" t="s">
        <v>13</v>
      </c>
      <c r="D5761" s="109">
        <v>490.06</v>
      </c>
    </row>
    <row r="5762" spans="1:4" ht="38.25" x14ac:dyDescent="0.25">
      <c r="A5762" s="104">
        <v>100478</v>
      </c>
      <c r="B5762" s="105" t="s">
        <v>11717</v>
      </c>
      <c r="C5762" s="106" t="s">
        <v>13</v>
      </c>
      <c r="D5762" s="109">
        <v>445.95</v>
      </c>
    </row>
    <row r="5763" spans="1:4" ht="38.25" x14ac:dyDescent="0.25">
      <c r="A5763" s="104">
        <v>100479</v>
      </c>
      <c r="B5763" s="105" t="s">
        <v>11718</v>
      </c>
      <c r="C5763" s="106" t="s">
        <v>13</v>
      </c>
      <c r="D5763" s="109">
        <v>437.83</v>
      </c>
    </row>
    <row r="5764" spans="1:4" ht="38.25" x14ac:dyDescent="0.25">
      <c r="A5764" s="104">
        <v>100480</v>
      </c>
      <c r="B5764" s="105" t="s">
        <v>11719</v>
      </c>
      <c r="C5764" s="106" t="s">
        <v>13</v>
      </c>
      <c r="D5764" s="107">
        <v>530.59</v>
      </c>
    </row>
    <row r="5765" spans="1:4" ht="38.25" x14ac:dyDescent="0.25">
      <c r="A5765" s="104">
        <v>100481</v>
      </c>
      <c r="B5765" s="105" t="s">
        <v>11720</v>
      </c>
      <c r="C5765" s="106" t="s">
        <v>13</v>
      </c>
      <c r="D5765" s="107">
        <v>389.64</v>
      </c>
    </row>
    <row r="5766" spans="1:4" ht="38.25" x14ac:dyDescent="0.25">
      <c r="A5766" s="104">
        <v>100483</v>
      </c>
      <c r="B5766" s="105" t="s">
        <v>11721</v>
      </c>
      <c r="C5766" s="106" t="s">
        <v>13</v>
      </c>
      <c r="D5766" s="107">
        <v>416.84</v>
      </c>
    </row>
    <row r="5767" spans="1:4" ht="38.25" x14ac:dyDescent="0.25">
      <c r="A5767" s="104">
        <v>100484</v>
      </c>
      <c r="B5767" s="105" t="s">
        <v>11722</v>
      </c>
      <c r="C5767" s="106" t="s">
        <v>13</v>
      </c>
      <c r="D5767" s="109">
        <v>388.98</v>
      </c>
    </row>
    <row r="5768" spans="1:4" ht="38.25" x14ac:dyDescent="0.25">
      <c r="A5768" s="104">
        <v>100485</v>
      </c>
      <c r="B5768" s="105" t="s">
        <v>11723</v>
      </c>
      <c r="C5768" s="106" t="s">
        <v>13</v>
      </c>
      <c r="D5768" s="109">
        <v>379.03</v>
      </c>
    </row>
    <row r="5769" spans="1:4" ht="38.25" x14ac:dyDescent="0.25">
      <c r="A5769" s="104">
        <v>100486</v>
      </c>
      <c r="B5769" s="105" t="s">
        <v>11724</v>
      </c>
      <c r="C5769" s="106" t="s">
        <v>13</v>
      </c>
      <c r="D5769" s="109">
        <v>468.98</v>
      </c>
    </row>
    <row r="5770" spans="1:4" ht="51" x14ac:dyDescent="0.25">
      <c r="A5770" s="104">
        <v>100487</v>
      </c>
      <c r="B5770" s="105" t="s">
        <v>11725</v>
      </c>
      <c r="C5770" s="106" t="s">
        <v>13</v>
      </c>
      <c r="D5770" s="109">
        <v>309.24</v>
      </c>
    </row>
    <row r="5771" spans="1:4" ht="38.25" x14ac:dyDescent="0.25">
      <c r="A5771" s="104">
        <v>100488</v>
      </c>
      <c r="B5771" s="105" t="s">
        <v>11726</v>
      </c>
      <c r="C5771" s="106" t="s">
        <v>13</v>
      </c>
      <c r="D5771" s="109">
        <v>334.87</v>
      </c>
    </row>
    <row r="5772" spans="1:4" ht="25.5" x14ac:dyDescent="0.25">
      <c r="A5772" s="104">
        <v>100489</v>
      </c>
      <c r="B5772" s="105" t="s">
        <v>11727</v>
      </c>
      <c r="C5772" s="106" t="s">
        <v>13</v>
      </c>
      <c r="D5772" s="109">
        <v>350.35</v>
      </c>
    </row>
    <row r="5773" spans="1:4" ht="25.5" x14ac:dyDescent="0.25">
      <c r="A5773" s="104">
        <v>100490</v>
      </c>
      <c r="B5773" s="105" t="s">
        <v>11728</v>
      </c>
      <c r="C5773" s="106" t="s">
        <v>13</v>
      </c>
      <c r="D5773" s="109">
        <v>307.52</v>
      </c>
    </row>
    <row r="5774" spans="1:4" ht="38.25" x14ac:dyDescent="0.25">
      <c r="A5774" s="104">
        <v>100491</v>
      </c>
      <c r="B5774" s="105" t="s">
        <v>11729</v>
      </c>
      <c r="C5774" s="106" t="s">
        <v>13</v>
      </c>
      <c r="D5774" s="109">
        <v>455.43</v>
      </c>
    </row>
    <row r="5775" spans="1:4" ht="38.25" x14ac:dyDescent="0.25">
      <c r="A5775" s="104">
        <v>100492</v>
      </c>
      <c r="B5775" s="105" t="s">
        <v>11730</v>
      </c>
      <c r="C5775" s="106" t="s">
        <v>13</v>
      </c>
      <c r="D5775" s="109">
        <v>391.41</v>
      </c>
    </row>
    <row r="5776" spans="1:4" x14ac:dyDescent="0.25">
      <c r="A5776" s="104">
        <v>92121</v>
      </c>
      <c r="B5776" s="105" t="s">
        <v>5413</v>
      </c>
      <c r="C5776" s="106" t="s">
        <v>13</v>
      </c>
      <c r="D5776" s="109">
        <v>20.63</v>
      </c>
    </row>
    <row r="5777" spans="1:4" x14ac:dyDescent="0.25">
      <c r="A5777" s="104">
        <v>92122</v>
      </c>
      <c r="B5777" s="105" t="s">
        <v>5414</v>
      </c>
      <c r="C5777" s="106" t="s">
        <v>13</v>
      </c>
      <c r="D5777" s="109">
        <v>34.450000000000003</v>
      </c>
    </row>
    <row r="5778" spans="1:4" x14ac:dyDescent="0.25">
      <c r="A5778" s="104">
        <v>92123</v>
      </c>
      <c r="B5778" s="105" t="s">
        <v>5415</v>
      </c>
      <c r="C5778" s="106" t="s">
        <v>13</v>
      </c>
      <c r="D5778" s="109">
        <v>33.94</v>
      </c>
    </row>
    <row r="5779" spans="1:4" ht="25.5" x14ac:dyDescent="0.25">
      <c r="A5779" s="104">
        <v>100195</v>
      </c>
      <c r="B5779" s="105" t="s">
        <v>11731</v>
      </c>
      <c r="C5779" s="106" t="s">
        <v>11732</v>
      </c>
      <c r="D5779" s="109">
        <v>0.52</v>
      </c>
    </row>
    <row r="5780" spans="1:4" ht="25.5" x14ac:dyDescent="0.25">
      <c r="A5780" s="104">
        <v>100196</v>
      </c>
      <c r="B5780" s="105" t="s">
        <v>11733</v>
      </c>
      <c r="C5780" s="106" t="s">
        <v>11732</v>
      </c>
      <c r="D5780" s="109">
        <v>0.87</v>
      </c>
    </row>
    <row r="5781" spans="1:4" ht="25.5" x14ac:dyDescent="0.25">
      <c r="A5781" s="104">
        <v>100197</v>
      </c>
      <c r="B5781" s="105" t="s">
        <v>11734</v>
      </c>
      <c r="C5781" s="106" t="s">
        <v>11732</v>
      </c>
      <c r="D5781" s="109">
        <v>1.31</v>
      </c>
    </row>
    <row r="5782" spans="1:4" ht="25.5" x14ac:dyDescent="0.25">
      <c r="A5782" s="104">
        <v>100198</v>
      </c>
      <c r="B5782" s="105" t="s">
        <v>11735</v>
      </c>
      <c r="C5782" s="106" t="s">
        <v>11732</v>
      </c>
      <c r="D5782" s="109">
        <v>0.18</v>
      </c>
    </row>
    <row r="5783" spans="1:4" ht="25.5" x14ac:dyDescent="0.25">
      <c r="A5783" s="104">
        <v>100199</v>
      </c>
      <c r="B5783" s="105" t="s">
        <v>11736</v>
      </c>
      <c r="C5783" s="106" t="s">
        <v>11732</v>
      </c>
      <c r="D5783" s="109">
        <v>0.22</v>
      </c>
    </row>
    <row r="5784" spans="1:4" ht="25.5" x14ac:dyDescent="0.25">
      <c r="A5784" s="104">
        <v>100200</v>
      </c>
      <c r="B5784" s="105" t="s">
        <v>11737</v>
      </c>
      <c r="C5784" s="106" t="s">
        <v>11732</v>
      </c>
      <c r="D5784" s="109">
        <v>0.27</v>
      </c>
    </row>
    <row r="5785" spans="1:4" ht="25.5" x14ac:dyDescent="0.25">
      <c r="A5785" s="104">
        <v>100201</v>
      </c>
      <c r="B5785" s="105" t="s">
        <v>11738</v>
      </c>
      <c r="C5785" s="106" t="s">
        <v>11732</v>
      </c>
      <c r="D5785" s="107">
        <v>0.53</v>
      </c>
    </row>
    <row r="5786" spans="1:4" ht="25.5" x14ac:dyDescent="0.25">
      <c r="A5786" s="104">
        <v>100202</v>
      </c>
      <c r="B5786" s="105" t="s">
        <v>11739</v>
      </c>
      <c r="C5786" s="106" t="s">
        <v>11732</v>
      </c>
      <c r="D5786" s="107">
        <v>0.62</v>
      </c>
    </row>
    <row r="5787" spans="1:4" ht="25.5" x14ac:dyDescent="0.25">
      <c r="A5787" s="104">
        <v>100203</v>
      </c>
      <c r="B5787" s="105" t="s">
        <v>11740</v>
      </c>
      <c r="C5787" s="106" t="s">
        <v>11732</v>
      </c>
      <c r="D5787" s="107">
        <v>0.74</v>
      </c>
    </row>
    <row r="5788" spans="1:4" ht="25.5" x14ac:dyDescent="0.25">
      <c r="A5788" s="104">
        <v>100204</v>
      </c>
      <c r="B5788" s="105" t="s">
        <v>11741</v>
      </c>
      <c r="C5788" s="106" t="s">
        <v>11732</v>
      </c>
      <c r="D5788" s="107">
        <v>0.06</v>
      </c>
    </row>
    <row r="5789" spans="1:4" ht="25.5" x14ac:dyDescent="0.25">
      <c r="A5789" s="104">
        <v>100205</v>
      </c>
      <c r="B5789" s="105" t="s">
        <v>11742</v>
      </c>
      <c r="C5789" s="106" t="s">
        <v>650</v>
      </c>
      <c r="D5789" s="107">
        <v>981.56</v>
      </c>
    </row>
    <row r="5790" spans="1:4" ht="25.5" x14ac:dyDescent="0.25">
      <c r="A5790" s="104">
        <v>100206</v>
      </c>
      <c r="B5790" s="105" t="s">
        <v>11743</v>
      </c>
      <c r="C5790" s="106" t="s">
        <v>650</v>
      </c>
      <c r="D5790" s="107">
        <v>709.5</v>
      </c>
    </row>
    <row r="5791" spans="1:4" ht="25.5" x14ac:dyDescent="0.25">
      <c r="A5791" s="104">
        <v>100207</v>
      </c>
      <c r="B5791" s="105" t="s">
        <v>11744</v>
      </c>
      <c r="C5791" s="106" t="s">
        <v>650</v>
      </c>
      <c r="D5791" s="107">
        <v>268.72000000000003</v>
      </c>
    </row>
    <row r="5792" spans="1:4" ht="38.25" x14ac:dyDescent="0.25">
      <c r="A5792" s="104">
        <v>100208</v>
      </c>
      <c r="B5792" s="105" t="s">
        <v>11745</v>
      </c>
      <c r="C5792" s="106" t="s">
        <v>11746</v>
      </c>
      <c r="D5792" s="107">
        <v>12.98</v>
      </c>
    </row>
    <row r="5793" spans="1:4" ht="25.5" x14ac:dyDescent="0.25">
      <c r="A5793" s="104">
        <v>100209</v>
      </c>
      <c r="B5793" s="105" t="s">
        <v>11747</v>
      </c>
      <c r="C5793" s="106" t="s">
        <v>11746</v>
      </c>
      <c r="D5793" s="107">
        <v>6.49</v>
      </c>
    </row>
    <row r="5794" spans="1:4" ht="38.25" x14ac:dyDescent="0.25">
      <c r="A5794" s="104">
        <v>100210</v>
      </c>
      <c r="B5794" s="105" t="s">
        <v>11748</v>
      </c>
      <c r="C5794" s="106" t="s">
        <v>11746</v>
      </c>
      <c r="D5794" s="107">
        <v>11.96</v>
      </c>
    </row>
    <row r="5795" spans="1:4" ht="38.25" x14ac:dyDescent="0.25">
      <c r="A5795" s="104">
        <v>100211</v>
      </c>
      <c r="B5795" s="105" t="s">
        <v>11749</v>
      </c>
      <c r="C5795" s="106" t="s">
        <v>11746</v>
      </c>
      <c r="D5795" s="107">
        <v>4.6100000000000003</v>
      </c>
    </row>
    <row r="5796" spans="1:4" ht="38.25" x14ac:dyDescent="0.25">
      <c r="A5796" s="104">
        <v>100212</v>
      </c>
      <c r="B5796" s="105" t="s">
        <v>11750</v>
      </c>
      <c r="C5796" s="106" t="s">
        <v>11746</v>
      </c>
      <c r="D5796" s="107">
        <v>5.09</v>
      </c>
    </row>
    <row r="5797" spans="1:4" ht="38.25" x14ac:dyDescent="0.25">
      <c r="A5797" s="104">
        <v>100213</v>
      </c>
      <c r="B5797" s="105" t="s">
        <v>11751</v>
      </c>
      <c r="C5797" s="106" t="s">
        <v>11746</v>
      </c>
      <c r="D5797" s="107">
        <v>1.83</v>
      </c>
    </row>
    <row r="5798" spans="1:4" ht="38.25" x14ac:dyDescent="0.25">
      <c r="A5798" s="104">
        <v>100214</v>
      </c>
      <c r="B5798" s="105" t="s">
        <v>11752</v>
      </c>
      <c r="C5798" s="106" t="s">
        <v>11746</v>
      </c>
      <c r="D5798" s="107">
        <v>2.81</v>
      </c>
    </row>
    <row r="5799" spans="1:4" ht="38.25" x14ac:dyDescent="0.25">
      <c r="A5799" s="104">
        <v>100215</v>
      </c>
      <c r="B5799" s="105" t="s">
        <v>11753</v>
      </c>
      <c r="C5799" s="106" t="s">
        <v>11746</v>
      </c>
      <c r="D5799" s="107">
        <v>2.4</v>
      </c>
    </row>
    <row r="5800" spans="1:4" ht="38.25" x14ac:dyDescent="0.25">
      <c r="A5800" s="104">
        <v>100216</v>
      </c>
      <c r="B5800" s="105" t="s">
        <v>11754</v>
      </c>
      <c r="C5800" s="106" t="s">
        <v>11746</v>
      </c>
      <c r="D5800" s="107">
        <v>0.64</v>
      </c>
    </row>
    <row r="5801" spans="1:4" ht="38.25" x14ac:dyDescent="0.25">
      <c r="A5801" s="104">
        <v>100217</v>
      </c>
      <c r="B5801" s="105" t="s">
        <v>11755</v>
      </c>
      <c r="C5801" s="106" t="s">
        <v>11746</v>
      </c>
      <c r="D5801" s="107">
        <v>1.91</v>
      </c>
    </row>
    <row r="5802" spans="1:4" ht="38.25" x14ac:dyDescent="0.25">
      <c r="A5802" s="104">
        <v>100218</v>
      </c>
      <c r="B5802" s="105" t="s">
        <v>11756</v>
      </c>
      <c r="C5802" s="106" t="s">
        <v>11746</v>
      </c>
      <c r="D5802" s="107">
        <v>1.29</v>
      </c>
    </row>
    <row r="5803" spans="1:4" ht="38.25" x14ac:dyDescent="0.25">
      <c r="A5803" s="104">
        <v>100219</v>
      </c>
      <c r="B5803" s="105" t="s">
        <v>11757</v>
      </c>
      <c r="C5803" s="106" t="s">
        <v>11746</v>
      </c>
      <c r="D5803" s="107">
        <v>0.28000000000000003</v>
      </c>
    </row>
    <row r="5804" spans="1:4" ht="25.5" x14ac:dyDescent="0.25">
      <c r="A5804" s="104">
        <v>100220</v>
      </c>
      <c r="B5804" s="105" t="s">
        <v>11758</v>
      </c>
      <c r="C5804" s="106" t="s">
        <v>11759</v>
      </c>
      <c r="D5804" s="107">
        <v>18.649999999999999</v>
      </c>
    </row>
    <row r="5805" spans="1:4" ht="25.5" x14ac:dyDescent="0.25">
      <c r="A5805" s="104">
        <v>100221</v>
      </c>
      <c r="B5805" s="105" t="s">
        <v>11760</v>
      </c>
      <c r="C5805" s="106" t="s">
        <v>11759</v>
      </c>
      <c r="D5805" s="107">
        <v>21.14</v>
      </c>
    </row>
    <row r="5806" spans="1:4" ht="25.5" x14ac:dyDescent="0.25">
      <c r="A5806" s="104">
        <v>100222</v>
      </c>
      <c r="B5806" s="105" t="s">
        <v>11761</v>
      </c>
      <c r="C5806" s="106" t="s">
        <v>11759</v>
      </c>
      <c r="D5806" s="107">
        <v>8.01</v>
      </c>
    </row>
    <row r="5807" spans="1:4" ht="25.5" x14ac:dyDescent="0.25">
      <c r="A5807" s="104">
        <v>100223</v>
      </c>
      <c r="B5807" s="105" t="s">
        <v>11762</v>
      </c>
      <c r="C5807" s="106" t="s">
        <v>11759</v>
      </c>
      <c r="D5807" s="107">
        <v>3.74</v>
      </c>
    </row>
    <row r="5808" spans="1:4" ht="38.25" x14ac:dyDescent="0.25">
      <c r="A5808" s="104">
        <v>100224</v>
      </c>
      <c r="B5808" s="105" t="s">
        <v>11763</v>
      </c>
      <c r="C5808" s="106" t="s">
        <v>11759</v>
      </c>
      <c r="D5808" s="107">
        <v>1.91</v>
      </c>
    </row>
    <row r="5809" spans="1:4" ht="25.5" x14ac:dyDescent="0.25">
      <c r="A5809" s="104">
        <v>100225</v>
      </c>
      <c r="B5809" s="105" t="s">
        <v>11764</v>
      </c>
      <c r="C5809" s="106" t="s">
        <v>11765</v>
      </c>
      <c r="D5809" s="107">
        <v>1.46</v>
      </c>
    </row>
    <row r="5810" spans="1:4" ht="25.5" x14ac:dyDescent="0.25">
      <c r="A5810" s="104">
        <v>100226</v>
      </c>
      <c r="B5810" s="105" t="s">
        <v>11766</v>
      </c>
      <c r="C5810" s="106" t="s">
        <v>11765</v>
      </c>
      <c r="D5810" s="107">
        <v>0.46</v>
      </c>
    </row>
    <row r="5811" spans="1:4" ht="25.5" x14ac:dyDescent="0.25">
      <c r="A5811" s="104">
        <v>100227</v>
      </c>
      <c r="B5811" s="105" t="s">
        <v>11767</v>
      </c>
      <c r="C5811" s="106" t="s">
        <v>11765</v>
      </c>
      <c r="D5811" s="107">
        <v>0.68</v>
      </c>
    </row>
    <row r="5812" spans="1:4" ht="25.5" x14ac:dyDescent="0.25">
      <c r="A5812" s="104">
        <v>100228</v>
      </c>
      <c r="B5812" s="105" t="s">
        <v>11768</v>
      </c>
      <c r="C5812" s="106" t="s">
        <v>11765</v>
      </c>
      <c r="D5812" s="107">
        <v>0.18</v>
      </c>
    </row>
    <row r="5813" spans="1:4" ht="25.5" x14ac:dyDescent="0.25">
      <c r="A5813" s="104">
        <v>100229</v>
      </c>
      <c r="B5813" s="105" t="s">
        <v>11769</v>
      </c>
      <c r="C5813" s="106" t="s">
        <v>57</v>
      </c>
      <c r="D5813" s="107">
        <v>0.01</v>
      </c>
    </row>
    <row r="5814" spans="1:4" ht="25.5" x14ac:dyDescent="0.25">
      <c r="A5814" s="104">
        <v>100230</v>
      </c>
      <c r="B5814" s="105" t="s">
        <v>11770</v>
      </c>
      <c r="C5814" s="106" t="s">
        <v>57</v>
      </c>
      <c r="D5814" s="107">
        <v>0.01</v>
      </c>
    </row>
    <row r="5815" spans="1:4" ht="25.5" x14ac:dyDescent="0.25">
      <c r="A5815" s="104">
        <v>100231</v>
      </c>
      <c r="B5815" s="105" t="s">
        <v>11771</v>
      </c>
      <c r="C5815" s="106" t="s">
        <v>57</v>
      </c>
      <c r="D5815" s="107">
        <v>0.02</v>
      </c>
    </row>
    <row r="5816" spans="1:4" ht="38.25" x14ac:dyDescent="0.25">
      <c r="A5816" s="104">
        <v>100232</v>
      </c>
      <c r="B5816" s="105" t="s">
        <v>11772</v>
      </c>
      <c r="C5816" s="106" t="s">
        <v>801</v>
      </c>
      <c r="D5816" s="107">
        <v>0.24</v>
      </c>
    </row>
    <row r="5817" spans="1:4" ht="38.25" x14ac:dyDescent="0.25">
      <c r="A5817" s="104">
        <v>100233</v>
      </c>
      <c r="B5817" s="105" t="s">
        <v>11773</v>
      </c>
      <c r="C5817" s="106" t="s">
        <v>801</v>
      </c>
      <c r="D5817" s="107">
        <v>0.12</v>
      </c>
    </row>
    <row r="5818" spans="1:4" ht="25.5" x14ac:dyDescent="0.25">
      <c r="A5818" s="104">
        <v>100234</v>
      </c>
      <c r="B5818" s="105" t="s">
        <v>11774</v>
      </c>
      <c r="C5818" s="106" t="s">
        <v>8</v>
      </c>
      <c r="D5818" s="107">
        <v>0.36</v>
      </c>
    </row>
    <row r="5819" spans="1:4" ht="25.5" x14ac:dyDescent="0.25">
      <c r="A5819" s="104">
        <v>100235</v>
      </c>
      <c r="B5819" s="105" t="s">
        <v>11775</v>
      </c>
      <c r="C5819" s="106" t="s">
        <v>455</v>
      </c>
      <c r="D5819" s="107">
        <v>0.02</v>
      </c>
    </row>
    <row r="5820" spans="1:4" ht="38.25" x14ac:dyDescent="0.25">
      <c r="A5820" s="104">
        <v>100236</v>
      </c>
      <c r="B5820" s="105" t="s">
        <v>11776</v>
      </c>
      <c r="C5820" s="106" t="s">
        <v>11777</v>
      </c>
      <c r="D5820" s="107">
        <v>1.86</v>
      </c>
    </row>
    <row r="5821" spans="1:4" ht="38.25" x14ac:dyDescent="0.25">
      <c r="A5821" s="104">
        <v>100237</v>
      </c>
      <c r="B5821" s="105" t="s">
        <v>11778</v>
      </c>
      <c r="C5821" s="106" t="s">
        <v>11777</v>
      </c>
      <c r="D5821" s="107">
        <v>2.23</v>
      </c>
    </row>
    <row r="5822" spans="1:4" ht="38.25" x14ac:dyDescent="0.25">
      <c r="A5822" s="104">
        <v>100238</v>
      </c>
      <c r="B5822" s="105" t="s">
        <v>11779</v>
      </c>
      <c r="C5822" s="106" t="s">
        <v>11777</v>
      </c>
      <c r="D5822" s="107">
        <v>3.57</v>
      </c>
    </row>
    <row r="5823" spans="1:4" ht="38.25" x14ac:dyDescent="0.25">
      <c r="A5823" s="104">
        <v>100239</v>
      </c>
      <c r="B5823" s="105" t="s">
        <v>11780</v>
      </c>
      <c r="C5823" s="106" t="s">
        <v>11777</v>
      </c>
      <c r="D5823" s="107">
        <v>4.46</v>
      </c>
    </row>
    <row r="5824" spans="1:4" ht="38.25" x14ac:dyDescent="0.25">
      <c r="A5824" s="104">
        <v>100240</v>
      </c>
      <c r="B5824" s="105" t="s">
        <v>11781</v>
      </c>
      <c r="C5824" s="106" t="s">
        <v>11777</v>
      </c>
      <c r="D5824" s="107">
        <v>2.67</v>
      </c>
    </row>
    <row r="5825" spans="1:4" ht="38.25" x14ac:dyDescent="0.25">
      <c r="A5825" s="104">
        <v>100241</v>
      </c>
      <c r="B5825" s="105" t="s">
        <v>11782</v>
      </c>
      <c r="C5825" s="106" t="s">
        <v>11777</v>
      </c>
      <c r="D5825" s="107">
        <v>4.46</v>
      </c>
    </row>
    <row r="5826" spans="1:4" ht="38.25" x14ac:dyDescent="0.25">
      <c r="A5826" s="104">
        <v>100242</v>
      </c>
      <c r="B5826" s="105" t="s">
        <v>11783</v>
      </c>
      <c r="C5826" s="106" t="s">
        <v>11777</v>
      </c>
      <c r="D5826" s="107">
        <v>13.18</v>
      </c>
    </row>
    <row r="5827" spans="1:4" ht="38.25" x14ac:dyDescent="0.25">
      <c r="A5827" s="104">
        <v>100243</v>
      </c>
      <c r="B5827" s="105" t="s">
        <v>11784</v>
      </c>
      <c r="C5827" s="106" t="s">
        <v>11777</v>
      </c>
      <c r="D5827" s="107">
        <v>2.14</v>
      </c>
    </row>
    <row r="5828" spans="1:4" ht="38.25" x14ac:dyDescent="0.25">
      <c r="A5828" s="104">
        <v>100244</v>
      </c>
      <c r="B5828" s="105" t="s">
        <v>11785</v>
      </c>
      <c r="C5828" s="106" t="s">
        <v>11777</v>
      </c>
      <c r="D5828" s="107">
        <v>2.67</v>
      </c>
    </row>
    <row r="5829" spans="1:4" ht="38.25" x14ac:dyDescent="0.25">
      <c r="A5829" s="104">
        <v>100245</v>
      </c>
      <c r="B5829" s="105" t="s">
        <v>11786</v>
      </c>
      <c r="C5829" s="106" t="s">
        <v>11777</v>
      </c>
      <c r="D5829" s="107">
        <v>5.35</v>
      </c>
    </row>
    <row r="5830" spans="1:4" ht="51" x14ac:dyDescent="0.25">
      <c r="A5830" s="104">
        <v>100246</v>
      </c>
      <c r="B5830" s="105" t="s">
        <v>11787</v>
      </c>
      <c r="C5830" s="106" t="s">
        <v>11777</v>
      </c>
      <c r="D5830" s="107">
        <v>1.78</v>
      </c>
    </row>
    <row r="5831" spans="1:4" ht="51" x14ac:dyDescent="0.25">
      <c r="A5831" s="104">
        <v>100247</v>
      </c>
      <c r="B5831" s="105" t="s">
        <v>11788</v>
      </c>
      <c r="C5831" s="106" t="s">
        <v>11777</v>
      </c>
      <c r="D5831" s="107">
        <v>2.23</v>
      </c>
    </row>
    <row r="5832" spans="1:4" ht="51" x14ac:dyDescent="0.25">
      <c r="A5832" s="104">
        <v>100248</v>
      </c>
      <c r="B5832" s="105" t="s">
        <v>11789</v>
      </c>
      <c r="C5832" s="106" t="s">
        <v>11777</v>
      </c>
      <c r="D5832" s="107">
        <v>8.7899999999999991</v>
      </c>
    </row>
    <row r="5833" spans="1:4" ht="38.25" x14ac:dyDescent="0.25">
      <c r="A5833" s="104">
        <v>100249</v>
      </c>
      <c r="B5833" s="105" t="s">
        <v>11790</v>
      </c>
      <c r="C5833" s="106" t="s">
        <v>11777</v>
      </c>
      <c r="D5833" s="107">
        <v>1.78</v>
      </c>
    </row>
    <row r="5834" spans="1:4" ht="38.25" x14ac:dyDescent="0.25">
      <c r="A5834" s="104">
        <v>100250</v>
      </c>
      <c r="B5834" s="105" t="s">
        <v>11791</v>
      </c>
      <c r="C5834" s="106" t="s">
        <v>11777</v>
      </c>
      <c r="D5834" s="107">
        <v>2.97</v>
      </c>
    </row>
    <row r="5835" spans="1:4" ht="38.25" x14ac:dyDescent="0.25">
      <c r="A5835" s="104">
        <v>100251</v>
      </c>
      <c r="B5835" s="105" t="s">
        <v>11792</v>
      </c>
      <c r="C5835" s="106" t="s">
        <v>11777</v>
      </c>
      <c r="D5835" s="107">
        <v>8.7899999999999991</v>
      </c>
    </row>
    <row r="5836" spans="1:4" ht="38.25" x14ac:dyDescent="0.25">
      <c r="A5836" s="104">
        <v>100252</v>
      </c>
      <c r="B5836" s="105" t="s">
        <v>11793</v>
      </c>
      <c r="C5836" s="106" t="s">
        <v>11777</v>
      </c>
      <c r="D5836" s="107">
        <v>13.18</v>
      </c>
    </row>
    <row r="5837" spans="1:4" ht="38.25" x14ac:dyDescent="0.25">
      <c r="A5837" s="104">
        <v>100253</v>
      </c>
      <c r="B5837" s="105" t="s">
        <v>11794</v>
      </c>
      <c r="C5837" s="106" t="s">
        <v>11777</v>
      </c>
      <c r="D5837" s="107">
        <v>17.579999999999998</v>
      </c>
    </row>
    <row r="5838" spans="1:4" ht="51" x14ac:dyDescent="0.25">
      <c r="A5838" s="104">
        <v>100254</v>
      </c>
      <c r="B5838" s="105" t="s">
        <v>11795</v>
      </c>
      <c r="C5838" s="106" t="s">
        <v>11777</v>
      </c>
      <c r="D5838" s="107">
        <v>26.37</v>
      </c>
    </row>
    <row r="5839" spans="1:4" ht="38.25" x14ac:dyDescent="0.25">
      <c r="A5839" s="104">
        <v>100255</v>
      </c>
      <c r="B5839" s="105" t="s">
        <v>11796</v>
      </c>
      <c r="C5839" s="106" t="s">
        <v>11777</v>
      </c>
      <c r="D5839" s="107">
        <v>8.92</v>
      </c>
    </row>
    <row r="5840" spans="1:4" ht="38.25" x14ac:dyDescent="0.25">
      <c r="A5840" s="104">
        <v>100256</v>
      </c>
      <c r="B5840" s="105" t="s">
        <v>11797</v>
      </c>
      <c r="C5840" s="106" t="s">
        <v>11777</v>
      </c>
      <c r="D5840" s="107">
        <v>5.95</v>
      </c>
    </row>
    <row r="5841" spans="1:4" ht="38.25" x14ac:dyDescent="0.25">
      <c r="A5841" s="104">
        <v>100257</v>
      </c>
      <c r="B5841" s="105" t="s">
        <v>11798</v>
      </c>
      <c r="C5841" s="106" t="s">
        <v>11777</v>
      </c>
      <c r="D5841" s="107">
        <v>3.57</v>
      </c>
    </row>
    <row r="5842" spans="1:4" ht="25.5" x14ac:dyDescent="0.25">
      <c r="A5842" s="104">
        <v>100258</v>
      </c>
      <c r="B5842" s="105" t="s">
        <v>11799</v>
      </c>
      <c r="C5842" s="106" t="s">
        <v>11777</v>
      </c>
      <c r="D5842" s="107">
        <v>8.92</v>
      </c>
    </row>
    <row r="5843" spans="1:4" ht="25.5" x14ac:dyDescent="0.25">
      <c r="A5843" s="104">
        <v>100259</v>
      </c>
      <c r="B5843" s="105" t="s">
        <v>11800</v>
      </c>
      <c r="C5843" s="106" t="s">
        <v>11777</v>
      </c>
      <c r="D5843" s="107">
        <v>17.579999999999998</v>
      </c>
    </row>
    <row r="5844" spans="1:4" ht="25.5" x14ac:dyDescent="0.25">
      <c r="A5844" s="104">
        <v>100260</v>
      </c>
      <c r="B5844" s="105" t="s">
        <v>11801</v>
      </c>
      <c r="C5844" s="106" t="s">
        <v>11732</v>
      </c>
      <c r="D5844" s="107">
        <v>5.79</v>
      </c>
    </row>
    <row r="5845" spans="1:4" ht="25.5" x14ac:dyDescent="0.25">
      <c r="A5845" s="104">
        <v>100261</v>
      </c>
      <c r="B5845" s="105" t="s">
        <v>11802</v>
      </c>
      <c r="C5845" s="106" t="s">
        <v>11732</v>
      </c>
      <c r="D5845" s="107">
        <v>3.64</v>
      </c>
    </row>
    <row r="5846" spans="1:4" ht="25.5" x14ac:dyDescent="0.25">
      <c r="A5846" s="104">
        <v>100262</v>
      </c>
      <c r="B5846" s="105" t="s">
        <v>11803</v>
      </c>
      <c r="C5846" s="106" t="s">
        <v>11732</v>
      </c>
      <c r="D5846" s="107">
        <v>2.25</v>
      </c>
    </row>
    <row r="5847" spans="1:4" ht="38.25" x14ac:dyDescent="0.25">
      <c r="A5847" s="104">
        <v>100263</v>
      </c>
      <c r="B5847" s="105" t="s">
        <v>11804</v>
      </c>
      <c r="C5847" s="106" t="s">
        <v>11732</v>
      </c>
      <c r="D5847" s="107">
        <v>1.44</v>
      </c>
    </row>
    <row r="5848" spans="1:4" ht="25.5" x14ac:dyDescent="0.25">
      <c r="A5848" s="104">
        <v>100264</v>
      </c>
      <c r="B5848" s="105" t="s">
        <v>11805</v>
      </c>
      <c r="C5848" s="106" t="s">
        <v>11759</v>
      </c>
      <c r="D5848" s="107">
        <v>26.33</v>
      </c>
    </row>
    <row r="5849" spans="1:4" ht="25.5" x14ac:dyDescent="0.25">
      <c r="A5849" s="104">
        <v>100265</v>
      </c>
      <c r="B5849" s="105" t="s">
        <v>11806</v>
      </c>
      <c r="C5849" s="106" t="s">
        <v>8</v>
      </c>
      <c r="D5849" s="107">
        <v>0.55000000000000004</v>
      </c>
    </row>
    <row r="5850" spans="1:4" ht="25.5" x14ac:dyDescent="0.25">
      <c r="A5850" s="104">
        <v>100266</v>
      </c>
      <c r="B5850" s="105" t="s">
        <v>11807</v>
      </c>
      <c r="C5850" s="106" t="s">
        <v>11746</v>
      </c>
      <c r="D5850" s="107">
        <v>55.96</v>
      </c>
    </row>
    <row r="5851" spans="1:4" ht="25.5" x14ac:dyDescent="0.25">
      <c r="A5851" s="104">
        <v>100267</v>
      </c>
      <c r="B5851" s="105" t="s">
        <v>11808</v>
      </c>
      <c r="C5851" s="106" t="s">
        <v>801</v>
      </c>
      <c r="D5851" s="107">
        <v>1.1000000000000001</v>
      </c>
    </row>
    <row r="5852" spans="1:4" ht="38.25" x14ac:dyDescent="0.25">
      <c r="A5852" s="104">
        <v>100268</v>
      </c>
      <c r="B5852" s="105" t="s">
        <v>11809</v>
      </c>
      <c r="C5852" s="106" t="s">
        <v>11746</v>
      </c>
      <c r="D5852" s="107">
        <v>55.96</v>
      </c>
    </row>
    <row r="5853" spans="1:4" ht="38.25" x14ac:dyDescent="0.25">
      <c r="A5853" s="104">
        <v>100269</v>
      </c>
      <c r="B5853" s="105" t="s">
        <v>11810</v>
      </c>
      <c r="C5853" s="106" t="s">
        <v>801</v>
      </c>
      <c r="D5853" s="107">
        <v>1.1000000000000001</v>
      </c>
    </row>
    <row r="5854" spans="1:4" ht="38.25" x14ac:dyDescent="0.25">
      <c r="A5854" s="104">
        <v>100270</v>
      </c>
      <c r="B5854" s="105" t="s">
        <v>11811</v>
      </c>
      <c r="C5854" s="106" t="s">
        <v>11746</v>
      </c>
      <c r="D5854" s="107">
        <v>41.95</v>
      </c>
    </row>
    <row r="5855" spans="1:4" ht="25.5" x14ac:dyDescent="0.25">
      <c r="A5855" s="104">
        <v>100271</v>
      </c>
      <c r="B5855" s="105" t="s">
        <v>11812</v>
      </c>
      <c r="C5855" s="106" t="s">
        <v>11759</v>
      </c>
      <c r="D5855" s="107">
        <v>41.97</v>
      </c>
    </row>
    <row r="5856" spans="1:4" ht="25.5" x14ac:dyDescent="0.25">
      <c r="A5856" s="104">
        <v>100272</v>
      </c>
      <c r="B5856" s="105" t="s">
        <v>11813</v>
      </c>
      <c r="C5856" s="106" t="s">
        <v>8</v>
      </c>
      <c r="D5856" s="107">
        <v>0.83</v>
      </c>
    </row>
    <row r="5857" spans="1:4" ht="25.5" x14ac:dyDescent="0.25">
      <c r="A5857" s="104">
        <v>100273</v>
      </c>
      <c r="B5857" s="105" t="s">
        <v>11814</v>
      </c>
      <c r="C5857" s="106" t="s">
        <v>11732</v>
      </c>
      <c r="D5857" s="107">
        <v>2.1800000000000002</v>
      </c>
    </row>
    <row r="5858" spans="1:4" ht="25.5" x14ac:dyDescent="0.25">
      <c r="A5858" s="104">
        <v>100274</v>
      </c>
      <c r="B5858" s="105" t="s">
        <v>11815</v>
      </c>
      <c r="C5858" s="106" t="s">
        <v>11759</v>
      </c>
      <c r="D5858" s="107">
        <v>18.66</v>
      </c>
    </row>
    <row r="5859" spans="1:4" ht="25.5" x14ac:dyDescent="0.25">
      <c r="A5859" s="104">
        <v>100275</v>
      </c>
      <c r="B5859" s="105" t="s">
        <v>11816</v>
      </c>
      <c r="C5859" s="106" t="s">
        <v>11759</v>
      </c>
      <c r="D5859" s="107">
        <v>12.06</v>
      </c>
    </row>
    <row r="5860" spans="1:4" ht="38.25" x14ac:dyDescent="0.25">
      <c r="A5860" s="104">
        <v>100276</v>
      </c>
      <c r="B5860" s="105" t="s">
        <v>11817</v>
      </c>
      <c r="C5860" s="106" t="s">
        <v>11759</v>
      </c>
      <c r="D5860" s="107">
        <v>22.02</v>
      </c>
    </row>
    <row r="5861" spans="1:4" ht="51" x14ac:dyDescent="0.25">
      <c r="A5861" s="104">
        <v>100277</v>
      </c>
      <c r="B5861" s="105" t="s">
        <v>11818</v>
      </c>
      <c r="C5861" s="106" t="s">
        <v>11759</v>
      </c>
      <c r="D5861" s="107">
        <v>1.21</v>
      </c>
    </row>
    <row r="5862" spans="1:4" ht="25.5" x14ac:dyDescent="0.25">
      <c r="A5862" s="104">
        <v>100278</v>
      </c>
      <c r="B5862" s="105" t="s">
        <v>11819</v>
      </c>
      <c r="C5862" s="106" t="s">
        <v>11746</v>
      </c>
      <c r="D5862" s="107">
        <v>26.77</v>
      </c>
    </row>
    <row r="5863" spans="1:4" ht="25.5" x14ac:dyDescent="0.25">
      <c r="A5863" s="104">
        <v>100279</v>
      </c>
      <c r="B5863" s="105" t="s">
        <v>11820</v>
      </c>
      <c r="C5863" s="106" t="s">
        <v>801</v>
      </c>
      <c r="D5863" s="107">
        <v>0.51</v>
      </c>
    </row>
    <row r="5864" spans="1:4" ht="38.25" x14ac:dyDescent="0.25">
      <c r="A5864" s="104">
        <v>100280</v>
      </c>
      <c r="B5864" s="105" t="s">
        <v>11821</v>
      </c>
      <c r="C5864" s="106" t="s">
        <v>11746</v>
      </c>
      <c r="D5864" s="107">
        <v>12.29</v>
      </c>
    </row>
    <row r="5865" spans="1:4" ht="38.25" x14ac:dyDescent="0.25">
      <c r="A5865" s="104">
        <v>100281</v>
      </c>
      <c r="B5865" s="105" t="s">
        <v>11822</v>
      </c>
      <c r="C5865" s="106" t="s">
        <v>11746</v>
      </c>
      <c r="D5865" s="107">
        <v>2.33</v>
      </c>
    </row>
    <row r="5866" spans="1:4" ht="25.5" x14ac:dyDescent="0.25">
      <c r="A5866" s="104">
        <v>100282</v>
      </c>
      <c r="B5866" s="105" t="s">
        <v>11823</v>
      </c>
      <c r="C5866" s="106" t="s">
        <v>11759</v>
      </c>
      <c r="D5866" s="107">
        <v>104.85</v>
      </c>
    </row>
    <row r="5867" spans="1:4" ht="25.5" x14ac:dyDescent="0.25">
      <c r="A5867" s="104">
        <v>100283</v>
      </c>
      <c r="B5867" s="105" t="s">
        <v>11824</v>
      </c>
      <c r="C5867" s="106" t="s">
        <v>11759</v>
      </c>
      <c r="D5867" s="107">
        <v>16.93</v>
      </c>
    </row>
    <row r="5868" spans="1:4" ht="25.5" x14ac:dyDescent="0.25">
      <c r="A5868" s="104">
        <v>100284</v>
      </c>
      <c r="B5868" s="105" t="s">
        <v>11825</v>
      </c>
      <c r="C5868" s="106" t="s">
        <v>11759</v>
      </c>
      <c r="D5868" s="107">
        <v>6.82</v>
      </c>
    </row>
    <row r="5869" spans="1:4" ht="25.5" x14ac:dyDescent="0.25">
      <c r="A5869" s="104">
        <v>100285</v>
      </c>
      <c r="B5869" s="105" t="s">
        <v>11826</v>
      </c>
      <c r="C5869" s="106" t="s">
        <v>11777</v>
      </c>
      <c r="D5869" s="107">
        <v>28.17</v>
      </c>
    </row>
    <row r="5870" spans="1:4" ht="25.5" x14ac:dyDescent="0.25">
      <c r="A5870" s="104">
        <v>100286</v>
      </c>
      <c r="B5870" s="105" t="s">
        <v>11827</v>
      </c>
      <c r="C5870" s="106" t="s">
        <v>11777</v>
      </c>
      <c r="D5870" s="107">
        <v>9.18</v>
      </c>
    </row>
    <row r="5871" spans="1:4" ht="25.5" x14ac:dyDescent="0.25">
      <c r="A5871" s="104">
        <v>100287</v>
      </c>
      <c r="B5871" s="105" t="s">
        <v>11828</v>
      </c>
      <c r="C5871" s="106" t="s">
        <v>11777</v>
      </c>
      <c r="D5871" s="107">
        <v>8.7899999999999991</v>
      </c>
    </row>
    <row r="5872" spans="1:4" x14ac:dyDescent="0.25">
      <c r="A5872" s="104">
        <v>84117</v>
      </c>
      <c r="B5872" s="105" t="s">
        <v>5416</v>
      </c>
      <c r="C5872" s="106" t="s">
        <v>8</v>
      </c>
      <c r="D5872" s="107">
        <v>17.47</v>
      </c>
    </row>
    <row r="5873" spans="1:4" x14ac:dyDescent="0.25">
      <c r="A5873" s="104">
        <v>84120</v>
      </c>
      <c r="B5873" s="105" t="s">
        <v>5417</v>
      </c>
      <c r="C5873" s="106" t="s">
        <v>8</v>
      </c>
      <c r="D5873" s="107">
        <v>13.96</v>
      </c>
    </row>
    <row r="5874" spans="1:4" ht="25.5" x14ac:dyDescent="0.25">
      <c r="A5874" s="104">
        <v>99802</v>
      </c>
      <c r="B5874" s="105" t="s">
        <v>5418</v>
      </c>
      <c r="C5874" s="106" t="s">
        <v>8</v>
      </c>
      <c r="D5874" s="107">
        <v>0.35</v>
      </c>
    </row>
    <row r="5875" spans="1:4" ht="25.5" x14ac:dyDescent="0.25">
      <c r="A5875" s="104">
        <v>99803</v>
      </c>
      <c r="B5875" s="105" t="s">
        <v>5419</v>
      </c>
      <c r="C5875" s="106" t="s">
        <v>8</v>
      </c>
      <c r="D5875" s="107">
        <v>1.39</v>
      </c>
    </row>
    <row r="5876" spans="1:4" ht="25.5" x14ac:dyDescent="0.25">
      <c r="A5876" s="104">
        <v>99805</v>
      </c>
      <c r="B5876" s="105" t="s">
        <v>5420</v>
      </c>
      <c r="C5876" s="106" t="s">
        <v>8</v>
      </c>
      <c r="D5876" s="107">
        <v>7.29</v>
      </c>
    </row>
    <row r="5877" spans="1:4" ht="25.5" x14ac:dyDescent="0.25">
      <c r="A5877" s="104">
        <v>99806</v>
      </c>
      <c r="B5877" s="105" t="s">
        <v>5421</v>
      </c>
      <c r="C5877" s="106" t="s">
        <v>8</v>
      </c>
      <c r="D5877" s="107">
        <v>0.56999999999999995</v>
      </c>
    </row>
    <row r="5878" spans="1:4" ht="25.5" x14ac:dyDescent="0.25">
      <c r="A5878" s="104">
        <v>99808</v>
      </c>
      <c r="B5878" s="105" t="s">
        <v>5422</v>
      </c>
      <c r="C5878" s="106" t="s">
        <v>8</v>
      </c>
      <c r="D5878" s="107">
        <v>2.4</v>
      </c>
    </row>
    <row r="5879" spans="1:4" ht="25.5" x14ac:dyDescent="0.25">
      <c r="A5879" s="104">
        <v>99809</v>
      </c>
      <c r="B5879" s="105" t="s">
        <v>5423</v>
      </c>
      <c r="C5879" s="106" t="s">
        <v>8</v>
      </c>
      <c r="D5879" s="107">
        <v>3.96</v>
      </c>
    </row>
    <row r="5880" spans="1:4" x14ac:dyDescent="0.25">
      <c r="A5880" s="104">
        <v>99811</v>
      </c>
      <c r="B5880" s="105" t="s">
        <v>5424</v>
      </c>
      <c r="C5880" s="106" t="s">
        <v>8</v>
      </c>
      <c r="D5880" s="107">
        <v>2.37</v>
      </c>
    </row>
    <row r="5881" spans="1:4" ht="25.5" x14ac:dyDescent="0.25">
      <c r="A5881" s="104">
        <v>99812</v>
      </c>
      <c r="B5881" s="105" t="s">
        <v>5425</v>
      </c>
      <c r="C5881" s="106" t="s">
        <v>8</v>
      </c>
      <c r="D5881" s="107">
        <v>0.76</v>
      </c>
    </row>
    <row r="5882" spans="1:4" x14ac:dyDescent="0.25">
      <c r="A5882" s="104">
        <v>99814</v>
      </c>
      <c r="B5882" s="105" t="s">
        <v>5426</v>
      </c>
      <c r="C5882" s="106" t="s">
        <v>8</v>
      </c>
      <c r="D5882" s="107">
        <v>1.29</v>
      </c>
    </row>
    <row r="5883" spans="1:4" x14ac:dyDescent="0.25">
      <c r="A5883" s="104">
        <v>99822</v>
      </c>
      <c r="B5883" s="105" t="s">
        <v>5427</v>
      </c>
      <c r="C5883" s="106" t="s">
        <v>8</v>
      </c>
      <c r="D5883" s="107">
        <v>0.67</v>
      </c>
    </row>
    <row r="5884" spans="1:4" x14ac:dyDescent="0.25">
      <c r="A5884" s="104">
        <v>99826</v>
      </c>
      <c r="B5884" s="105" t="s">
        <v>5428</v>
      </c>
      <c r="C5884" s="106" t="s">
        <v>8</v>
      </c>
      <c r="D5884" s="107">
        <v>1.03</v>
      </c>
    </row>
    <row r="5885" spans="1:4" ht="38.25" x14ac:dyDescent="0.25">
      <c r="A5885" s="104">
        <v>71516</v>
      </c>
      <c r="B5885" s="105" t="s">
        <v>5429</v>
      </c>
      <c r="C5885" s="106" t="s">
        <v>801</v>
      </c>
      <c r="D5885" s="107">
        <v>569.5</v>
      </c>
    </row>
    <row r="5886" spans="1:4" ht="25.5" x14ac:dyDescent="0.25">
      <c r="A5886" s="104">
        <v>73361</v>
      </c>
      <c r="B5886" s="105" t="s">
        <v>5430</v>
      </c>
      <c r="C5886" s="106" t="s">
        <v>13</v>
      </c>
      <c r="D5886" s="107">
        <v>362.2</v>
      </c>
    </row>
    <row r="5887" spans="1:4" ht="51" x14ac:dyDescent="0.25">
      <c r="A5887" s="104">
        <v>73714</v>
      </c>
      <c r="B5887" s="105" t="s">
        <v>5431</v>
      </c>
      <c r="C5887" s="106" t="s">
        <v>801</v>
      </c>
      <c r="D5887" s="107">
        <v>1364.35</v>
      </c>
    </row>
    <row r="5888" spans="1:4" ht="38.25" x14ac:dyDescent="0.25">
      <c r="A5888" s="104">
        <v>97010</v>
      </c>
      <c r="B5888" s="105" t="s">
        <v>5432</v>
      </c>
      <c r="C5888" s="106" t="s">
        <v>16</v>
      </c>
      <c r="D5888" s="107">
        <v>32.729999999999997</v>
      </c>
    </row>
    <row r="5889" spans="1:4" ht="38.25" x14ac:dyDescent="0.25">
      <c r="A5889" s="104">
        <v>97011</v>
      </c>
      <c r="B5889" s="105" t="s">
        <v>5433</v>
      </c>
      <c r="C5889" s="106" t="s">
        <v>16</v>
      </c>
      <c r="D5889" s="107">
        <v>26.08</v>
      </c>
    </row>
    <row r="5890" spans="1:4" ht="51" x14ac:dyDescent="0.25">
      <c r="A5890" s="104">
        <v>97012</v>
      </c>
      <c r="B5890" s="105" t="s">
        <v>5434</v>
      </c>
      <c r="C5890" s="106" t="s">
        <v>16</v>
      </c>
      <c r="D5890" s="107">
        <v>22.76</v>
      </c>
    </row>
    <row r="5891" spans="1:4" ht="38.25" x14ac:dyDescent="0.25">
      <c r="A5891" s="104">
        <v>97013</v>
      </c>
      <c r="B5891" s="105" t="s">
        <v>5435</v>
      </c>
      <c r="C5891" s="106" t="s">
        <v>16</v>
      </c>
      <c r="D5891" s="107">
        <v>47.08</v>
      </c>
    </row>
    <row r="5892" spans="1:4" ht="38.25" x14ac:dyDescent="0.25">
      <c r="A5892" s="104">
        <v>97014</v>
      </c>
      <c r="B5892" s="105" t="s">
        <v>5436</v>
      </c>
      <c r="C5892" s="106" t="s">
        <v>16</v>
      </c>
      <c r="D5892" s="107">
        <v>35.82</v>
      </c>
    </row>
    <row r="5893" spans="1:4" ht="51" x14ac:dyDescent="0.25">
      <c r="A5893" s="104">
        <v>97015</v>
      </c>
      <c r="B5893" s="105" t="s">
        <v>5437</v>
      </c>
      <c r="C5893" s="106" t="s">
        <v>16</v>
      </c>
      <c r="D5893" s="107">
        <v>30.13</v>
      </c>
    </row>
    <row r="5894" spans="1:4" ht="38.25" x14ac:dyDescent="0.25">
      <c r="A5894" s="104">
        <v>97016</v>
      </c>
      <c r="B5894" s="105" t="s">
        <v>5438</v>
      </c>
      <c r="C5894" s="106" t="s">
        <v>16</v>
      </c>
      <c r="D5894" s="107">
        <v>27.94</v>
      </c>
    </row>
    <row r="5895" spans="1:4" ht="38.25" x14ac:dyDescent="0.25">
      <c r="A5895" s="104">
        <v>97017</v>
      </c>
      <c r="B5895" s="105" t="s">
        <v>5439</v>
      </c>
      <c r="C5895" s="106" t="s">
        <v>16</v>
      </c>
      <c r="D5895" s="107">
        <v>21.62</v>
      </c>
    </row>
    <row r="5896" spans="1:4" ht="51" x14ac:dyDescent="0.25">
      <c r="A5896" s="104">
        <v>97018</v>
      </c>
      <c r="B5896" s="105" t="s">
        <v>5440</v>
      </c>
      <c r="C5896" s="106" t="s">
        <v>16</v>
      </c>
      <c r="D5896" s="107">
        <v>18.34</v>
      </c>
    </row>
    <row r="5897" spans="1:4" ht="63.75" x14ac:dyDescent="0.25">
      <c r="A5897" s="104">
        <v>97031</v>
      </c>
      <c r="B5897" s="105" t="s">
        <v>5441</v>
      </c>
      <c r="C5897" s="106" t="s">
        <v>16</v>
      </c>
      <c r="D5897" s="107">
        <v>51.69</v>
      </c>
    </row>
    <row r="5898" spans="1:4" ht="63.75" x14ac:dyDescent="0.25">
      <c r="A5898" s="104">
        <v>97032</v>
      </c>
      <c r="B5898" s="105" t="s">
        <v>5442</v>
      </c>
      <c r="C5898" s="106" t="s">
        <v>16</v>
      </c>
      <c r="D5898" s="107">
        <v>32.700000000000003</v>
      </c>
    </row>
    <row r="5899" spans="1:4" ht="63.75" x14ac:dyDescent="0.25">
      <c r="A5899" s="104">
        <v>97033</v>
      </c>
      <c r="B5899" s="105" t="s">
        <v>5443</v>
      </c>
      <c r="C5899" s="106" t="s">
        <v>16</v>
      </c>
      <c r="D5899" s="107">
        <v>58.3</v>
      </c>
    </row>
    <row r="5900" spans="1:4" ht="63.75" x14ac:dyDescent="0.25">
      <c r="A5900" s="104">
        <v>97034</v>
      </c>
      <c r="B5900" s="105" t="s">
        <v>5444</v>
      </c>
      <c r="C5900" s="106" t="s">
        <v>16</v>
      </c>
      <c r="D5900" s="107">
        <v>35.31</v>
      </c>
    </row>
    <row r="5901" spans="1:4" ht="25.5" x14ac:dyDescent="0.25">
      <c r="A5901" s="104">
        <v>97039</v>
      </c>
      <c r="B5901" s="105" t="s">
        <v>5445</v>
      </c>
      <c r="C5901" s="106" t="s">
        <v>8</v>
      </c>
      <c r="D5901" s="107">
        <v>29.95</v>
      </c>
    </row>
    <row r="5902" spans="1:4" ht="25.5" x14ac:dyDescent="0.25">
      <c r="A5902" s="104">
        <v>97040</v>
      </c>
      <c r="B5902" s="105" t="s">
        <v>5446</v>
      </c>
      <c r="C5902" s="106" t="s">
        <v>8</v>
      </c>
      <c r="D5902" s="107">
        <v>11.09</v>
      </c>
    </row>
    <row r="5903" spans="1:4" ht="25.5" x14ac:dyDescent="0.25">
      <c r="A5903" s="104">
        <v>97041</v>
      </c>
      <c r="B5903" s="105" t="s">
        <v>5447</v>
      </c>
      <c r="C5903" s="106" t="s">
        <v>8</v>
      </c>
      <c r="D5903" s="107">
        <v>96.68</v>
      </c>
    </row>
    <row r="5904" spans="1:4" ht="25.5" x14ac:dyDescent="0.25">
      <c r="A5904" s="104">
        <v>97046</v>
      </c>
      <c r="B5904" s="105" t="s">
        <v>5448</v>
      </c>
      <c r="C5904" s="106" t="s">
        <v>8</v>
      </c>
      <c r="D5904" s="107">
        <v>0.23</v>
      </c>
    </row>
    <row r="5905" spans="1:4" ht="25.5" x14ac:dyDescent="0.25">
      <c r="A5905" s="104">
        <v>97047</v>
      </c>
      <c r="B5905" s="105" t="s">
        <v>5449</v>
      </c>
      <c r="C5905" s="106" t="s">
        <v>8</v>
      </c>
      <c r="D5905" s="107">
        <v>0.09</v>
      </c>
    </row>
    <row r="5906" spans="1:4" ht="25.5" x14ac:dyDescent="0.25">
      <c r="A5906" s="104">
        <v>97048</v>
      </c>
      <c r="B5906" s="105" t="s">
        <v>5450</v>
      </c>
      <c r="C5906" s="106" t="s">
        <v>8</v>
      </c>
      <c r="D5906" s="107">
        <v>0.06</v>
      </c>
    </row>
    <row r="5907" spans="1:4" x14ac:dyDescent="0.25">
      <c r="A5907" s="104">
        <v>97051</v>
      </c>
      <c r="B5907" s="105" t="s">
        <v>5451</v>
      </c>
      <c r="C5907" s="106" t="s">
        <v>16</v>
      </c>
      <c r="D5907" s="107">
        <v>0.47</v>
      </c>
    </row>
    <row r="5908" spans="1:4" ht="25.5" x14ac:dyDescent="0.25">
      <c r="A5908" s="104">
        <v>97053</v>
      </c>
      <c r="B5908" s="105" t="s">
        <v>5452</v>
      </c>
      <c r="C5908" s="106" t="s">
        <v>16</v>
      </c>
      <c r="D5908" s="107">
        <v>17.78</v>
      </c>
    </row>
    <row r="5909" spans="1:4" x14ac:dyDescent="0.25">
      <c r="A5909" s="104">
        <v>97062</v>
      </c>
      <c r="B5909" s="105" t="s">
        <v>5453</v>
      </c>
      <c r="C5909" s="106" t="s">
        <v>8</v>
      </c>
      <c r="D5909" s="107">
        <v>4.8499999999999996</v>
      </c>
    </row>
    <row r="5910" spans="1:4" ht="38.25" x14ac:dyDescent="0.25">
      <c r="A5910" s="104">
        <v>97063</v>
      </c>
      <c r="B5910" s="105" t="s">
        <v>5454</v>
      </c>
      <c r="C5910" s="106" t="s">
        <v>8</v>
      </c>
      <c r="D5910" s="107">
        <v>6.09</v>
      </c>
    </row>
    <row r="5911" spans="1:4" ht="25.5" x14ac:dyDescent="0.25">
      <c r="A5911" s="104">
        <v>97064</v>
      </c>
      <c r="B5911" s="105" t="s">
        <v>5455</v>
      </c>
      <c r="C5911" s="106" t="s">
        <v>16</v>
      </c>
      <c r="D5911" s="107">
        <v>11.37</v>
      </c>
    </row>
    <row r="5912" spans="1:4" ht="25.5" x14ac:dyDescent="0.25">
      <c r="A5912" s="104">
        <v>97065</v>
      </c>
      <c r="B5912" s="105" t="s">
        <v>5456</v>
      </c>
      <c r="C5912" s="106" t="s">
        <v>13</v>
      </c>
      <c r="D5912" s="107">
        <v>4.0599999999999996</v>
      </c>
    </row>
    <row r="5913" spans="1:4" ht="25.5" x14ac:dyDescent="0.25">
      <c r="A5913" s="104">
        <v>97066</v>
      </c>
      <c r="B5913" s="105" t="s">
        <v>5457</v>
      </c>
      <c r="C5913" s="106" t="s">
        <v>8</v>
      </c>
      <c r="D5913" s="107">
        <v>52.06</v>
      </c>
    </row>
    <row r="5914" spans="1:4" ht="38.25" x14ac:dyDescent="0.25">
      <c r="A5914" s="104">
        <v>97067</v>
      </c>
      <c r="B5914" s="105" t="s">
        <v>5458</v>
      </c>
      <c r="C5914" s="106" t="s">
        <v>16</v>
      </c>
      <c r="D5914" s="107">
        <v>401.01</v>
      </c>
    </row>
    <row r="5915" spans="1:4" x14ac:dyDescent="0.25">
      <c r="A5915" s="104">
        <v>85421</v>
      </c>
      <c r="B5915" s="105" t="s">
        <v>5459</v>
      </c>
      <c r="C5915" s="106" t="s">
        <v>8</v>
      </c>
      <c r="D5915" s="107">
        <v>11.44</v>
      </c>
    </row>
    <row r="5916" spans="1:4" ht="25.5" x14ac:dyDescent="0.25">
      <c r="A5916" s="104">
        <v>97621</v>
      </c>
      <c r="B5916" s="105" t="s">
        <v>5460</v>
      </c>
      <c r="C5916" s="106" t="s">
        <v>13</v>
      </c>
      <c r="D5916" s="107">
        <v>76.73</v>
      </c>
    </row>
    <row r="5917" spans="1:4" ht="25.5" x14ac:dyDescent="0.25">
      <c r="A5917" s="104">
        <v>97622</v>
      </c>
      <c r="B5917" s="105" t="s">
        <v>5461</v>
      </c>
      <c r="C5917" s="106" t="s">
        <v>13</v>
      </c>
      <c r="D5917" s="107">
        <v>37.39</v>
      </c>
    </row>
    <row r="5918" spans="1:4" ht="25.5" x14ac:dyDescent="0.25">
      <c r="A5918" s="104">
        <v>97623</v>
      </c>
      <c r="B5918" s="105" t="s">
        <v>5462</v>
      </c>
      <c r="C5918" s="106" t="s">
        <v>13</v>
      </c>
      <c r="D5918" s="107">
        <v>114.56</v>
      </c>
    </row>
    <row r="5919" spans="1:4" ht="25.5" x14ac:dyDescent="0.25">
      <c r="A5919" s="104">
        <v>97624</v>
      </c>
      <c r="B5919" s="105" t="s">
        <v>5463</v>
      </c>
      <c r="C5919" s="106" t="s">
        <v>13</v>
      </c>
      <c r="D5919" s="107">
        <v>70.31</v>
      </c>
    </row>
    <row r="5920" spans="1:4" ht="25.5" x14ac:dyDescent="0.25">
      <c r="A5920" s="104">
        <v>97625</v>
      </c>
      <c r="B5920" s="105" t="s">
        <v>5464</v>
      </c>
      <c r="C5920" s="106" t="s">
        <v>13</v>
      </c>
      <c r="D5920" s="107">
        <v>31.63</v>
      </c>
    </row>
    <row r="5921" spans="1:4" ht="25.5" x14ac:dyDescent="0.25">
      <c r="A5921" s="104">
        <v>97626</v>
      </c>
      <c r="B5921" s="105" t="s">
        <v>5465</v>
      </c>
      <c r="C5921" s="106" t="s">
        <v>13</v>
      </c>
      <c r="D5921" s="107">
        <v>397.45</v>
      </c>
    </row>
    <row r="5922" spans="1:4" ht="38.25" x14ac:dyDescent="0.25">
      <c r="A5922" s="104">
        <v>97627</v>
      </c>
      <c r="B5922" s="105" t="s">
        <v>5466</v>
      </c>
      <c r="C5922" s="106" t="s">
        <v>13</v>
      </c>
      <c r="D5922" s="107">
        <v>179.02</v>
      </c>
    </row>
    <row r="5923" spans="1:4" ht="25.5" x14ac:dyDescent="0.25">
      <c r="A5923" s="104">
        <v>97628</v>
      </c>
      <c r="B5923" s="105" t="s">
        <v>5467</v>
      </c>
      <c r="C5923" s="106" t="s">
        <v>13</v>
      </c>
      <c r="D5923" s="107">
        <v>184.82</v>
      </c>
    </row>
    <row r="5924" spans="1:4" ht="25.5" x14ac:dyDescent="0.25">
      <c r="A5924" s="104">
        <v>97629</v>
      </c>
      <c r="B5924" s="105" t="s">
        <v>5468</v>
      </c>
      <c r="C5924" s="106" t="s">
        <v>13</v>
      </c>
      <c r="D5924" s="107">
        <v>80.12</v>
      </c>
    </row>
    <row r="5925" spans="1:4" ht="25.5" x14ac:dyDescent="0.25">
      <c r="A5925" s="104">
        <v>97631</v>
      </c>
      <c r="B5925" s="105" t="s">
        <v>5469</v>
      </c>
      <c r="C5925" s="106" t="s">
        <v>8</v>
      </c>
      <c r="D5925" s="107">
        <v>2.17</v>
      </c>
    </row>
    <row r="5926" spans="1:4" ht="25.5" x14ac:dyDescent="0.25">
      <c r="A5926" s="104">
        <v>97632</v>
      </c>
      <c r="B5926" s="105" t="s">
        <v>5470</v>
      </c>
      <c r="C5926" s="106" t="s">
        <v>16</v>
      </c>
      <c r="D5926" s="107">
        <v>1.69</v>
      </c>
    </row>
    <row r="5927" spans="1:4" ht="25.5" x14ac:dyDescent="0.25">
      <c r="A5927" s="104">
        <v>97633</v>
      </c>
      <c r="B5927" s="105" t="s">
        <v>5471</v>
      </c>
      <c r="C5927" s="106" t="s">
        <v>8</v>
      </c>
      <c r="D5927" s="107">
        <v>14.85</v>
      </c>
    </row>
    <row r="5928" spans="1:4" ht="25.5" x14ac:dyDescent="0.25">
      <c r="A5928" s="104">
        <v>97634</v>
      </c>
      <c r="B5928" s="105" t="s">
        <v>5472</v>
      </c>
      <c r="C5928" s="106" t="s">
        <v>8</v>
      </c>
      <c r="D5928" s="107">
        <v>7.81</v>
      </c>
    </row>
    <row r="5929" spans="1:4" ht="25.5" x14ac:dyDescent="0.25">
      <c r="A5929" s="104">
        <v>97635</v>
      </c>
      <c r="B5929" s="105" t="s">
        <v>5473</v>
      </c>
      <c r="C5929" s="106" t="s">
        <v>8</v>
      </c>
      <c r="D5929" s="107">
        <v>10.31</v>
      </c>
    </row>
    <row r="5930" spans="1:4" ht="25.5" x14ac:dyDescent="0.25">
      <c r="A5930" s="104">
        <v>97636</v>
      </c>
      <c r="B5930" s="105" t="s">
        <v>5474</v>
      </c>
      <c r="C5930" s="106" t="s">
        <v>8</v>
      </c>
      <c r="D5930" s="107">
        <v>8.52</v>
      </c>
    </row>
    <row r="5931" spans="1:4" ht="25.5" x14ac:dyDescent="0.25">
      <c r="A5931" s="104">
        <v>97637</v>
      </c>
      <c r="B5931" s="105" t="s">
        <v>5475</v>
      </c>
      <c r="C5931" s="106" t="s">
        <v>8</v>
      </c>
      <c r="D5931" s="107">
        <v>1.67</v>
      </c>
    </row>
    <row r="5932" spans="1:4" ht="25.5" x14ac:dyDescent="0.25">
      <c r="A5932" s="104">
        <v>97638</v>
      </c>
      <c r="B5932" s="105" t="s">
        <v>5476</v>
      </c>
      <c r="C5932" s="106" t="s">
        <v>8</v>
      </c>
      <c r="D5932" s="107">
        <v>4.8600000000000003</v>
      </c>
    </row>
    <row r="5933" spans="1:4" ht="25.5" x14ac:dyDescent="0.25">
      <c r="A5933" s="104">
        <v>97639</v>
      </c>
      <c r="B5933" s="105" t="s">
        <v>5477</v>
      </c>
      <c r="C5933" s="106" t="s">
        <v>8</v>
      </c>
      <c r="D5933" s="107">
        <v>13.07</v>
      </c>
    </row>
    <row r="5934" spans="1:4" ht="25.5" x14ac:dyDescent="0.25">
      <c r="A5934" s="104">
        <v>97640</v>
      </c>
      <c r="B5934" s="105" t="s">
        <v>5478</v>
      </c>
      <c r="C5934" s="106" t="s">
        <v>8</v>
      </c>
      <c r="D5934" s="107">
        <v>1.05</v>
      </c>
    </row>
    <row r="5935" spans="1:4" ht="25.5" x14ac:dyDescent="0.25">
      <c r="A5935" s="104">
        <v>97641</v>
      </c>
      <c r="B5935" s="105" t="s">
        <v>5479</v>
      </c>
      <c r="C5935" s="106" t="s">
        <v>8</v>
      </c>
      <c r="D5935" s="107">
        <v>3.27</v>
      </c>
    </row>
    <row r="5936" spans="1:4" ht="25.5" x14ac:dyDescent="0.25">
      <c r="A5936" s="104">
        <v>97642</v>
      </c>
      <c r="B5936" s="105" t="s">
        <v>5480</v>
      </c>
      <c r="C5936" s="106" t="s">
        <v>8</v>
      </c>
      <c r="D5936" s="107">
        <v>1.89</v>
      </c>
    </row>
    <row r="5937" spans="1:4" ht="25.5" x14ac:dyDescent="0.25">
      <c r="A5937" s="104">
        <v>97643</v>
      </c>
      <c r="B5937" s="105" t="s">
        <v>5481</v>
      </c>
      <c r="C5937" s="106" t="s">
        <v>8</v>
      </c>
      <c r="D5937" s="107">
        <v>16.05</v>
      </c>
    </row>
    <row r="5938" spans="1:4" ht="25.5" x14ac:dyDescent="0.25">
      <c r="A5938" s="104">
        <v>97644</v>
      </c>
      <c r="B5938" s="105" t="s">
        <v>5482</v>
      </c>
      <c r="C5938" s="106" t="s">
        <v>8</v>
      </c>
      <c r="D5938" s="107">
        <v>6.04</v>
      </c>
    </row>
    <row r="5939" spans="1:4" ht="25.5" x14ac:dyDescent="0.25">
      <c r="A5939" s="104">
        <v>97645</v>
      </c>
      <c r="B5939" s="105" t="s">
        <v>5483</v>
      </c>
      <c r="C5939" s="106" t="s">
        <v>8</v>
      </c>
      <c r="D5939" s="107">
        <v>20.84</v>
      </c>
    </row>
    <row r="5940" spans="1:4" ht="25.5" x14ac:dyDescent="0.25">
      <c r="A5940" s="104">
        <v>97647</v>
      </c>
      <c r="B5940" s="105" t="s">
        <v>5484</v>
      </c>
      <c r="C5940" s="106" t="s">
        <v>8</v>
      </c>
      <c r="D5940" s="107">
        <v>2.31</v>
      </c>
    </row>
    <row r="5941" spans="1:4" ht="25.5" x14ac:dyDescent="0.25">
      <c r="A5941" s="104">
        <v>97648</v>
      </c>
      <c r="B5941" s="105" t="s">
        <v>5485</v>
      </c>
      <c r="C5941" s="106" t="s">
        <v>8</v>
      </c>
      <c r="D5941" s="107">
        <v>1.33</v>
      </c>
    </row>
    <row r="5942" spans="1:4" ht="38.25" x14ac:dyDescent="0.25">
      <c r="A5942" s="104">
        <v>97649</v>
      </c>
      <c r="B5942" s="105" t="s">
        <v>5486</v>
      </c>
      <c r="C5942" s="106" t="s">
        <v>8</v>
      </c>
      <c r="D5942" s="107">
        <v>2.88</v>
      </c>
    </row>
    <row r="5943" spans="1:4" ht="25.5" x14ac:dyDescent="0.25">
      <c r="A5943" s="104">
        <v>97650</v>
      </c>
      <c r="B5943" s="105" t="s">
        <v>5487</v>
      </c>
      <c r="C5943" s="106" t="s">
        <v>8</v>
      </c>
      <c r="D5943" s="107">
        <v>4.9800000000000004</v>
      </c>
    </row>
    <row r="5944" spans="1:4" ht="25.5" x14ac:dyDescent="0.25">
      <c r="A5944" s="106">
        <v>97651</v>
      </c>
      <c r="B5944" s="105" t="s">
        <v>5488</v>
      </c>
      <c r="C5944" s="106" t="s">
        <v>801</v>
      </c>
      <c r="D5944" s="107">
        <v>55.23</v>
      </c>
    </row>
    <row r="5945" spans="1:4" ht="25.5" x14ac:dyDescent="0.25">
      <c r="A5945" s="106">
        <v>97652</v>
      </c>
      <c r="B5945" s="105" t="s">
        <v>5489</v>
      </c>
      <c r="C5945" s="106" t="s">
        <v>801</v>
      </c>
      <c r="D5945" s="107">
        <v>125.22</v>
      </c>
    </row>
    <row r="5946" spans="1:4" ht="25.5" x14ac:dyDescent="0.25">
      <c r="A5946" s="106">
        <v>97653</v>
      </c>
      <c r="B5946" s="105" t="s">
        <v>5490</v>
      </c>
      <c r="C5946" s="106" t="s">
        <v>801</v>
      </c>
      <c r="D5946" s="107">
        <v>81.180000000000007</v>
      </c>
    </row>
    <row r="5947" spans="1:4" ht="25.5" x14ac:dyDescent="0.25">
      <c r="A5947" s="106">
        <v>97654</v>
      </c>
      <c r="B5947" s="105" t="s">
        <v>5491</v>
      </c>
      <c r="C5947" s="106" t="s">
        <v>801</v>
      </c>
      <c r="D5947" s="107">
        <v>100.35</v>
      </c>
    </row>
    <row r="5948" spans="1:4" ht="25.5" x14ac:dyDescent="0.25">
      <c r="A5948" s="106">
        <v>97655</v>
      </c>
      <c r="B5948" s="105" t="s">
        <v>5492</v>
      </c>
      <c r="C5948" s="106" t="s">
        <v>8</v>
      </c>
      <c r="D5948" s="107">
        <v>16.28</v>
      </c>
    </row>
    <row r="5949" spans="1:4" ht="25.5" x14ac:dyDescent="0.25">
      <c r="A5949" s="106">
        <v>97656</v>
      </c>
      <c r="B5949" s="105" t="s">
        <v>5493</v>
      </c>
      <c r="C5949" s="106" t="s">
        <v>801</v>
      </c>
      <c r="D5949" s="107">
        <v>159.13999999999999</v>
      </c>
    </row>
    <row r="5950" spans="1:4" ht="25.5" x14ac:dyDescent="0.25">
      <c r="A5950" s="106">
        <v>97657</v>
      </c>
      <c r="B5950" s="105" t="s">
        <v>5494</v>
      </c>
      <c r="C5950" s="106" t="s">
        <v>801</v>
      </c>
      <c r="D5950" s="107">
        <v>315.45999999999998</v>
      </c>
    </row>
    <row r="5951" spans="1:4" ht="25.5" x14ac:dyDescent="0.25">
      <c r="A5951" s="106">
        <v>97658</v>
      </c>
      <c r="B5951" s="105" t="s">
        <v>5495</v>
      </c>
      <c r="C5951" s="106" t="s">
        <v>801</v>
      </c>
      <c r="D5951" s="107">
        <v>119.93</v>
      </c>
    </row>
    <row r="5952" spans="1:4" ht="25.5" x14ac:dyDescent="0.25">
      <c r="A5952" s="106">
        <v>97659</v>
      </c>
      <c r="B5952" s="105" t="s">
        <v>5496</v>
      </c>
      <c r="C5952" s="106" t="s">
        <v>801</v>
      </c>
      <c r="D5952" s="107">
        <v>163.63999999999999</v>
      </c>
    </row>
    <row r="5953" spans="1:4" ht="25.5" x14ac:dyDescent="0.25">
      <c r="A5953" s="104">
        <v>97660</v>
      </c>
      <c r="B5953" s="105" t="s">
        <v>5497</v>
      </c>
      <c r="C5953" s="106" t="s">
        <v>801</v>
      </c>
      <c r="D5953" s="107">
        <v>0.43</v>
      </c>
    </row>
    <row r="5954" spans="1:4" ht="25.5" x14ac:dyDescent="0.25">
      <c r="A5954" s="104">
        <v>97661</v>
      </c>
      <c r="B5954" s="105" t="s">
        <v>5498</v>
      </c>
      <c r="C5954" s="106" t="s">
        <v>16</v>
      </c>
      <c r="D5954" s="107">
        <v>0.44</v>
      </c>
    </row>
    <row r="5955" spans="1:4" ht="25.5" x14ac:dyDescent="0.25">
      <c r="A5955" s="104">
        <v>97662</v>
      </c>
      <c r="B5955" s="105" t="s">
        <v>5499</v>
      </c>
      <c r="C5955" s="106" t="s">
        <v>16</v>
      </c>
      <c r="D5955" s="107">
        <v>0.32</v>
      </c>
    </row>
    <row r="5956" spans="1:4" ht="25.5" x14ac:dyDescent="0.25">
      <c r="A5956" s="104">
        <v>97663</v>
      </c>
      <c r="B5956" s="105" t="s">
        <v>5500</v>
      </c>
      <c r="C5956" s="106" t="s">
        <v>801</v>
      </c>
      <c r="D5956" s="107">
        <v>8.07</v>
      </c>
    </row>
    <row r="5957" spans="1:4" ht="25.5" x14ac:dyDescent="0.25">
      <c r="A5957" s="106">
        <v>97664</v>
      </c>
      <c r="B5957" s="105" t="s">
        <v>5501</v>
      </c>
      <c r="C5957" s="106" t="s">
        <v>801</v>
      </c>
      <c r="D5957" s="107">
        <v>0.99</v>
      </c>
    </row>
    <row r="5958" spans="1:4" ht="25.5" x14ac:dyDescent="0.25">
      <c r="A5958" s="106">
        <v>97665</v>
      </c>
      <c r="B5958" s="105" t="s">
        <v>5502</v>
      </c>
      <c r="C5958" s="106" t="s">
        <v>801</v>
      </c>
      <c r="D5958" s="107">
        <v>0.84</v>
      </c>
    </row>
    <row r="5959" spans="1:4" ht="25.5" x14ac:dyDescent="0.25">
      <c r="A5959" s="104">
        <v>97666</v>
      </c>
      <c r="B5959" s="105" t="s">
        <v>5503</v>
      </c>
      <c r="C5959" s="106" t="s">
        <v>801</v>
      </c>
      <c r="D5959" s="107">
        <v>5.88</v>
      </c>
    </row>
    <row r="5960" spans="1:4" ht="25.5" x14ac:dyDescent="0.25">
      <c r="A5960" s="104">
        <v>95967</v>
      </c>
      <c r="B5960" s="105" t="s">
        <v>5504</v>
      </c>
      <c r="C5960" s="106" t="s">
        <v>102</v>
      </c>
      <c r="D5960" s="107">
        <v>108.81</v>
      </c>
    </row>
    <row r="5961" spans="1:4" x14ac:dyDescent="0.25">
      <c r="A5961" s="104">
        <v>99058</v>
      </c>
      <c r="B5961" s="105" t="s">
        <v>5505</v>
      </c>
      <c r="C5961" s="106" t="s">
        <v>801</v>
      </c>
      <c r="D5961" s="107">
        <v>4.6500000000000004</v>
      </c>
    </row>
    <row r="5962" spans="1:4" ht="38.25" x14ac:dyDescent="0.25">
      <c r="A5962" s="104">
        <v>99059</v>
      </c>
      <c r="B5962" s="105" t="s">
        <v>5506</v>
      </c>
      <c r="C5962" s="106" t="s">
        <v>16</v>
      </c>
      <c r="D5962" s="107">
        <v>32.86</v>
      </c>
    </row>
    <row r="5963" spans="1:4" ht="25.5" x14ac:dyDescent="0.25">
      <c r="A5963" s="104">
        <v>99060</v>
      </c>
      <c r="B5963" s="105" t="s">
        <v>11829</v>
      </c>
      <c r="C5963" s="106" t="s">
        <v>801</v>
      </c>
      <c r="D5963" s="109">
        <v>82.81</v>
      </c>
    </row>
    <row r="5964" spans="1:4" ht="25.5" x14ac:dyDescent="0.25">
      <c r="A5964" s="104">
        <v>99061</v>
      </c>
      <c r="B5964" s="105" t="s">
        <v>11830</v>
      </c>
      <c r="C5964" s="106" t="s">
        <v>801</v>
      </c>
      <c r="D5964" s="107">
        <v>57.17</v>
      </c>
    </row>
    <row r="5965" spans="1:4" x14ac:dyDescent="0.25">
      <c r="A5965" s="104">
        <v>99062</v>
      </c>
      <c r="B5965" s="105" t="s">
        <v>5507</v>
      </c>
      <c r="C5965" s="106" t="s">
        <v>801</v>
      </c>
      <c r="D5965" s="107">
        <v>1.64</v>
      </c>
    </row>
    <row r="5966" spans="1:4" x14ac:dyDescent="0.25">
      <c r="A5966" s="104">
        <v>99063</v>
      </c>
      <c r="B5966" s="105" t="s">
        <v>5508</v>
      </c>
      <c r="C5966" s="106" t="s">
        <v>16</v>
      </c>
      <c r="D5966" s="107">
        <v>2.85</v>
      </c>
    </row>
    <row r="5967" spans="1:4" x14ac:dyDescent="0.25">
      <c r="A5967" s="104">
        <v>99064</v>
      </c>
      <c r="B5967" s="105" t="s">
        <v>5509</v>
      </c>
      <c r="C5967" s="106" t="s">
        <v>16</v>
      </c>
      <c r="D5967" s="107">
        <v>0.23</v>
      </c>
    </row>
    <row r="5968" spans="1:4" ht="25.5" x14ac:dyDescent="0.25">
      <c r="A5968" s="104">
        <v>93588</v>
      </c>
      <c r="B5968" s="105" t="s">
        <v>5510</v>
      </c>
      <c r="C5968" s="106" t="s">
        <v>650</v>
      </c>
      <c r="D5968" s="107">
        <v>1.21</v>
      </c>
    </row>
    <row r="5969" spans="1:4" ht="25.5" x14ac:dyDescent="0.25">
      <c r="A5969" s="104">
        <v>93589</v>
      </c>
      <c r="B5969" s="105" t="s">
        <v>5511</v>
      </c>
      <c r="C5969" s="106" t="s">
        <v>650</v>
      </c>
      <c r="D5969" s="107">
        <v>0.93</v>
      </c>
    </row>
    <row r="5970" spans="1:4" ht="38.25" x14ac:dyDescent="0.25">
      <c r="A5970" s="104">
        <v>93590</v>
      </c>
      <c r="B5970" s="105" t="s">
        <v>5512</v>
      </c>
      <c r="C5970" s="106" t="s">
        <v>650</v>
      </c>
      <c r="D5970" s="107">
        <v>0.62</v>
      </c>
    </row>
    <row r="5971" spans="1:4" ht="25.5" x14ac:dyDescent="0.25">
      <c r="A5971" s="104">
        <v>93591</v>
      </c>
      <c r="B5971" s="105" t="s">
        <v>5513</v>
      </c>
      <c r="C5971" s="106" t="s">
        <v>650</v>
      </c>
      <c r="D5971" s="107">
        <v>1.1299999999999999</v>
      </c>
    </row>
    <row r="5972" spans="1:4" ht="25.5" x14ac:dyDescent="0.25">
      <c r="A5972" s="104">
        <v>93592</v>
      </c>
      <c r="B5972" s="105" t="s">
        <v>5514</v>
      </c>
      <c r="C5972" s="106" t="s">
        <v>650</v>
      </c>
      <c r="D5972" s="107">
        <v>0.86</v>
      </c>
    </row>
    <row r="5973" spans="1:4" ht="38.25" x14ac:dyDescent="0.25">
      <c r="A5973" s="104">
        <v>93593</v>
      </c>
      <c r="B5973" s="105" t="s">
        <v>5515</v>
      </c>
      <c r="C5973" s="106" t="s">
        <v>650</v>
      </c>
      <c r="D5973" s="107">
        <v>0.56999999999999995</v>
      </c>
    </row>
    <row r="5974" spans="1:4" ht="25.5" x14ac:dyDescent="0.25">
      <c r="A5974" s="104">
        <v>93594</v>
      </c>
      <c r="B5974" s="105" t="s">
        <v>5516</v>
      </c>
      <c r="C5974" s="106" t="s">
        <v>4721</v>
      </c>
      <c r="D5974" s="107">
        <v>0.81</v>
      </c>
    </row>
    <row r="5975" spans="1:4" ht="25.5" x14ac:dyDescent="0.25">
      <c r="A5975" s="104">
        <v>93595</v>
      </c>
      <c r="B5975" s="105" t="s">
        <v>5517</v>
      </c>
      <c r="C5975" s="106" t="s">
        <v>4721</v>
      </c>
      <c r="D5975" s="107">
        <v>0.62</v>
      </c>
    </row>
    <row r="5976" spans="1:4" ht="25.5" x14ac:dyDescent="0.25">
      <c r="A5976" s="104">
        <v>93596</v>
      </c>
      <c r="B5976" s="105" t="s">
        <v>5518</v>
      </c>
      <c r="C5976" s="106" t="s">
        <v>4721</v>
      </c>
      <c r="D5976" s="107">
        <v>0.41</v>
      </c>
    </row>
    <row r="5977" spans="1:4" ht="25.5" x14ac:dyDescent="0.25">
      <c r="A5977" s="104">
        <v>93597</v>
      </c>
      <c r="B5977" s="105" t="s">
        <v>5519</v>
      </c>
      <c r="C5977" s="106" t="s">
        <v>4721</v>
      </c>
      <c r="D5977" s="107">
        <v>0.75</v>
      </c>
    </row>
    <row r="5978" spans="1:4" ht="25.5" x14ac:dyDescent="0.25">
      <c r="A5978" s="104">
        <v>93598</v>
      </c>
      <c r="B5978" s="105" t="s">
        <v>5520</v>
      </c>
      <c r="C5978" s="106" t="s">
        <v>4721</v>
      </c>
      <c r="D5978" s="107">
        <v>0.56999999999999995</v>
      </c>
    </row>
    <row r="5979" spans="1:4" ht="25.5" x14ac:dyDescent="0.25">
      <c r="A5979" s="104">
        <v>93599</v>
      </c>
      <c r="B5979" s="105" t="s">
        <v>5521</v>
      </c>
      <c r="C5979" s="106" t="s">
        <v>4721</v>
      </c>
      <c r="D5979" s="107">
        <v>0.38</v>
      </c>
    </row>
    <row r="5980" spans="1:4" ht="25.5" x14ac:dyDescent="0.25">
      <c r="A5980" s="104">
        <v>95425</v>
      </c>
      <c r="B5980" s="105" t="s">
        <v>5522</v>
      </c>
      <c r="C5980" s="106" t="s">
        <v>650</v>
      </c>
      <c r="D5980" s="107">
        <v>0.96</v>
      </c>
    </row>
    <row r="5981" spans="1:4" ht="25.5" x14ac:dyDescent="0.25">
      <c r="A5981" s="104">
        <v>95426</v>
      </c>
      <c r="B5981" s="105" t="s">
        <v>5523</v>
      </c>
      <c r="C5981" s="106" t="s">
        <v>650</v>
      </c>
      <c r="D5981" s="107">
        <v>0.73</v>
      </c>
    </row>
    <row r="5982" spans="1:4" ht="38.25" x14ac:dyDescent="0.25">
      <c r="A5982" s="104">
        <v>95427</v>
      </c>
      <c r="B5982" s="105" t="s">
        <v>5524</v>
      </c>
      <c r="C5982" s="106" t="s">
        <v>650</v>
      </c>
      <c r="D5982" s="107">
        <v>0.49</v>
      </c>
    </row>
    <row r="5983" spans="1:4" ht="25.5" x14ac:dyDescent="0.25">
      <c r="A5983" s="104">
        <v>95428</v>
      </c>
      <c r="B5983" s="105" t="s">
        <v>5525</v>
      </c>
      <c r="C5983" s="106" t="s">
        <v>4721</v>
      </c>
      <c r="D5983" s="107">
        <v>0.64</v>
      </c>
    </row>
    <row r="5984" spans="1:4" ht="25.5" x14ac:dyDescent="0.25">
      <c r="A5984" s="104">
        <v>95429</v>
      </c>
      <c r="B5984" s="105" t="s">
        <v>5526</v>
      </c>
      <c r="C5984" s="106" t="s">
        <v>4721</v>
      </c>
      <c r="D5984" s="107">
        <v>0.49</v>
      </c>
    </row>
    <row r="5985" spans="1:4" ht="25.5" x14ac:dyDescent="0.25">
      <c r="A5985" s="104">
        <v>95430</v>
      </c>
      <c r="B5985" s="105" t="s">
        <v>5527</v>
      </c>
      <c r="C5985" s="106" t="s">
        <v>4721</v>
      </c>
      <c r="D5985" s="107">
        <v>0.32</v>
      </c>
    </row>
    <row r="5986" spans="1:4" ht="25.5" x14ac:dyDescent="0.25">
      <c r="A5986" s="104">
        <v>95875</v>
      </c>
      <c r="B5986" s="105" t="s">
        <v>5528</v>
      </c>
      <c r="C5986" s="106" t="s">
        <v>650</v>
      </c>
      <c r="D5986" s="107">
        <v>0.87</v>
      </c>
    </row>
    <row r="5987" spans="1:4" ht="25.5" x14ac:dyDescent="0.25">
      <c r="A5987" s="104">
        <v>95876</v>
      </c>
      <c r="B5987" s="105" t="s">
        <v>5529</v>
      </c>
      <c r="C5987" s="106" t="s">
        <v>650</v>
      </c>
      <c r="D5987" s="107">
        <v>0.81</v>
      </c>
    </row>
    <row r="5988" spans="1:4" ht="25.5" x14ac:dyDescent="0.25">
      <c r="A5988" s="104">
        <v>95877</v>
      </c>
      <c r="B5988" s="105" t="s">
        <v>5530</v>
      </c>
      <c r="C5988" s="106" t="s">
        <v>650</v>
      </c>
      <c r="D5988" s="107">
        <v>0.69</v>
      </c>
    </row>
    <row r="5989" spans="1:4" ht="25.5" x14ac:dyDescent="0.25">
      <c r="A5989" s="104">
        <v>95878</v>
      </c>
      <c r="B5989" s="105" t="s">
        <v>5531</v>
      </c>
      <c r="C5989" s="106" t="s">
        <v>4721</v>
      </c>
      <c r="D5989" s="107">
        <v>0.57999999999999996</v>
      </c>
    </row>
    <row r="5990" spans="1:4" ht="25.5" x14ac:dyDescent="0.25">
      <c r="A5990" s="104">
        <v>95879</v>
      </c>
      <c r="B5990" s="105" t="s">
        <v>5532</v>
      </c>
      <c r="C5990" s="106" t="s">
        <v>4721</v>
      </c>
      <c r="D5990" s="107">
        <v>0.53</v>
      </c>
    </row>
    <row r="5991" spans="1:4" ht="25.5" x14ac:dyDescent="0.25">
      <c r="A5991" s="104">
        <v>95880</v>
      </c>
      <c r="B5991" s="105" t="s">
        <v>5533</v>
      </c>
      <c r="C5991" s="106" t="s">
        <v>4721</v>
      </c>
      <c r="D5991" s="107">
        <v>0.46</v>
      </c>
    </row>
    <row r="5992" spans="1:4" ht="25.5" x14ac:dyDescent="0.25">
      <c r="A5992" s="104">
        <v>97912</v>
      </c>
      <c r="B5992" s="105" t="s">
        <v>4746</v>
      </c>
      <c r="C5992" s="106" t="s">
        <v>650</v>
      </c>
      <c r="D5992" s="107">
        <v>1.45</v>
      </c>
    </row>
    <row r="5993" spans="1:4" ht="25.5" x14ac:dyDescent="0.25">
      <c r="A5993" s="106">
        <v>97913</v>
      </c>
      <c r="B5993" s="105" t="s">
        <v>4747</v>
      </c>
      <c r="C5993" s="106" t="s">
        <v>650</v>
      </c>
      <c r="D5993" s="107">
        <v>1.1100000000000001</v>
      </c>
    </row>
    <row r="5994" spans="1:4" ht="25.5" x14ac:dyDescent="0.25">
      <c r="A5994" s="104">
        <v>97914</v>
      </c>
      <c r="B5994" s="105" t="s">
        <v>4748</v>
      </c>
      <c r="C5994" s="106" t="s">
        <v>650</v>
      </c>
      <c r="D5994" s="107">
        <v>1.04</v>
      </c>
    </row>
    <row r="5995" spans="1:4" ht="38.25" x14ac:dyDescent="0.25">
      <c r="A5995" s="106">
        <v>97915</v>
      </c>
      <c r="B5995" s="105" t="s">
        <v>4749</v>
      </c>
      <c r="C5995" s="106" t="s">
        <v>650</v>
      </c>
      <c r="D5995" s="107">
        <v>0.74</v>
      </c>
    </row>
    <row r="5996" spans="1:4" ht="51" x14ac:dyDescent="0.25">
      <c r="A5996" s="106">
        <v>93176</v>
      </c>
      <c r="B5996" s="105" t="s">
        <v>5534</v>
      </c>
      <c r="C5996" s="106" t="s">
        <v>4721</v>
      </c>
      <c r="D5996" s="107">
        <v>0.44</v>
      </c>
    </row>
    <row r="5997" spans="1:4" ht="51" x14ac:dyDescent="0.25">
      <c r="A5997" s="106">
        <v>93177</v>
      </c>
      <c r="B5997" s="105" t="s">
        <v>5535</v>
      </c>
      <c r="C5997" s="106" t="s">
        <v>4721</v>
      </c>
      <c r="D5997" s="107">
        <v>1.56</v>
      </c>
    </row>
    <row r="5998" spans="1:4" ht="51" x14ac:dyDescent="0.25">
      <c r="A5998" s="104">
        <v>93178</v>
      </c>
      <c r="B5998" s="105" t="s">
        <v>5536</v>
      </c>
      <c r="C5998" s="106" t="s">
        <v>4721</v>
      </c>
      <c r="D5998" s="107">
        <v>0.51</v>
      </c>
    </row>
    <row r="5999" spans="1:4" ht="51" x14ac:dyDescent="0.25">
      <c r="A5999" s="104">
        <v>93179</v>
      </c>
      <c r="B5999" s="105" t="s">
        <v>5537</v>
      </c>
      <c r="C5999" s="106" t="s">
        <v>4721</v>
      </c>
      <c r="D5999" s="107">
        <v>1.73</v>
      </c>
    </row>
    <row r="6000" spans="1:4" ht="38.25" x14ac:dyDescent="0.25">
      <c r="A6000" s="106">
        <v>101188</v>
      </c>
      <c r="B6000" s="105" t="s">
        <v>11831</v>
      </c>
      <c r="C6000" s="106" t="s">
        <v>16</v>
      </c>
      <c r="D6000" s="107">
        <v>3.86</v>
      </c>
    </row>
    <row r="6001" spans="1:4" ht="38.25" x14ac:dyDescent="0.25">
      <c r="A6001" s="106">
        <v>101189</v>
      </c>
      <c r="B6001" s="105" t="s">
        <v>11832</v>
      </c>
      <c r="C6001" s="106" t="s">
        <v>16</v>
      </c>
      <c r="D6001" s="107">
        <v>40.43</v>
      </c>
    </row>
    <row r="6002" spans="1:4" ht="38.25" x14ac:dyDescent="0.25">
      <c r="A6002" s="106">
        <v>101190</v>
      </c>
      <c r="B6002" s="105" t="s">
        <v>11833</v>
      </c>
      <c r="C6002" s="106" t="s">
        <v>16</v>
      </c>
      <c r="D6002" s="107">
        <v>40.04</v>
      </c>
    </row>
    <row r="6003" spans="1:4" ht="38.25" x14ac:dyDescent="0.25">
      <c r="A6003" s="106">
        <v>101191</v>
      </c>
      <c r="B6003" s="105" t="s">
        <v>11834</v>
      </c>
      <c r="C6003" s="106" t="s">
        <v>16</v>
      </c>
      <c r="D6003" s="107">
        <v>40.229999999999997</v>
      </c>
    </row>
    <row r="6004" spans="1:4" ht="38.25" x14ac:dyDescent="0.25">
      <c r="A6004" s="104">
        <v>101192</v>
      </c>
      <c r="B6004" s="105" t="s">
        <v>11835</v>
      </c>
      <c r="C6004" s="106" t="s">
        <v>16</v>
      </c>
      <c r="D6004" s="107">
        <v>40.950000000000003</v>
      </c>
    </row>
    <row r="6005" spans="1:4" ht="38.25" x14ac:dyDescent="0.25">
      <c r="A6005" s="104">
        <v>101193</v>
      </c>
      <c r="B6005" s="105" t="s">
        <v>11836</v>
      </c>
      <c r="C6005" s="106" t="s">
        <v>16</v>
      </c>
      <c r="D6005" s="107">
        <v>37.15</v>
      </c>
    </row>
    <row r="6006" spans="1:4" ht="38.25" x14ac:dyDescent="0.25">
      <c r="A6006" s="104">
        <v>101194</v>
      </c>
      <c r="B6006" s="105" t="s">
        <v>11837</v>
      </c>
      <c r="C6006" s="106" t="s">
        <v>16</v>
      </c>
      <c r="D6006" s="107">
        <v>37.340000000000003</v>
      </c>
    </row>
    <row r="6007" spans="1:4" ht="51" x14ac:dyDescent="0.25">
      <c r="A6007" s="104">
        <v>101197</v>
      </c>
      <c r="B6007" s="105" t="s">
        <v>11838</v>
      </c>
      <c r="C6007" s="106" t="s">
        <v>16</v>
      </c>
      <c r="D6007" s="107">
        <v>77.7</v>
      </c>
    </row>
    <row r="6008" spans="1:4" ht="51" x14ac:dyDescent="0.25">
      <c r="A6008" s="104">
        <v>101198</v>
      </c>
      <c r="B6008" s="105" t="s">
        <v>11839</v>
      </c>
      <c r="C6008" s="106" t="s">
        <v>16</v>
      </c>
      <c r="D6008" s="107">
        <v>55.91</v>
      </c>
    </row>
    <row r="6009" spans="1:4" ht="38.25" x14ac:dyDescent="0.25">
      <c r="A6009" s="104">
        <v>101199</v>
      </c>
      <c r="B6009" s="105" t="s">
        <v>11840</v>
      </c>
      <c r="C6009" s="106" t="s">
        <v>16</v>
      </c>
      <c r="D6009" s="107">
        <v>56.4</v>
      </c>
    </row>
    <row r="6010" spans="1:4" ht="51" x14ac:dyDescent="0.25">
      <c r="A6010" s="104">
        <v>101200</v>
      </c>
      <c r="B6010" s="105" t="s">
        <v>11841</v>
      </c>
      <c r="C6010" s="106" t="s">
        <v>16</v>
      </c>
      <c r="D6010" s="107">
        <v>26.31</v>
      </c>
    </row>
    <row r="6011" spans="1:4" ht="51" x14ac:dyDescent="0.25">
      <c r="A6011" s="104">
        <v>101201</v>
      </c>
      <c r="B6011" s="105" t="s">
        <v>11842</v>
      </c>
      <c r="C6011" s="106" t="s">
        <v>16</v>
      </c>
      <c r="D6011" s="107">
        <v>34.4</v>
      </c>
    </row>
    <row r="6012" spans="1:4" ht="51" x14ac:dyDescent="0.25">
      <c r="A6012" s="104">
        <v>101202</v>
      </c>
      <c r="B6012" s="105" t="s">
        <v>11843</v>
      </c>
      <c r="C6012" s="106" t="s">
        <v>16</v>
      </c>
      <c r="D6012" s="107">
        <v>26.8</v>
      </c>
    </row>
    <row r="6013" spans="1:4" ht="51" x14ac:dyDescent="0.25">
      <c r="A6013" s="104">
        <v>101203</v>
      </c>
      <c r="B6013" s="105" t="s">
        <v>11844</v>
      </c>
      <c r="C6013" s="106" t="s">
        <v>16</v>
      </c>
      <c r="D6013" s="107">
        <v>26.31</v>
      </c>
    </row>
    <row r="6014" spans="1:4" ht="51" x14ac:dyDescent="0.25">
      <c r="A6014" s="104">
        <v>101204</v>
      </c>
      <c r="B6014" s="105" t="s">
        <v>11845</v>
      </c>
      <c r="C6014" s="106" t="s">
        <v>16</v>
      </c>
      <c r="D6014" s="107">
        <v>26.51</v>
      </c>
    </row>
    <row r="6015" spans="1:4" ht="38.25" x14ac:dyDescent="0.25">
      <c r="A6015" s="104">
        <v>101205</v>
      </c>
      <c r="B6015" s="105" t="s">
        <v>11846</v>
      </c>
      <c r="C6015" s="106" t="s">
        <v>16</v>
      </c>
      <c r="D6015" s="107">
        <v>26.8</v>
      </c>
    </row>
    <row r="6016" spans="1:4" ht="51" x14ac:dyDescent="0.25">
      <c r="A6016" s="104" t="s">
        <v>5538</v>
      </c>
      <c r="B6016" s="105" t="s">
        <v>5539</v>
      </c>
      <c r="C6016" s="106" t="s">
        <v>8</v>
      </c>
      <c r="D6016" s="107">
        <v>119.48</v>
      </c>
    </row>
    <row r="6017" spans="1:4" x14ac:dyDescent="0.25">
      <c r="A6017" s="104">
        <v>98509</v>
      </c>
      <c r="B6017" s="105" t="s">
        <v>5540</v>
      </c>
      <c r="C6017" s="106" t="s">
        <v>801</v>
      </c>
      <c r="D6017" s="107">
        <v>55.33</v>
      </c>
    </row>
    <row r="6018" spans="1:4" ht="25.5" x14ac:dyDescent="0.25">
      <c r="A6018" s="104">
        <v>98510</v>
      </c>
      <c r="B6018" s="105" t="s">
        <v>5541</v>
      </c>
      <c r="C6018" s="106" t="s">
        <v>801</v>
      </c>
      <c r="D6018" s="107">
        <v>77.349999999999994</v>
      </c>
    </row>
    <row r="6019" spans="1:4" ht="25.5" x14ac:dyDescent="0.25">
      <c r="A6019" s="104">
        <v>98511</v>
      </c>
      <c r="B6019" s="105" t="s">
        <v>5542</v>
      </c>
      <c r="C6019" s="106" t="s">
        <v>801</v>
      </c>
      <c r="D6019" s="107">
        <v>150.43</v>
      </c>
    </row>
    <row r="6020" spans="1:4" ht="25.5" x14ac:dyDescent="0.25">
      <c r="A6020" s="104">
        <v>98516</v>
      </c>
      <c r="B6020" s="105" t="s">
        <v>5543</v>
      </c>
      <c r="C6020" s="106" t="s">
        <v>801</v>
      </c>
      <c r="D6020" s="107">
        <v>278.77</v>
      </c>
    </row>
    <row r="6021" spans="1:4" x14ac:dyDescent="0.25">
      <c r="A6021" s="104">
        <v>98519</v>
      </c>
      <c r="B6021" s="105" t="s">
        <v>5544</v>
      </c>
      <c r="C6021" s="106" t="s">
        <v>8</v>
      </c>
      <c r="D6021" s="107">
        <v>1.41</v>
      </c>
    </row>
    <row r="6022" spans="1:4" x14ac:dyDescent="0.25">
      <c r="A6022" s="104">
        <v>98520</v>
      </c>
      <c r="B6022" s="105" t="s">
        <v>5545</v>
      </c>
      <c r="C6022" s="106" t="s">
        <v>8</v>
      </c>
      <c r="D6022" s="107">
        <v>3.5</v>
      </c>
    </row>
    <row r="6023" spans="1:4" ht="25.5" x14ac:dyDescent="0.25">
      <c r="A6023" s="104">
        <v>98521</v>
      </c>
      <c r="B6023" s="105" t="s">
        <v>5546</v>
      </c>
      <c r="C6023" s="106" t="s">
        <v>8</v>
      </c>
      <c r="D6023" s="107">
        <v>0.25</v>
      </c>
    </row>
    <row r="6024" spans="1:4" ht="25.5" x14ac:dyDescent="0.25">
      <c r="A6024" s="104">
        <v>98522</v>
      </c>
      <c r="B6024" s="105" t="s">
        <v>5547</v>
      </c>
      <c r="C6024" s="106" t="s">
        <v>16</v>
      </c>
      <c r="D6024" s="107">
        <v>105.43</v>
      </c>
    </row>
    <row r="6025" spans="1:4" ht="25.5" x14ac:dyDescent="0.25">
      <c r="A6025" s="104">
        <v>98524</v>
      </c>
      <c r="B6025" s="105" t="s">
        <v>5548</v>
      </c>
      <c r="C6025" s="106" t="s">
        <v>8</v>
      </c>
      <c r="D6025" s="107">
        <v>2.2599999999999998</v>
      </c>
    </row>
    <row r="6026" spans="1:4" x14ac:dyDescent="0.25">
      <c r="A6026" s="104">
        <v>98503</v>
      </c>
      <c r="B6026" s="105" t="s">
        <v>5549</v>
      </c>
      <c r="C6026" s="106" t="s">
        <v>8</v>
      </c>
      <c r="D6026" s="107">
        <v>13.54</v>
      </c>
    </row>
    <row r="6027" spans="1:4" x14ac:dyDescent="0.25">
      <c r="A6027" s="104">
        <v>98504</v>
      </c>
      <c r="B6027" s="105" t="s">
        <v>5550</v>
      </c>
      <c r="C6027" s="106" t="s">
        <v>8</v>
      </c>
      <c r="D6027" s="107">
        <v>8.6199999999999992</v>
      </c>
    </row>
    <row r="6028" spans="1:4" x14ac:dyDescent="0.25">
      <c r="A6028" s="104">
        <v>98505</v>
      </c>
      <c r="B6028" s="105" t="s">
        <v>5551</v>
      </c>
      <c r="C6028" s="106" t="s">
        <v>8</v>
      </c>
      <c r="D6028" s="107">
        <v>78.930000000000007</v>
      </c>
    </row>
    <row r="6029" spans="1:4" ht="38.25" x14ac:dyDescent="0.25">
      <c r="A6029" s="104">
        <v>98525</v>
      </c>
      <c r="B6029" s="105" t="s">
        <v>5552</v>
      </c>
      <c r="C6029" s="106" t="s">
        <v>8</v>
      </c>
      <c r="D6029" s="107">
        <v>0.22</v>
      </c>
    </row>
    <row r="6030" spans="1:4" ht="38.25" x14ac:dyDescent="0.25">
      <c r="A6030" s="104">
        <v>98526</v>
      </c>
      <c r="B6030" s="105" t="s">
        <v>5553</v>
      </c>
      <c r="C6030" s="106" t="s">
        <v>801</v>
      </c>
      <c r="D6030" s="107">
        <v>48.93</v>
      </c>
    </row>
    <row r="6031" spans="1:4" ht="38.25" x14ac:dyDescent="0.25">
      <c r="A6031" s="104">
        <v>98527</v>
      </c>
      <c r="B6031" s="105" t="s">
        <v>5554</v>
      </c>
      <c r="C6031" s="106" t="s">
        <v>801</v>
      </c>
      <c r="D6031" s="107">
        <v>105.35</v>
      </c>
    </row>
    <row r="6032" spans="1:4" ht="25.5" x14ac:dyDescent="0.25">
      <c r="A6032" s="104">
        <v>98528</v>
      </c>
      <c r="B6032" s="105" t="s">
        <v>5555</v>
      </c>
      <c r="C6032" s="106" t="s">
        <v>801</v>
      </c>
      <c r="D6032" s="107">
        <v>154.06</v>
      </c>
    </row>
    <row r="6033" spans="1:4" ht="25.5" x14ac:dyDescent="0.25">
      <c r="A6033" s="104">
        <v>98529</v>
      </c>
      <c r="B6033" s="105" t="s">
        <v>5556</v>
      </c>
      <c r="C6033" s="106" t="s">
        <v>801</v>
      </c>
      <c r="D6033" s="107">
        <v>48.73</v>
      </c>
    </row>
    <row r="6034" spans="1:4" ht="25.5" x14ac:dyDescent="0.25">
      <c r="A6034" s="104">
        <v>98530</v>
      </c>
      <c r="B6034" s="105" t="s">
        <v>5557</v>
      </c>
      <c r="C6034" s="106" t="s">
        <v>801</v>
      </c>
      <c r="D6034" s="107">
        <v>86.82</v>
      </c>
    </row>
    <row r="6035" spans="1:4" ht="25.5" x14ac:dyDescent="0.25">
      <c r="A6035" s="104">
        <v>98531</v>
      </c>
      <c r="B6035" s="105" t="s">
        <v>5558</v>
      </c>
      <c r="C6035" s="106" t="s">
        <v>801</v>
      </c>
      <c r="D6035" s="107">
        <v>172.46</v>
      </c>
    </row>
    <row r="6036" spans="1:4" ht="25.5" x14ac:dyDescent="0.25">
      <c r="A6036" s="104">
        <v>98532</v>
      </c>
      <c r="B6036" s="105" t="s">
        <v>5559</v>
      </c>
      <c r="C6036" s="106" t="s">
        <v>801</v>
      </c>
      <c r="D6036" s="107">
        <v>62.46</v>
      </c>
    </row>
    <row r="6037" spans="1:4" ht="25.5" x14ac:dyDescent="0.25">
      <c r="A6037" s="104">
        <v>98533</v>
      </c>
      <c r="B6037" s="105" t="s">
        <v>5560</v>
      </c>
      <c r="C6037" s="106" t="s">
        <v>801</v>
      </c>
      <c r="D6037" s="107">
        <v>171.18</v>
      </c>
    </row>
    <row r="6038" spans="1:4" ht="25.5" x14ac:dyDescent="0.25">
      <c r="A6038" s="104">
        <v>98534</v>
      </c>
      <c r="B6038" s="105" t="s">
        <v>5561</v>
      </c>
      <c r="C6038" s="106" t="s">
        <v>801</v>
      </c>
      <c r="D6038" s="107">
        <v>438.45</v>
      </c>
    </row>
    <row r="6039" spans="1:4" ht="25.5" x14ac:dyDescent="0.25">
      <c r="A6039" s="104">
        <v>98535</v>
      </c>
      <c r="B6039" s="105" t="s">
        <v>5562</v>
      </c>
      <c r="C6039" s="106" t="s">
        <v>801</v>
      </c>
      <c r="D6039" s="107">
        <v>694.16</v>
      </c>
    </row>
    <row r="6040" spans="1:4" x14ac:dyDescent="0.25">
      <c r="A6040" s="104">
        <v>88238</v>
      </c>
      <c r="B6040" s="105" t="s">
        <v>661</v>
      </c>
      <c r="C6040" s="106" t="s">
        <v>102</v>
      </c>
      <c r="D6040" s="107">
        <v>13.76</v>
      </c>
    </row>
    <row r="6041" spans="1:4" x14ac:dyDescent="0.25">
      <c r="A6041" s="104">
        <v>88239</v>
      </c>
      <c r="B6041" s="105" t="s">
        <v>656</v>
      </c>
      <c r="C6041" s="106" t="s">
        <v>102</v>
      </c>
      <c r="D6041" s="107">
        <v>14.91</v>
      </c>
    </row>
    <row r="6042" spans="1:4" ht="25.5" x14ac:dyDescent="0.25">
      <c r="A6042" s="104">
        <v>88240</v>
      </c>
      <c r="B6042" s="105" t="s">
        <v>5563</v>
      </c>
      <c r="C6042" s="106" t="s">
        <v>102</v>
      </c>
      <c r="D6042" s="107">
        <v>10.65</v>
      </c>
    </row>
    <row r="6043" spans="1:4" ht="25.5" x14ac:dyDescent="0.25">
      <c r="A6043" s="104">
        <v>88241</v>
      </c>
      <c r="B6043" s="105" t="s">
        <v>5564</v>
      </c>
      <c r="C6043" s="106" t="s">
        <v>102</v>
      </c>
      <c r="D6043" s="107">
        <v>14.08</v>
      </c>
    </row>
    <row r="6044" spans="1:4" x14ac:dyDescent="0.25">
      <c r="A6044" s="104">
        <v>88242</v>
      </c>
      <c r="B6044" s="105" t="s">
        <v>599</v>
      </c>
      <c r="C6044" s="106" t="s">
        <v>102</v>
      </c>
      <c r="D6044" s="107">
        <v>14.37</v>
      </c>
    </row>
    <row r="6045" spans="1:4" x14ac:dyDescent="0.25">
      <c r="A6045" s="104">
        <v>88243</v>
      </c>
      <c r="B6045" s="105" t="s">
        <v>422</v>
      </c>
      <c r="C6045" s="106" t="s">
        <v>102</v>
      </c>
      <c r="D6045" s="107">
        <v>17.149999999999999</v>
      </c>
    </row>
    <row r="6046" spans="1:4" x14ac:dyDescent="0.25">
      <c r="A6046" s="104">
        <v>88245</v>
      </c>
      <c r="B6046" s="105" t="s">
        <v>662</v>
      </c>
      <c r="C6046" s="106" t="s">
        <v>102</v>
      </c>
      <c r="D6046" s="107">
        <v>17.68</v>
      </c>
    </row>
    <row r="6047" spans="1:4" x14ac:dyDescent="0.25">
      <c r="A6047" s="104">
        <v>88246</v>
      </c>
      <c r="B6047" s="105" t="s">
        <v>499</v>
      </c>
      <c r="C6047" s="106" t="s">
        <v>102</v>
      </c>
      <c r="D6047" s="107">
        <v>14.83</v>
      </c>
    </row>
    <row r="6048" spans="1:4" x14ac:dyDescent="0.25">
      <c r="A6048" s="104">
        <v>88247</v>
      </c>
      <c r="B6048" s="105" t="s">
        <v>505</v>
      </c>
      <c r="C6048" s="106" t="s">
        <v>102</v>
      </c>
      <c r="D6048" s="107">
        <v>14.33</v>
      </c>
    </row>
    <row r="6049" spans="1:4" ht="25.5" x14ac:dyDescent="0.25">
      <c r="A6049" s="104">
        <v>88248</v>
      </c>
      <c r="B6049" s="105" t="s">
        <v>406</v>
      </c>
      <c r="C6049" s="106" t="s">
        <v>102</v>
      </c>
      <c r="D6049" s="107">
        <v>13.87</v>
      </c>
    </row>
    <row r="6050" spans="1:4" x14ac:dyDescent="0.25">
      <c r="A6050" s="104">
        <v>88249</v>
      </c>
      <c r="B6050" s="105" t="s">
        <v>5565</v>
      </c>
      <c r="C6050" s="106" t="s">
        <v>102</v>
      </c>
      <c r="D6050" s="107">
        <v>18.7</v>
      </c>
    </row>
    <row r="6051" spans="1:4" x14ac:dyDescent="0.25">
      <c r="A6051" s="104">
        <v>88250</v>
      </c>
      <c r="B6051" s="105" t="s">
        <v>5566</v>
      </c>
      <c r="C6051" s="106" t="s">
        <v>102</v>
      </c>
      <c r="D6051" s="107">
        <v>12.06</v>
      </c>
    </row>
    <row r="6052" spans="1:4" x14ac:dyDescent="0.25">
      <c r="A6052" s="104">
        <v>88251</v>
      </c>
      <c r="B6052" s="105" t="s">
        <v>443</v>
      </c>
      <c r="C6052" s="106" t="s">
        <v>102</v>
      </c>
      <c r="D6052" s="107">
        <v>14.43</v>
      </c>
    </row>
    <row r="6053" spans="1:4" x14ac:dyDescent="0.25">
      <c r="A6053" s="104">
        <v>88252</v>
      </c>
      <c r="B6053" s="105" t="s">
        <v>5567</v>
      </c>
      <c r="C6053" s="106" t="s">
        <v>102</v>
      </c>
      <c r="D6053" s="107">
        <v>15.04</v>
      </c>
    </row>
    <row r="6054" spans="1:4" x14ac:dyDescent="0.25">
      <c r="A6054" s="106">
        <v>88253</v>
      </c>
      <c r="B6054" s="105" t="s">
        <v>5568</v>
      </c>
      <c r="C6054" s="106" t="s">
        <v>102</v>
      </c>
      <c r="D6054" s="107">
        <v>6.07</v>
      </c>
    </row>
    <row r="6055" spans="1:4" ht="25.5" x14ac:dyDescent="0.25">
      <c r="A6055" s="106">
        <v>88255</v>
      </c>
      <c r="B6055" s="105" t="s">
        <v>5569</v>
      </c>
      <c r="C6055" s="106" t="s">
        <v>102</v>
      </c>
      <c r="D6055" s="107">
        <v>21.09</v>
      </c>
    </row>
    <row r="6056" spans="1:4" x14ac:dyDescent="0.25">
      <c r="A6056" s="106">
        <v>88256</v>
      </c>
      <c r="B6056" s="105" t="s">
        <v>418</v>
      </c>
      <c r="C6056" s="106" t="s">
        <v>102</v>
      </c>
      <c r="D6056" s="107">
        <v>17.71</v>
      </c>
    </row>
    <row r="6057" spans="1:4" ht="25.5" x14ac:dyDescent="0.25">
      <c r="A6057" s="106">
        <v>88257</v>
      </c>
      <c r="B6057" s="105" t="s">
        <v>5570</v>
      </c>
      <c r="C6057" s="106" t="s">
        <v>102</v>
      </c>
      <c r="D6057" s="107">
        <v>12.89</v>
      </c>
    </row>
    <row r="6058" spans="1:4" ht="25.5" x14ac:dyDescent="0.25">
      <c r="A6058" s="106">
        <v>88258</v>
      </c>
      <c r="B6058" s="105" t="s">
        <v>5571</v>
      </c>
      <c r="C6058" s="106" t="s">
        <v>102</v>
      </c>
      <c r="D6058" s="107">
        <v>9.5500000000000007</v>
      </c>
    </row>
    <row r="6059" spans="1:4" x14ac:dyDescent="0.25">
      <c r="A6059" s="106">
        <v>88259</v>
      </c>
      <c r="B6059" s="105" t="s">
        <v>5572</v>
      </c>
      <c r="C6059" s="106" t="s">
        <v>102</v>
      </c>
      <c r="D6059" s="107">
        <v>20.51</v>
      </c>
    </row>
    <row r="6060" spans="1:4" x14ac:dyDescent="0.25">
      <c r="A6060" s="106">
        <v>88260</v>
      </c>
      <c r="B6060" s="105" t="s">
        <v>458</v>
      </c>
      <c r="C6060" s="106" t="s">
        <v>102</v>
      </c>
      <c r="D6060" s="107">
        <v>17.52</v>
      </c>
    </row>
    <row r="6061" spans="1:4" x14ac:dyDescent="0.25">
      <c r="A6061" s="106">
        <v>88261</v>
      </c>
      <c r="B6061" s="105" t="s">
        <v>451</v>
      </c>
      <c r="C6061" s="106" t="s">
        <v>102</v>
      </c>
      <c r="D6061" s="107">
        <v>18.84</v>
      </c>
    </row>
    <row r="6062" spans="1:4" x14ac:dyDescent="0.25">
      <c r="A6062" s="106">
        <v>88262</v>
      </c>
      <c r="B6062" s="105" t="s">
        <v>399</v>
      </c>
      <c r="C6062" s="106" t="s">
        <v>102</v>
      </c>
      <c r="D6062" s="107">
        <v>17.64</v>
      </c>
    </row>
    <row r="6063" spans="1:4" ht="25.5" x14ac:dyDescent="0.25">
      <c r="A6063" s="106">
        <v>88263</v>
      </c>
      <c r="B6063" s="105" t="s">
        <v>5573</v>
      </c>
      <c r="C6063" s="106" t="s">
        <v>102</v>
      </c>
      <c r="D6063" s="107">
        <v>11.66</v>
      </c>
    </row>
    <row r="6064" spans="1:4" x14ac:dyDescent="0.25">
      <c r="A6064" s="106">
        <v>88264</v>
      </c>
      <c r="B6064" s="105" t="s">
        <v>506</v>
      </c>
      <c r="C6064" s="106" t="s">
        <v>102</v>
      </c>
      <c r="D6064" s="107">
        <v>18.38</v>
      </c>
    </row>
    <row r="6065" spans="1:4" x14ac:dyDescent="0.25">
      <c r="A6065" s="106">
        <v>88265</v>
      </c>
      <c r="B6065" s="105" t="s">
        <v>5574</v>
      </c>
      <c r="C6065" s="106" t="s">
        <v>102</v>
      </c>
      <c r="D6065" s="107">
        <v>18.38</v>
      </c>
    </row>
    <row r="6066" spans="1:4" x14ac:dyDescent="0.25">
      <c r="A6066" s="106">
        <v>88266</v>
      </c>
      <c r="B6066" s="105" t="s">
        <v>5575</v>
      </c>
      <c r="C6066" s="106" t="s">
        <v>102</v>
      </c>
      <c r="D6066" s="107">
        <v>18.45</v>
      </c>
    </row>
    <row r="6067" spans="1:4" ht="25.5" x14ac:dyDescent="0.25">
      <c r="A6067" s="106">
        <v>88267</v>
      </c>
      <c r="B6067" s="105" t="s">
        <v>405</v>
      </c>
      <c r="C6067" s="106" t="s">
        <v>102</v>
      </c>
      <c r="D6067" s="107">
        <v>17.79</v>
      </c>
    </row>
    <row r="6068" spans="1:4" x14ac:dyDescent="0.25">
      <c r="A6068" s="106">
        <v>88268</v>
      </c>
      <c r="B6068" s="105" t="s">
        <v>5576</v>
      </c>
      <c r="C6068" s="106" t="s">
        <v>102</v>
      </c>
      <c r="D6068" s="107">
        <v>18.3</v>
      </c>
    </row>
    <row r="6069" spans="1:4" x14ac:dyDescent="0.25">
      <c r="A6069" s="106">
        <v>88269</v>
      </c>
      <c r="B6069" s="105" t="s">
        <v>444</v>
      </c>
      <c r="C6069" s="106" t="s">
        <v>102</v>
      </c>
      <c r="D6069" s="107">
        <v>17.68</v>
      </c>
    </row>
    <row r="6070" spans="1:4" x14ac:dyDescent="0.25">
      <c r="A6070" s="106">
        <v>88270</v>
      </c>
      <c r="B6070" s="105" t="s">
        <v>5577</v>
      </c>
      <c r="C6070" s="106" t="s">
        <v>102</v>
      </c>
      <c r="D6070" s="107">
        <v>18.52</v>
      </c>
    </row>
    <row r="6071" spans="1:4" x14ac:dyDescent="0.25">
      <c r="A6071" s="106">
        <v>88272</v>
      </c>
      <c r="B6071" s="105" t="s">
        <v>5578</v>
      </c>
      <c r="C6071" s="106" t="s">
        <v>102</v>
      </c>
      <c r="D6071" s="107">
        <v>18.190000000000001</v>
      </c>
    </row>
    <row r="6072" spans="1:4" x14ac:dyDescent="0.25">
      <c r="A6072" s="104">
        <v>88273</v>
      </c>
      <c r="B6072" s="105" t="s">
        <v>704</v>
      </c>
      <c r="C6072" s="106" t="s">
        <v>102</v>
      </c>
      <c r="D6072" s="107">
        <v>17.940000000000001</v>
      </c>
    </row>
    <row r="6073" spans="1:4" x14ac:dyDescent="0.25">
      <c r="A6073" s="104">
        <v>88274</v>
      </c>
      <c r="B6073" s="105" t="s">
        <v>431</v>
      </c>
      <c r="C6073" s="106" t="s">
        <v>102</v>
      </c>
      <c r="D6073" s="107">
        <v>17.98</v>
      </c>
    </row>
    <row r="6074" spans="1:4" ht="25.5" x14ac:dyDescent="0.25">
      <c r="A6074" s="104">
        <v>88275</v>
      </c>
      <c r="B6074" s="105" t="s">
        <v>5579</v>
      </c>
      <c r="C6074" s="106" t="s">
        <v>102</v>
      </c>
      <c r="D6074" s="107">
        <v>18.07</v>
      </c>
    </row>
    <row r="6075" spans="1:4" ht="25.5" x14ac:dyDescent="0.25">
      <c r="A6075" s="104">
        <v>88277</v>
      </c>
      <c r="B6075" s="105" t="s">
        <v>5580</v>
      </c>
      <c r="C6075" s="106" t="s">
        <v>102</v>
      </c>
      <c r="D6075" s="107">
        <v>13.58</v>
      </c>
    </row>
    <row r="6076" spans="1:4" ht="25.5" x14ac:dyDescent="0.25">
      <c r="A6076" s="104">
        <v>88278</v>
      </c>
      <c r="B6076" s="105" t="s">
        <v>421</v>
      </c>
      <c r="C6076" s="106" t="s">
        <v>102</v>
      </c>
      <c r="D6076" s="107">
        <v>12.82</v>
      </c>
    </row>
    <row r="6077" spans="1:4" x14ac:dyDescent="0.25">
      <c r="A6077" s="104">
        <v>88279</v>
      </c>
      <c r="B6077" s="105" t="s">
        <v>5581</v>
      </c>
      <c r="C6077" s="106" t="s">
        <v>102</v>
      </c>
      <c r="D6077" s="107">
        <v>19.5</v>
      </c>
    </row>
    <row r="6078" spans="1:4" x14ac:dyDescent="0.25">
      <c r="A6078" s="104">
        <v>88281</v>
      </c>
      <c r="B6078" s="105" t="s">
        <v>5582</v>
      </c>
      <c r="C6078" s="106" t="s">
        <v>102</v>
      </c>
      <c r="D6078" s="107">
        <v>13.61</v>
      </c>
    </row>
    <row r="6079" spans="1:4" x14ac:dyDescent="0.25">
      <c r="A6079" s="104">
        <v>88282</v>
      </c>
      <c r="B6079" s="105" t="s">
        <v>5583</v>
      </c>
      <c r="C6079" s="106" t="s">
        <v>102</v>
      </c>
      <c r="D6079" s="107">
        <v>14.19</v>
      </c>
    </row>
    <row r="6080" spans="1:4" ht="25.5" x14ac:dyDescent="0.25">
      <c r="A6080" s="104">
        <v>88283</v>
      </c>
      <c r="B6080" s="105" t="s">
        <v>5584</v>
      </c>
      <c r="C6080" s="106" t="s">
        <v>102</v>
      </c>
      <c r="D6080" s="107">
        <v>17.62</v>
      </c>
    </row>
    <row r="6081" spans="1:4" x14ac:dyDescent="0.25">
      <c r="A6081" s="104">
        <v>88284</v>
      </c>
      <c r="B6081" s="105" t="s">
        <v>5585</v>
      </c>
      <c r="C6081" s="106" t="s">
        <v>102</v>
      </c>
      <c r="D6081" s="107">
        <v>13.45</v>
      </c>
    </row>
    <row r="6082" spans="1:4" x14ac:dyDescent="0.25">
      <c r="A6082" s="104">
        <v>88285</v>
      </c>
      <c r="B6082" s="105" t="s">
        <v>5586</v>
      </c>
      <c r="C6082" s="106" t="s">
        <v>102</v>
      </c>
      <c r="D6082" s="107">
        <v>15.12</v>
      </c>
    </row>
    <row r="6083" spans="1:4" ht="25.5" x14ac:dyDescent="0.25">
      <c r="A6083" s="104">
        <v>88286</v>
      </c>
      <c r="B6083" s="105" t="s">
        <v>5587</v>
      </c>
      <c r="C6083" s="106" t="s">
        <v>102</v>
      </c>
      <c r="D6083" s="107">
        <v>16.03</v>
      </c>
    </row>
    <row r="6084" spans="1:4" x14ac:dyDescent="0.25">
      <c r="A6084" s="104">
        <v>88288</v>
      </c>
      <c r="B6084" s="105" t="s">
        <v>5588</v>
      </c>
      <c r="C6084" s="106" t="s">
        <v>102</v>
      </c>
      <c r="D6084" s="107">
        <v>7.39</v>
      </c>
    </row>
    <row r="6085" spans="1:4" ht="25.5" x14ac:dyDescent="0.25">
      <c r="A6085" s="104">
        <v>88291</v>
      </c>
      <c r="B6085" s="105" t="s">
        <v>5589</v>
      </c>
      <c r="C6085" s="106" t="s">
        <v>102</v>
      </c>
      <c r="D6085" s="107">
        <v>13.21</v>
      </c>
    </row>
    <row r="6086" spans="1:4" ht="25.5" x14ac:dyDescent="0.25">
      <c r="A6086" s="104">
        <v>88292</v>
      </c>
      <c r="B6086" s="105" t="s">
        <v>5590</v>
      </c>
      <c r="C6086" s="106" t="s">
        <v>102</v>
      </c>
      <c r="D6086" s="107">
        <v>13.69</v>
      </c>
    </row>
    <row r="6087" spans="1:4" ht="25.5" x14ac:dyDescent="0.25">
      <c r="A6087" s="104">
        <v>88293</v>
      </c>
      <c r="B6087" s="105" t="s">
        <v>5591</v>
      </c>
      <c r="C6087" s="106" t="s">
        <v>102</v>
      </c>
      <c r="D6087" s="107">
        <v>15.34</v>
      </c>
    </row>
    <row r="6088" spans="1:4" x14ac:dyDescent="0.25">
      <c r="A6088" s="104">
        <v>88294</v>
      </c>
      <c r="B6088" s="105" t="s">
        <v>5592</v>
      </c>
      <c r="C6088" s="106" t="s">
        <v>102</v>
      </c>
      <c r="D6088" s="107">
        <v>16.45</v>
      </c>
    </row>
    <row r="6089" spans="1:4" x14ac:dyDescent="0.25">
      <c r="A6089" s="104">
        <v>88295</v>
      </c>
      <c r="B6089" s="105" t="s">
        <v>5593</v>
      </c>
      <c r="C6089" s="106" t="s">
        <v>102</v>
      </c>
      <c r="D6089" s="107">
        <v>12.99</v>
      </c>
    </row>
    <row r="6090" spans="1:4" x14ac:dyDescent="0.25">
      <c r="A6090" s="104">
        <v>88296</v>
      </c>
      <c r="B6090" s="105" t="s">
        <v>5594</v>
      </c>
      <c r="C6090" s="106" t="s">
        <v>102</v>
      </c>
      <c r="D6090" s="107">
        <v>13.04</v>
      </c>
    </row>
    <row r="6091" spans="1:4" ht="25.5" x14ac:dyDescent="0.25">
      <c r="A6091" s="104">
        <v>88297</v>
      </c>
      <c r="B6091" s="105" t="s">
        <v>5595</v>
      </c>
      <c r="C6091" s="106" t="s">
        <v>102</v>
      </c>
      <c r="D6091" s="107">
        <v>13.49</v>
      </c>
    </row>
    <row r="6092" spans="1:4" ht="25.5" x14ac:dyDescent="0.25">
      <c r="A6092" s="104">
        <v>88298</v>
      </c>
      <c r="B6092" s="105" t="s">
        <v>5596</v>
      </c>
      <c r="C6092" s="106" t="s">
        <v>102</v>
      </c>
      <c r="D6092" s="107">
        <v>11.45</v>
      </c>
    </row>
    <row r="6093" spans="1:4" x14ac:dyDescent="0.25">
      <c r="A6093" s="104">
        <v>88299</v>
      </c>
      <c r="B6093" s="105" t="s">
        <v>5597</v>
      </c>
      <c r="C6093" s="106" t="s">
        <v>102</v>
      </c>
      <c r="D6093" s="107">
        <v>15.52</v>
      </c>
    </row>
    <row r="6094" spans="1:4" x14ac:dyDescent="0.25">
      <c r="A6094" s="104">
        <v>88300</v>
      </c>
      <c r="B6094" s="105" t="s">
        <v>5598</v>
      </c>
      <c r="C6094" s="106" t="s">
        <v>102</v>
      </c>
      <c r="D6094" s="107">
        <v>18.16</v>
      </c>
    </row>
    <row r="6095" spans="1:4" x14ac:dyDescent="0.25">
      <c r="A6095" s="104">
        <v>88301</v>
      </c>
      <c r="B6095" s="105" t="s">
        <v>5599</v>
      </c>
      <c r="C6095" s="106" t="s">
        <v>102</v>
      </c>
      <c r="D6095" s="107">
        <v>14.32</v>
      </c>
    </row>
    <row r="6096" spans="1:4" x14ac:dyDescent="0.25">
      <c r="A6096" s="104">
        <v>88302</v>
      </c>
      <c r="B6096" s="105" t="s">
        <v>5600</v>
      </c>
      <c r="C6096" s="106" t="s">
        <v>102</v>
      </c>
      <c r="D6096" s="107">
        <v>15.91</v>
      </c>
    </row>
    <row r="6097" spans="1:4" ht="25.5" x14ac:dyDescent="0.25">
      <c r="A6097" s="104">
        <v>88303</v>
      </c>
      <c r="B6097" s="105" t="s">
        <v>5601</v>
      </c>
      <c r="C6097" s="106" t="s">
        <v>102</v>
      </c>
      <c r="D6097" s="107">
        <v>13.47</v>
      </c>
    </row>
    <row r="6098" spans="1:4" ht="25.5" x14ac:dyDescent="0.25">
      <c r="A6098" s="104">
        <v>88304</v>
      </c>
      <c r="B6098" s="105" t="s">
        <v>5602</v>
      </c>
      <c r="C6098" s="106" t="s">
        <v>102</v>
      </c>
      <c r="D6098" s="107">
        <v>14.22</v>
      </c>
    </row>
    <row r="6099" spans="1:4" ht="25.5" x14ac:dyDescent="0.25">
      <c r="A6099" s="104">
        <v>88306</v>
      </c>
      <c r="B6099" s="105" t="s">
        <v>5603</v>
      </c>
      <c r="C6099" s="106" t="s">
        <v>102</v>
      </c>
      <c r="D6099" s="107">
        <v>15.14</v>
      </c>
    </row>
    <row r="6100" spans="1:4" x14ac:dyDescent="0.25">
      <c r="A6100" s="104">
        <v>88307</v>
      </c>
      <c r="B6100" s="105" t="s">
        <v>5604</v>
      </c>
      <c r="C6100" s="106" t="s">
        <v>102</v>
      </c>
      <c r="D6100" s="107">
        <v>14.75</v>
      </c>
    </row>
    <row r="6101" spans="1:4" x14ac:dyDescent="0.25">
      <c r="A6101" s="104">
        <v>88308</v>
      </c>
      <c r="B6101" s="105" t="s">
        <v>5605</v>
      </c>
      <c r="C6101" s="106" t="s">
        <v>102</v>
      </c>
      <c r="D6101" s="107">
        <v>19.84</v>
      </c>
    </row>
    <row r="6102" spans="1:4" x14ac:dyDescent="0.25">
      <c r="A6102" s="104">
        <v>88309</v>
      </c>
      <c r="B6102" s="105" t="s">
        <v>104</v>
      </c>
      <c r="C6102" s="106" t="s">
        <v>102</v>
      </c>
      <c r="D6102" s="107">
        <v>17.760000000000002</v>
      </c>
    </row>
    <row r="6103" spans="1:4" x14ac:dyDescent="0.25">
      <c r="A6103" s="104">
        <v>88310</v>
      </c>
      <c r="B6103" s="105" t="s">
        <v>454</v>
      </c>
      <c r="C6103" s="106" t="s">
        <v>102</v>
      </c>
      <c r="D6103" s="107">
        <v>18.88</v>
      </c>
    </row>
    <row r="6104" spans="1:4" x14ac:dyDescent="0.25">
      <c r="A6104" s="104">
        <v>88311</v>
      </c>
      <c r="B6104" s="105" t="s">
        <v>5606</v>
      </c>
      <c r="C6104" s="106" t="s">
        <v>102</v>
      </c>
      <c r="D6104" s="107">
        <v>20.85</v>
      </c>
    </row>
    <row r="6105" spans="1:4" x14ac:dyDescent="0.25">
      <c r="A6105" s="104">
        <v>88312</v>
      </c>
      <c r="B6105" s="105" t="s">
        <v>5607</v>
      </c>
      <c r="C6105" s="106" t="s">
        <v>102</v>
      </c>
      <c r="D6105" s="107">
        <v>19.84</v>
      </c>
    </row>
    <row r="6106" spans="1:4" x14ac:dyDescent="0.25">
      <c r="A6106" s="104">
        <v>88313</v>
      </c>
      <c r="B6106" s="105" t="s">
        <v>5608</v>
      </c>
      <c r="C6106" s="106" t="s">
        <v>102</v>
      </c>
      <c r="D6106" s="107">
        <v>13.01</v>
      </c>
    </row>
    <row r="6107" spans="1:4" x14ac:dyDescent="0.25">
      <c r="A6107" s="104">
        <v>88314</v>
      </c>
      <c r="B6107" s="105" t="s">
        <v>5609</v>
      </c>
      <c r="C6107" s="106" t="s">
        <v>102</v>
      </c>
      <c r="D6107" s="107">
        <v>12.02</v>
      </c>
    </row>
    <row r="6108" spans="1:4" x14ac:dyDescent="0.25">
      <c r="A6108" s="104">
        <v>88315</v>
      </c>
      <c r="B6108" s="105" t="s">
        <v>442</v>
      </c>
      <c r="C6108" s="106" t="s">
        <v>102</v>
      </c>
      <c r="D6108" s="107">
        <v>17.68</v>
      </c>
    </row>
    <row r="6109" spans="1:4" x14ac:dyDescent="0.25">
      <c r="A6109" s="106">
        <v>88316</v>
      </c>
      <c r="B6109" s="105" t="s">
        <v>105</v>
      </c>
      <c r="C6109" s="106" t="s">
        <v>102</v>
      </c>
      <c r="D6109" s="107">
        <v>14.37</v>
      </c>
    </row>
    <row r="6110" spans="1:4" x14ac:dyDescent="0.25">
      <c r="A6110" s="106">
        <v>88317</v>
      </c>
      <c r="B6110" s="105" t="s">
        <v>5610</v>
      </c>
      <c r="C6110" s="106" t="s">
        <v>102</v>
      </c>
      <c r="D6110" s="107">
        <v>17.98</v>
      </c>
    </row>
    <row r="6111" spans="1:4" ht="25.5" x14ac:dyDescent="0.25">
      <c r="A6111" s="106">
        <v>88318</v>
      </c>
      <c r="B6111" s="105" t="s">
        <v>5611</v>
      </c>
      <c r="C6111" s="106" t="s">
        <v>102</v>
      </c>
      <c r="D6111" s="107">
        <v>22.22</v>
      </c>
    </row>
    <row r="6112" spans="1:4" x14ac:dyDescent="0.25">
      <c r="A6112" s="106">
        <v>88320</v>
      </c>
      <c r="B6112" s="105" t="s">
        <v>5612</v>
      </c>
      <c r="C6112" s="106" t="s">
        <v>102</v>
      </c>
      <c r="D6112" s="107">
        <v>20.55</v>
      </c>
    </row>
    <row r="6113" spans="1:4" x14ac:dyDescent="0.25">
      <c r="A6113" s="106">
        <v>88321</v>
      </c>
      <c r="B6113" s="105" t="s">
        <v>5613</v>
      </c>
      <c r="C6113" s="106" t="s">
        <v>102</v>
      </c>
      <c r="D6113" s="107">
        <v>19.57</v>
      </c>
    </row>
    <row r="6114" spans="1:4" x14ac:dyDescent="0.25">
      <c r="A6114" s="106">
        <v>88322</v>
      </c>
      <c r="B6114" s="105" t="s">
        <v>5614</v>
      </c>
      <c r="C6114" s="106" t="s">
        <v>102</v>
      </c>
      <c r="D6114" s="107">
        <v>17.600000000000001</v>
      </c>
    </row>
    <row r="6115" spans="1:4" x14ac:dyDescent="0.25">
      <c r="A6115" s="106">
        <v>88323</v>
      </c>
      <c r="B6115" s="105" t="s">
        <v>433</v>
      </c>
      <c r="C6115" s="106" t="s">
        <v>102</v>
      </c>
      <c r="D6115" s="107">
        <v>18.809999999999999</v>
      </c>
    </row>
    <row r="6116" spans="1:4" x14ac:dyDescent="0.25">
      <c r="A6116" s="106">
        <v>88324</v>
      </c>
      <c r="B6116" s="105" t="s">
        <v>5615</v>
      </c>
      <c r="C6116" s="106" t="s">
        <v>102</v>
      </c>
      <c r="D6116" s="107">
        <v>13.56</v>
      </c>
    </row>
    <row r="6117" spans="1:4" x14ac:dyDescent="0.25">
      <c r="A6117" s="104">
        <v>88325</v>
      </c>
      <c r="B6117" s="105" t="s">
        <v>5616</v>
      </c>
      <c r="C6117" s="106" t="s">
        <v>102</v>
      </c>
      <c r="D6117" s="107">
        <v>17.14</v>
      </c>
    </row>
    <row r="6118" spans="1:4" x14ac:dyDescent="0.25">
      <c r="A6118" s="106">
        <v>88326</v>
      </c>
      <c r="B6118" s="105" t="s">
        <v>649</v>
      </c>
      <c r="C6118" s="106" t="s">
        <v>102</v>
      </c>
      <c r="D6118" s="107">
        <v>18.350000000000001</v>
      </c>
    </row>
    <row r="6119" spans="1:4" ht="25.5" x14ac:dyDescent="0.25">
      <c r="A6119" s="106">
        <v>88377</v>
      </c>
      <c r="B6119" s="105" t="s">
        <v>5617</v>
      </c>
      <c r="C6119" s="106" t="s">
        <v>102</v>
      </c>
      <c r="D6119" s="107">
        <v>12.88</v>
      </c>
    </row>
    <row r="6120" spans="1:4" x14ac:dyDescent="0.25">
      <c r="A6120" s="106">
        <v>88441</v>
      </c>
      <c r="B6120" s="105" t="s">
        <v>470</v>
      </c>
      <c r="C6120" s="106" t="s">
        <v>102</v>
      </c>
      <c r="D6120" s="107">
        <v>17.190000000000001</v>
      </c>
    </row>
    <row r="6121" spans="1:4" x14ac:dyDescent="0.25">
      <c r="A6121" s="104">
        <v>88597</v>
      </c>
      <c r="B6121" s="105" t="s">
        <v>5618</v>
      </c>
      <c r="C6121" s="106" t="s">
        <v>102</v>
      </c>
      <c r="D6121" s="107">
        <v>20.3</v>
      </c>
    </row>
    <row r="6122" spans="1:4" x14ac:dyDescent="0.25">
      <c r="A6122" s="104">
        <v>90766</v>
      </c>
      <c r="B6122" s="105" t="s">
        <v>648</v>
      </c>
      <c r="C6122" s="106" t="s">
        <v>102</v>
      </c>
      <c r="D6122" s="107">
        <v>13.9</v>
      </c>
    </row>
    <row r="6123" spans="1:4" x14ac:dyDescent="0.25">
      <c r="A6123" s="104">
        <v>90767</v>
      </c>
      <c r="B6123" s="105" t="s">
        <v>5619</v>
      </c>
      <c r="C6123" s="106" t="s">
        <v>102</v>
      </c>
      <c r="D6123" s="107">
        <v>13.53</v>
      </c>
    </row>
    <row r="6124" spans="1:4" x14ac:dyDescent="0.25">
      <c r="A6124" s="104">
        <v>90768</v>
      </c>
      <c r="B6124" s="105" t="s">
        <v>5620</v>
      </c>
      <c r="C6124" s="106" t="s">
        <v>102</v>
      </c>
      <c r="D6124" s="107">
        <v>58.36</v>
      </c>
    </row>
    <row r="6125" spans="1:4" x14ac:dyDescent="0.25">
      <c r="A6125" s="104">
        <v>90769</v>
      </c>
      <c r="B6125" s="105" t="s">
        <v>5621</v>
      </c>
      <c r="C6125" s="106" t="s">
        <v>102</v>
      </c>
      <c r="D6125" s="107">
        <v>82.48</v>
      </c>
    </row>
    <row r="6126" spans="1:4" x14ac:dyDescent="0.25">
      <c r="A6126" s="104">
        <v>90770</v>
      </c>
      <c r="B6126" s="105" t="s">
        <v>5622</v>
      </c>
      <c r="C6126" s="106" t="s">
        <v>102</v>
      </c>
      <c r="D6126" s="107">
        <v>108.73</v>
      </c>
    </row>
    <row r="6127" spans="1:4" x14ac:dyDescent="0.25">
      <c r="A6127" s="104">
        <v>90771</v>
      </c>
      <c r="B6127" s="105" t="s">
        <v>5623</v>
      </c>
      <c r="C6127" s="106" t="s">
        <v>102</v>
      </c>
      <c r="D6127" s="107">
        <v>16.420000000000002</v>
      </c>
    </row>
    <row r="6128" spans="1:4" x14ac:dyDescent="0.25">
      <c r="A6128" s="104">
        <v>90772</v>
      </c>
      <c r="B6128" s="105" t="s">
        <v>5624</v>
      </c>
      <c r="C6128" s="106" t="s">
        <v>102</v>
      </c>
      <c r="D6128" s="107">
        <v>11.4</v>
      </c>
    </row>
    <row r="6129" spans="1:4" x14ac:dyDescent="0.25">
      <c r="A6129" s="104">
        <v>90773</v>
      </c>
      <c r="B6129" s="105" t="s">
        <v>691</v>
      </c>
      <c r="C6129" s="106" t="s">
        <v>102</v>
      </c>
      <c r="D6129" s="107">
        <v>15.56</v>
      </c>
    </row>
    <row r="6130" spans="1:4" x14ac:dyDescent="0.25">
      <c r="A6130" s="104">
        <v>90775</v>
      </c>
      <c r="B6130" s="105" t="s">
        <v>5625</v>
      </c>
      <c r="C6130" s="106" t="s">
        <v>102</v>
      </c>
      <c r="D6130" s="107">
        <v>16.420000000000002</v>
      </c>
    </row>
    <row r="6131" spans="1:4" x14ac:dyDescent="0.25">
      <c r="A6131" s="104">
        <v>90776</v>
      </c>
      <c r="B6131" s="105" t="s">
        <v>5626</v>
      </c>
      <c r="C6131" s="106" t="s">
        <v>102</v>
      </c>
      <c r="D6131" s="107">
        <v>18.829999999999998</v>
      </c>
    </row>
    <row r="6132" spans="1:4" ht="25.5" x14ac:dyDescent="0.25">
      <c r="A6132" s="104">
        <v>90777</v>
      </c>
      <c r="B6132" s="105" t="s">
        <v>5627</v>
      </c>
      <c r="C6132" s="106" t="s">
        <v>102</v>
      </c>
      <c r="D6132" s="107">
        <v>79.17</v>
      </c>
    </row>
    <row r="6133" spans="1:4" ht="25.5" x14ac:dyDescent="0.25">
      <c r="A6133" s="104">
        <v>90778</v>
      </c>
      <c r="B6133" s="105" t="s">
        <v>645</v>
      </c>
      <c r="C6133" s="106" t="s">
        <v>102</v>
      </c>
      <c r="D6133" s="107">
        <v>89.98</v>
      </c>
    </row>
    <row r="6134" spans="1:4" ht="25.5" x14ac:dyDescent="0.25">
      <c r="A6134" s="104">
        <v>90779</v>
      </c>
      <c r="B6134" s="105" t="s">
        <v>5628</v>
      </c>
      <c r="C6134" s="106" t="s">
        <v>102</v>
      </c>
      <c r="D6134" s="107">
        <v>122.63</v>
      </c>
    </row>
    <row r="6135" spans="1:4" x14ac:dyDescent="0.25">
      <c r="A6135" s="104">
        <v>90780</v>
      </c>
      <c r="B6135" s="105" t="s">
        <v>647</v>
      </c>
      <c r="C6135" s="106" t="s">
        <v>102</v>
      </c>
      <c r="D6135" s="107">
        <v>27.82</v>
      </c>
    </row>
    <row r="6136" spans="1:4" x14ac:dyDescent="0.25">
      <c r="A6136" s="104">
        <v>90781</v>
      </c>
      <c r="B6136" s="105" t="s">
        <v>5629</v>
      </c>
      <c r="C6136" s="106" t="s">
        <v>102</v>
      </c>
      <c r="D6136" s="107">
        <v>13.44</v>
      </c>
    </row>
    <row r="6137" spans="1:4" x14ac:dyDescent="0.25">
      <c r="A6137" s="104">
        <v>91677</v>
      </c>
      <c r="B6137" s="105" t="s">
        <v>5630</v>
      </c>
      <c r="C6137" s="106" t="s">
        <v>102</v>
      </c>
      <c r="D6137" s="107">
        <v>76.53</v>
      </c>
    </row>
    <row r="6138" spans="1:4" x14ac:dyDescent="0.25">
      <c r="A6138" s="104">
        <v>91678</v>
      </c>
      <c r="B6138" s="105" t="s">
        <v>5631</v>
      </c>
      <c r="C6138" s="106" t="s">
        <v>102</v>
      </c>
      <c r="D6138" s="107">
        <v>74.34</v>
      </c>
    </row>
    <row r="6139" spans="1:4" x14ac:dyDescent="0.25">
      <c r="A6139" s="104">
        <v>93558</v>
      </c>
      <c r="B6139" s="105" t="s">
        <v>5633</v>
      </c>
      <c r="C6139" s="106" t="s">
        <v>5632</v>
      </c>
      <c r="D6139" s="107">
        <v>2560.71</v>
      </c>
    </row>
    <row r="6140" spans="1:4" x14ac:dyDescent="0.25">
      <c r="A6140" s="104">
        <v>93559</v>
      </c>
      <c r="B6140" s="105" t="s">
        <v>5618</v>
      </c>
      <c r="C6140" s="106" t="s">
        <v>5632</v>
      </c>
      <c r="D6140" s="107">
        <v>3610.9</v>
      </c>
    </row>
    <row r="6141" spans="1:4" x14ac:dyDescent="0.25">
      <c r="A6141" s="104">
        <v>93560</v>
      </c>
      <c r="B6141" s="105" t="s">
        <v>691</v>
      </c>
      <c r="C6141" s="106" t="s">
        <v>5632</v>
      </c>
      <c r="D6141" s="107">
        <v>2770.81</v>
      </c>
    </row>
    <row r="6142" spans="1:4" x14ac:dyDescent="0.25">
      <c r="A6142" s="104">
        <v>93561</v>
      </c>
      <c r="B6142" s="105" t="s">
        <v>5625</v>
      </c>
      <c r="C6142" s="106" t="s">
        <v>5632</v>
      </c>
      <c r="D6142" s="107">
        <v>2924.79</v>
      </c>
    </row>
    <row r="6143" spans="1:4" x14ac:dyDescent="0.25">
      <c r="A6143" s="104">
        <v>93562</v>
      </c>
      <c r="B6143" s="105" t="s">
        <v>5623</v>
      </c>
      <c r="C6143" s="106" t="s">
        <v>5632</v>
      </c>
      <c r="D6143" s="107">
        <v>2924.03</v>
      </c>
    </row>
    <row r="6144" spans="1:4" x14ac:dyDescent="0.25">
      <c r="A6144" s="104">
        <v>93563</v>
      </c>
      <c r="B6144" s="105" t="s">
        <v>648</v>
      </c>
      <c r="C6144" s="106" t="s">
        <v>5632</v>
      </c>
      <c r="D6144" s="107">
        <v>2473.04</v>
      </c>
    </row>
    <row r="6145" spans="1:4" x14ac:dyDescent="0.25">
      <c r="A6145" s="104">
        <v>93564</v>
      </c>
      <c r="B6145" s="105" t="s">
        <v>5619</v>
      </c>
      <c r="C6145" s="106" t="s">
        <v>5632</v>
      </c>
      <c r="D6145" s="107">
        <v>2405.6</v>
      </c>
    </row>
    <row r="6146" spans="1:4" ht="25.5" x14ac:dyDescent="0.25">
      <c r="A6146" s="104">
        <v>93565</v>
      </c>
      <c r="B6146" s="105" t="s">
        <v>5627</v>
      </c>
      <c r="C6146" s="106" t="s">
        <v>5632</v>
      </c>
      <c r="D6146" s="107">
        <v>14008.4</v>
      </c>
    </row>
    <row r="6147" spans="1:4" x14ac:dyDescent="0.25">
      <c r="A6147" s="104">
        <v>93566</v>
      </c>
      <c r="B6147" s="105" t="s">
        <v>5624</v>
      </c>
      <c r="C6147" s="106" t="s">
        <v>5632</v>
      </c>
      <c r="D6147" s="107">
        <v>2032.77</v>
      </c>
    </row>
    <row r="6148" spans="1:4" ht="25.5" x14ac:dyDescent="0.25">
      <c r="A6148" s="104">
        <v>93567</v>
      </c>
      <c r="B6148" s="105" t="s">
        <v>645</v>
      </c>
      <c r="C6148" s="106" t="s">
        <v>5632</v>
      </c>
      <c r="D6148" s="107">
        <v>15918.37</v>
      </c>
    </row>
    <row r="6149" spans="1:4" ht="25.5" x14ac:dyDescent="0.25">
      <c r="A6149" s="104">
        <v>93568</v>
      </c>
      <c r="B6149" s="105" t="s">
        <v>5628</v>
      </c>
      <c r="C6149" s="106" t="s">
        <v>5632</v>
      </c>
      <c r="D6149" s="107">
        <v>21690.74</v>
      </c>
    </row>
    <row r="6150" spans="1:4" x14ac:dyDescent="0.25">
      <c r="A6150" s="104">
        <v>93569</v>
      </c>
      <c r="B6150" s="105" t="s">
        <v>5634</v>
      </c>
      <c r="C6150" s="106" t="s">
        <v>5632</v>
      </c>
      <c r="D6150" s="107">
        <v>10340.84</v>
      </c>
    </row>
    <row r="6151" spans="1:4" x14ac:dyDescent="0.25">
      <c r="A6151" s="104">
        <v>93570</v>
      </c>
      <c r="B6151" s="105" t="s">
        <v>5635</v>
      </c>
      <c r="C6151" s="106" t="s">
        <v>5632</v>
      </c>
      <c r="D6151" s="107">
        <v>14608.98</v>
      </c>
    </row>
    <row r="6152" spans="1:4" x14ac:dyDescent="0.25">
      <c r="A6152" s="104">
        <v>93571</v>
      </c>
      <c r="B6152" s="105" t="s">
        <v>5636</v>
      </c>
      <c r="C6152" s="106" t="s">
        <v>5632</v>
      </c>
      <c r="D6152" s="107">
        <v>19253.59</v>
      </c>
    </row>
    <row r="6153" spans="1:4" x14ac:dyDescent="0.25">
      <c r="A6153" s="104">
        <v>93572</v>
      </c>
      <c r="B6153" s="105" t="s">
        <v>646</v>
      </c>
      <c r="C6153" s="106" t="s">
        <v>5632</v>
      </c>
      <c r="D6153" s="107">
        <v>3342.75</v>
      </c>
    </row>
    <row r="6154" spans="1:4" x14ac:dyDescent="0.25">
      <c r="A6154" s="104">
        <v>94295</v>
      </c>
      <c r="B6154" s="105" t="s">
        <v>647</v>
      </c>
      <c r="C6154" s="106" t="s">
        <v>5632</v>
      </c>
      <c r="D6154" s="107">
        <v>4932.26</v>
      </c>
    </row>
    <row r="6155" spans="1:4" x14ac:dyDescent="0.25">
      <c r="A6155" s="104">
        <v>94296</v>
      </c>
      <c r="B6155" s="105" t="s">
        <v>5629</v>
      </c>
      <c r="C6155" s="106" t="s">
        <v>5632</v>
      </c>
      <c r="D6155" s="107">
        <v>2392.86</v>
      </c>
    </row>
    <row r="6156" spans="1:4" ht="25.5" x14ac:dyDescent="0.25">
      <c r="A6156" s="104">
        <v>95308</v>
      </c>
      <c r="B6156" s="105" t="s">
        <v>5637</v>
      </c>
      <c r="C6156" s="106" t="s">
        <v>102</v>
      </c>
      <c r="D6156" s="107">
        <v>7.0000000000000007E-2</v>
      </c>
    </row>
    <row r="6157" spans="1:4" ht="25.5" x14ac:dyDescent="0.25">
      <c r="A6157" s="104">
        <v>95309</v>
      </c>
      <c r="B6157" s="105" t="s">
        <v>5638</v>
      </c>
      <c r="C6157" s="106" t="s">
        <v>102</v>
      </c>
      <c r="D6157" s="107">
        <v>0.1</v>
      </c>
    </row>
    <row r="6158" spans="1:4" ht="25.5" x14ac:dyDescent="0.25">
      <c r="A6158" s="104">
        <v>95310</v>
      </c>
      <c r="B6158" s="105" t="s">
        <v>5639</v>
      </c>
      <c r="C6158" s="106" t="s">
        <v>102</v>
      </c>
      <c r="D6158" s="107">
        <v>0.05</v>
      </c>
    </row>
    <row r="6159" spans="1:4" ht="25.5" x14ac:dyDescent="0.25">
      <c r="A6159" s="104">
        <v>95311</v>
      </c>
      <c r="B6159" s="105" t="s">
        <v>5640</v>
      </c>
      <c r="C6159" s="106" t="s">
        <v>102</v>
      </c>
      <c r="D6159" s="107">
        <v>7.0000000000000007E-2</v>
      </c>
    </row>
    <row r="6160" spans="1:4" ht="25.5" x14ac:dyDescent="0.25">
      <c r="A6160" s="104">
        <v>95312</v>
      </c>
      <c r="B6160" s="105" t="s">
        <v>5641</v>
      </c>
      <c r="C6160" s="106" t="s">
        <v>102</v>
      </c>
      <c r="D6160" s="107">
        <v>0.09</v>
      </c>
    </row>
    <row r="6161" spans="1:4" ht="25.5" x14ac:dyDescent="0.25">
      <c r="A6161" s="104">
        <v>95313</v>
      </c>
      <c r="B6161" s="105" t="s">
        <v>5642</v>
      </c>
      <c r="C6161" s="106" t="s">
        <v>102</v>
      </c>
      <c r="D6161" s="107">
        <v>0.09</v>
      </c>
    </row>
    <row r="6162" spans="1:4" ht="25.5" x14ac:dyDescent="0.25">
      <c r="A6162" s="104">
        <v>95314</v>
      </c>
      <c r="B6162" s="105" t="s">
        <v>5643</v>
      </c>
      <c r="C6162" s="106" t="s">
        <v>102</v>
      </c>
      <c r="D6162" s="107">
        <v>0.1</v>
      </c>
    </row>
    <row r="6163" spans="1:4" ht="25.5" x14ac:dyDescent="0.25">
      <c r="A6163" s="104">
        <v>95315</v>
      </c>
      <c r="B6163" s="105" t="s">
        <v>5644</v>
      </c>
      <c r="C6163" s="106" t="s">
        <v>102</v>
      </c>
      <c r="D6163" s="107">
        <v>0.1</v>
      </c>
    </row>
    <row r="6164" spans="1:4" ht="25.5" x14ac:dyDescent="0.25">
      <c r="A6164" s="104">
        <v>95316</v>
      </c>
      <c r="B6164" s="105" t="s">
        <v>5645</v>
      </c>
      <c r="C6164" s="106" t="s">
        <v>102</v>
      </c>
      <c r="D6164" s="107">
        <v>0.23</v>
      </c>
    </row>
    <row r="6165" spans="1:4" ht="25.5" x14ac:dyDescent="0.25">
      <c r="A6165" s="104">
        <v>95317</v>
      </c>
      <c r="B6165" s="105" t="s">
        <v>5646</v>
      </c>
      <c r="C6165" s="106" t="s">
        <v>102</v>
      </c>
      <c r="D6165" s="107">
        <v>0.11</v>
      </c>
    </row>
    <row r="6166" spans="1:4" ht="25.5" x14ac:dyDescent="0.25">
      <c r="A6166" s="104">
        <v>95318</v>
      </c>
      <c r="B6166" s="105" t="s">
        <v>5647</v>
      </c>
      <c r="C6166" s="106" t="s">
        <v>102</v>
      </c>
      <c r="D6166" s="107">
        <v>0.09</v>
      </c>
    </row>
    <row r="6167" spans="1:4" ht="25.5" x14ac:dyDescent="0.25">
      <c r="A6167" s="104">
        <v>95319</v>
      </c>
      <c r="B6167" s="105" t="s">
        <v>5648</v>
      </c>
      <c r="C6167" s="106" t="s">
        <v>102</v>
      </c>
      <c r="D6167" s="107">
        <v>0.06</v>
      </c>
    </row>
    <row r="6168" spans="1:4" ht="25.5" x14ac:dyDescent="0.25">
      <c r="A6168" s="104">
        <v>95320</v>
      </c>
      <c r="B6168" s="105" t="s">
        <v>5649</v>
      </c>
      <c r="C6168" s="106" t="s">
        <v>102</v>
      </c>
      <c r="D6168" s="107">
        <v>7.0000000000000007E-2</v>
      </c>
    </row>
    <row r="6169" spans="1:4" ht="25.5" x14ac:dyDescent="0.25">
      <c r="A6169" s="104">
        <v>95321</v>
      </c>
      <c r="B6169" s="105" t="s">
        <v>5650</v>
      </c>
      <c r="C6169" s="106" t="s">
        <v>102</v>
      </c>
      <c r="D6169" s="107">
        <v>0.08</v>
      </c>
    </row>
    <row r="6170" spans="1:4" ht="25.5" x14ac:dyDescent="0.25">
      <c r="A6170" s="104">
        <v>95322</v>
      </c>
      <c r="B6170" s="105" t="s">
        <v>5651</v>
      </c>
      <c r="C6170" s="106" t="s">
        <v>102</v>
      </c>
      <c r="D6170" s="107">
        <v>0.02</v>
      </c>
    </row>
    <row r="6171" spans="1:4" ht="25.5" x14ac:dyDescent="0.25">
      <c r="A6171" s="104">
        <v>95323</v>
      </c>
      <c r="B6171" s="105" t="s">
        <v>5652</v>
      </c>
      <c r="C6171" s="106" t="s">
        <v>102</v>
      </c>
      <c r="D6171" s="107">
        <v>0.11</v>
      </c>
    </row>
    <row r="6172" spans="1:4" ht="25.5" x14ac:dyDescent="0.25">
      <c r="A6172" s="104">
        <v>95324</v>
      </c>
      <c r="B6172" s="105" t="s">
        <v>5653</v>
      </c>
      <c r="C6172" s="106" t="s">
        <v>102</v>
      </c>
      <c r="D6172" s="107">
        <v>0.13</v>
      </c>
    </row>
    <row r="6173" spans="1:4" ht="25.5" x14ac:dyDescent="0.25">
      <c r="A6173" s="104">
        <v>95325</v>
      </c>
      <c r="B6173" s="105" t="s">
        <v>5654</v>
      </c>
      <c r="C6173" s="106" t="s">
        <v>102</v>
      </c>
      <c r="D6173" s="107">
        <v>0.1</v>
      </c>
    </row>
    <row r="6174" spans="1:4" ht="25.5" x14ac:dyDescent="0.25">
      <c r="A6174" s="104">
        <v>95326</v>
      </c>
      <c r="B6174" s="105" t="s">
        <v>5655</v>
      </c>
      <c r="C6174" s="106" t="s">
        <v>102</v>
      </c>
      <c r="D6174" s="107">
        <v>0.02</v>
      </c>
    </row>
    <row r="6175" spans="1:4" ht="25.5" x14ac:dyDescent="0.25">
      <c r="A6175" s="104">
        <v>95327</v>
      </c>
      <c r="B6175" s="105" t="s">
        <v>5656</v>
      </c>
      <c r="C6175" s="106" t="s">
        <v>102</v>
      </c>
      <c r="D6175" s="107">
        <v>0.15</v>
      </c>
    </row>
    <row r="6176" spans="1:4" ht="25.5" x14ac:dyDescent="0.25">
      <c r="A6176" s="104">
        <v>95328</v>
      </c>
      <c r="B6176" s="105" t="s">
        <v>5657</v>
      </c>
      <c r="C6176" s="106" t="s">
        <v>102</v>
      </c>
      <c r="D6176" s="107">
        <v>0.09</v>
      </c>
    </row>
    <row r="6177" spans="1:4" ht="25.5" x14ac:dyDescent="0.25">
      <c r="A6177" s="104">
        <v>95329</v>
      </c>
      <c r="B6177" s="105" t="s">
        <v>5658</v>
      </c>
      <c r="C6177" s="106" t="s">
        <v>102</v>
      </c>
      <c r="D6177" s="107">
        <v>0.14000000000000001</v>
      </c>
    </row>
    <row r="6178" spans="1:4" ht="25.5" x14ac:dyDescent="0.25">
      <c r="A6178" s="104">
        <v>95330</v>
      </c>
      <c r="B6178" s="105" t="s">
        <v>5659</v>
      </c>
      <c r="C6178" s="106" t="s">
        <v>102</v>
      </c>
      <c r="D6178" s="107">
        <v>0.1</v>
      </c>
    </row>
    <row r="6179" spans="1:4" ht="25.5" x14ac:dyDescent="0.25">
      <c r="A6179" s="104">
        <v>95331</v>
      </c>
      <c r="B6179" s="105" t="s">
        <v>5660</v>
      </c>
      <c r="C6179" s="106" t="s">
        <v>102</v>
      </c>
      <c r="D6179" s="107">
        <v>0.06</v>
      </c>
    </row>
    <row r="6180" spans="1:4" ht="25.5" x14ac:dyDescent="0.25">
      <c r="A6180" s="104">
        <v>95332</v>
      </c>
      <c r="B6180" s="105" t="s">
        <v>5661</v>
      </c>
      <c r="C6180" s="106" t="s">
        <v>102</v>
      </c>
      <c r="D6180" s="107">
        <v>0.34</v>
      </c>
    </row>
    <row r="6181" spans="1:4" ht="25.5" x14ac:dyDescent="0.25">
      <c r="A6181" s="104">
        <v>95333</v>
      </c>
      <c r="B6181" s="105" t="s">
        <v>5662</v>
      </c>
      <c r="C6181" s="106" t="s">
        <v>102</v>
      </c>
      <c r="D6181" s="107">
        <v>0.34</v>
      </c>
    </row>
    <row r="6182" spans="1:4" ht="25.5" x14ac:dyDescent="0.25">
      <c r="A6182" s="104">
        <v>95334</v>
      </c>
      <c r="B6182" s="105" t="s">
        <v>5663</v>
      </c>
      <c r="C6182" s="106" t="s">
        <v>102</v>
      </c>
      <c r="D6182" s="107">
        <v>0.28000000000000003</v>
      </c>
    </row>
    <row r="6183" spans="1:4" ht="25.5" x14ac:dyDescent="0.25">
      <c r="A6183" s="104">
        <v>95335</v>
      </c>
      <c r="B6183" s="105" t="s">
        <v>5664</v>
      </c>
      <c r="C6183" s="106" t="s">
        <v>102</v>
      </c>
      <c r="D6183" s="107">
        <v>0.16</v>
      </c>
    </row>
    <row r="6184" spans="1:4" ht="25.5" x14ac:dyDescent="0.25">
      <c r="A6184" s="104">
        <v>95336</v>
      </c>
      <c r="B6184" s="105" t="s">
        <v>5665</v>
      </c>
      <c r="C6184" s="106" t="s">
        <v>102</v>
      </c>
      <c r="D6184" s="107">
        <v>0.1</v>
      </c>
    </row>
    <row r="6185" spans="1:4" ht="25.5" x14ac:dyDescent="0.25">
      <c r="A6185" s="104">
        <v>95337</v>
      </c>
      <c r="B6185" s="105" t="s">
        <v>5666</v>
      </c>
      <c r="C6185" s="106" t="s">
        <v>102</v>
      </c>
      <c r="D6185" s="107">
        <v>0.1</v>
      </c>
    </row>
    <row r="6186" spans="1:4" ht="25.5" x14ac:dyDescent="0.25">
      <c r="A6186" s="104">
        <v>95338</v>
      </c>
      <c r="B6186" s="105" t="s">
        <v>5667</v>
      </c>
      <c r="C6186" s="106" t="s">
        <v>102</v>
      </c>
      <c r="D6186" s="107">
        <v>0.19</v>
      </c>
    </row>
    <row r="6187" spans="1:4" ht="25.5" x14ac:dyDescent="0.25">
      <c r="A6187" s="104">
        <v>95339</v>
      </c>
      <c r="B6187" s="105" t="s">
        <v>5668</v>
      </c>
      <c r="C6187" s="106" t="s">
        <v>102</v>
      </c>
      <c r="D6187" s="107">
        <v>0.15</v>
      </c>
    </row>
    <row r="6188" spans="1:4" ht="25.5" x14ac:dyDescent="0.25">
      <c r="A6188" s="104">
        <v>95340</v>
      </c>
      <c r="B6188" s="105" t="s">
        <v>5669</v>
      </c>
      <c r="C6188" s="106" t="s">
        <v>102</v>
      </c>
      <c r="D6188" s="107">
        <v>0.13</v>
      </c>
    </row>
    <row r="6189" spans="1:4" ht="25.5" x14ac:dyDescent="0.25">
      <c r="A6189" s="104">
        <v>95341</v>
      </c>
      <c r="B6189" s="105" t="s">
        <v>5670</v>
      </c>
      <c r="C6189" s="106" t="s">
        <v>102</v>
      </c>
      <c r="D6189" s="107">
        <v>0.13</v>
      </c>
    </row>
    <row r="6190" spans="1:4" ht="25.5" x14ac:dyDescent="0.25">
      <c r="A6190" s="104">
        <v>95342</v>
      </c>
      <c r="B6190" s="105" t="s">
        <v>5671</v>
      </c>
      <c r="C6190" s="106" t="s">
        <v>102</v>
      </c>
      <c r="D6190" s="107">
        <v>7.0000000000000007E-2</v>
      </c>
    </row>
    <row r="6191" spans="1:4" ht="25.5" x14ac:dyDescent="0.25">
      <c r="A6191" s="104">
        <v>95343</v>
      </c>
      <c r="B6191" s="105" t="s">
        <v>5672</v>
      </c>
      <c r="C6191" s="106" t="s">
        <v>102</v>
      </c>
      <c r="D6191" s="107">
        <v>0.09</v>
      </c>
    </row>
    <row r="6192" spans="1:4" ht="25.5" x14ac:dyDescent="0.25">
      <c r="A6192" s="104">
        <v>95344</v>
      </c>
      <c r="B6192" s="105" t="s">
        <v>5673</v>
      </c>
      <c r="C6192" s="106" t="s">
        <v>102</v>
      </c>
      <c r="D6192" s="107">
        <v>0.06</v>
      </c>
    </row>
    <row r="6193" spans="1:4" ht="25.5" x14ac:dyDescent="0.25">
      <c r="A6193" s="104">
        <v>95345</v>
      </c>
      <c r="B6193" s="105" t="s">
        <v>5674</v>
      </c>
      <c r="C6193" s="106" t="s">
        <v>102</v>
      </c>
      <c r="D6193" s="107">
        <v>0.3</v>
      </c>
    </row>
    <row r="6194" spans="1:4" ht="25.5" x14ac:dyDescent="0.25">
      <c r="A6194" s="104">
        <v>95346</v>
      </c>
      <c r="B6194" s="105" t="s">
        <v>5675</v>
      </c>
      <c r="C6194" s="106" t="s">
        <v>102</v>
      </c>
      <c r="D6194" s="107">
        <v>0.03</v>
      </c>
    </row>
    <row r="6195" spans="1:4" ht="25.5" x14ac:dyDescent="0.25">
      <c r="A6195" s="104">
        <v>95347</v>
      </c>
      <c r="B6195" s="105" t="s">
        <v>5676</v>
      </c>
      <c r="C6195" s="106" t="s">
        <v>102</v>
      </c>
      <c r="D6195" s="107">
        <v>0.03</v>
      </c>
    </row>
    <row r="6196" spans="1:4" ht="25.5" x14ac:dyDescent="0.25">
      <c r="A6196" s="104">
        <v>95348</v>
      </c>
      <c r="B6196" s="105" t="s">
        <v>5677</v>
      </c>
      <c r="C6196" s="106" t="s">
        <v>102</v>
      </c>
      <c r="D6196" s="107">
        <v>0.04</v>
      </c>
    </row>
    <row r="6197" spans="1:4" ht="25.5" x14ac:dyDescent="0.25">
      <c r="A6197" s="104">
        <v>95349</v>
      </c>
      <c r="B6197" s="105" t="s">
        <v>5678</v>
      </c>
      <c r="C6197" s="106" t="s">
        <v>102</v>
      </c>
      <c r="D6197" s="107">
        <v>0.03</v>
      </c>
    </row>
    <row r="6198" spans="1:4" ht="25.5" x14ac:dyDescent="0.25">
      <c r="A6198" s="104">
        <v>95350</v>
      </c>
      <c r="B6198" s="105" t="s">
        <v>5679</v>
      </c>
      <c r="C6198" s="106" t="s">
        <v>102</v>
      </c>
      <c r="D6198" s="107">
        <v>0.03</v>
      </c>
    </row>
    <row r="6199" spans="1:4" ht="25.5" x14ac:dyDescent="0.25">
      <c r="A6199" s="104">
        <v>95351</v>
      </c>
      <c r="B6199" s="105" t="s">
        <v>5680</v>
      </c>
      <c r="C6199" s="106" t="s">
        <v>102</v>
      </c>
      <c r="D6199" s="107">
        <v>0.13</v>
      </c>
    </row>
    <row r="6200" spans="1:4" ht="25.5" x14ac:dyDescent="0.25">
      <c r="A6200" s="104">
        <v>95352</v>
      </c>
      <c r="B6200" s="105" t="s">
        <v>5681</v>
      </c>
      <c r="C6200" s="106" t="s">
        <v>102</v>
      </c>
      <c r="D6200" s="107">
        <v>0.03</v>
      </c>
    </row>
    <row r="6201" spans="1:4" ht="25.5" x14ac:dyDescent="0.25">
      <c r="A6201" s="104">
        <v>95354</v>
      </c>
      <c r="B6201" s="105" t="s">
        <v>5682</v>
      </c>
      <c r="C6201" s="106" t="s">
        <v>102</v>
      </c>
      <c r="D6201" s="107">
        <v>0.05</v>
      </c>
    </row>
    <row r="6202" spans="1:4" ht="25.5" x14ac:dyDescent="0.25">
      <c r="A6202" s="104">
        <v>95355</v>
      </c>
      <c r="B6202" s="105" t="s">
        <v>5683</v>
      </c>
      <c r="C6202" s="106" t="s">
        <v>102</v>
      </c>
      <c r="D6202" s="107">
        <v>0.05</v>
      </c>
    </row>
    <row r="6203" spans="1:4" ht="25.5" x14ac:dyDescent="0.25">
      <c r="A6203" s="104">
        <v>95356</v>
      </c>
      <c r="B6203" s="105" t="s">
        <v>5684</v>
      </c>
      <c r="C6203" s="106" t="s">
        <v>102</v>
      </c>
      <c r="D6203" s="107">
        <v>0.06</v>
      </c>
    </row>
    <row r="6204" spans="1:4" ht="25.5" x14ac:dyDescent="0.25">
      <c r="A6204" s="104">
        <v>95357</v>
      </c>
      <c r="B6204" s="105" t="s">
        <v>5685</v>
      </c>
      <c r="C6204" s="106" t="s">
        <v>102</v>
      </c>
      <c r="D6204" s="107">
        <v>0.09</v>
      </c>
    </row>
    <row r="6205" spans="1:4" ht="25.5" x14ac:dyDescent="0.25">
      <c r="A6205" s="104">
        <v>95358</v>
      </c>
      <c r="B6205" s="105" t="s">
        <v>5686</v>
      </c>
      <c r="C6205" s="106" t="s">
        <v>102</v>
      </c>
      <c r="D6205" s="107">
        <v>0.1</v>
      </c>
    </row>
    <row r="6206" spans="1:4" ht="25.5" x14ac:dyDescent="0.25">
      <c r="A6206" s="104">
        <v>95359</v>
      </c>
      <c r="B6206" s="105" t="s">
        <v>5687</v>
      </c>
      <c r="C6206" s="106" t="s">
        <v>102</v>
      </c>
      <c r="D6206" s="107">
        <v>0.1</v>
      </c>
    </row>
    <row r="6207" spans="1:4" ht="25.5" x14ac:dyDescent="0.25">
      <c r="A6207" s="104">
        <v>95360</v>
      </c>
      <c r="B6207" s="105" t="s">
        <v>5688</v>
      </c>
      <c r="C6207" s="106" t="s">
        <v>102</v>
      </c>
      <c r="D6207" s="107">
        <v>7.0000000000000007E-2</v>
      </c>
    </row>
    <row r="6208" spans="1:4" ht="25.5" x14ac:dyDescent="0.25">
      <c r="A6208" s="104">
        <v>95361</v>
      </c>
      <c r="B6208" s="105" t="s">
        <v>5689</v>
      </c>
      <c r="C6208" s="106" t="s">
        <v>102</v>
      </c>
      <c r="D6208" s="107">
        <v>0.04</v>
      </c>
    </row>
    <row r="6209" spans="1:4" ht="25.5" x14ac:dyDescent="0.25">
      <c r="A6209" s="104">
        <v>95362</v>
      </c>
      <c r="B6209" s="105" t="s">
        <v>5690</v>
      </c>
      <c r="C6209" s="106" t="s">
        <v>102</v>
      </c>
      <c r="D6209" s="107">
        <v>0.06</v>
      </c>
    </row>
    <row r="6210" spans="1:4" ht="25.5" x14ac:dyDescent="0.25">
      <c r="A6210" s="104">
        <v>95363</v>
      </c>
      <c r="B6210" s="105" t="s">
        <v>5691</v>
      </c>
      <c r="C6210" s="106" t="s">
        <v>102</v>
      </c>
      <c r="D6210" s="107">
        <v>0.08</v>
      </c>
    </row>
    <row r="6211" spans="1:4" ht="25.5" x14ac:dyDescent="0.25">
      <c r="A6211" s="104">
        <v>95364</v>
      </c>
      <c r="B6211" s="105" t="s">
        <v>5692</v>
      </c>
      <c r="C6211" s="106" t="s">
        <v>102</v>
      </c>
      <c r="D6211" s="107">
        <v>0.05</v>
      </c>
    </row>
    <row r="6212" spans="1:4" ht="25.5" x14ac:dyDescent="0.25">
      <c r="A6212" s="104">
        <v>95365</v>
      </c>
      <c r="B6212" s="105" t="s">
        <v>5693</v>
      </c>
      <c r="C6212" s="106" t="s">
        <v>102</v>
      </c>
      <c r="D6212" s="107">
        <v>0.06</v>
      </c>
    </row>
    <row r="6213" spans="1:4" ht="25.5" x14ac:dyDescent="0.25">
      <c r="A6213" s="104">
        <v>95366</v>
      </c>
      <c r="B6213" s="105" t="s">
        <v>5694</v>
      </c>
      <c r="C6213" s="106" t="s">
        <v>102</v>
      </c>
      <c r="D6213" s="107">
        <v>0.05</v>
      </c>
    </row>
    <row r="6214" spans="1:4" ht="25.5" x14ac:dyDescent="0.25">
      <c r="A6214" s="104">
        <v>95367</v>
      </c>
      <c r="B6214" s="105" t="s">
        <v>5695</v>
      </c>
      <c r="C6214" s="106" t="s">
        <v>102</v>
      </c>
      <c r="D6214" s="107">
        <v>0.05</v>
      </c>
    </row>
    <row r="6215" spans="1:4" ht="25.5" x14ac:dyDescent="0.25">
      <c r="A6215" s="104">
        <v>95368</v>
      </c>
      <c r="B6215" s="105" t="s">
        <v>5696</v>
      </c>
      <c r="C6215" s="106" t="s">
        <v>102</v>
      </c>
      <c r="D6215" s="107">
        <v>0.08</v>
      </c>
    </row>
    <row r="6216" spans="1:4" ht="25.5" x14ac:dyDescent="0.25">
      <c r="A6216" s="104">
        <v>95369</v>
      </c>
      <c r="B6216" s="105" t="s">
        <v>5697</v>
      </c>
      <c r="C6216" s="106" t="s">
        <v>102</v>
      </c>
      <c r="D6216" s="107">
        <v>0.06</v>
      </c>
    </row>
    <row r="6217" spans="1:4" ht="25.5" x14ac:dyDescent="0.25">
      <c r="A6217" s="104">
        <v>95370</v>
      </c>
      <c r="B6217" s="105" t="s">
        <v>5698</v>
      </c>
      <c r="C6217" s="106" t="s">
        <v>102</v>
      </c>
      <c r="D6217" s="107">
        <v>0.15</v>
      </c>
    </row>
    <row r="6218" spans="1:4" ht="25.5" x14ac:dyDescent="0.25">
      <c r="A6218" s="104">
        <v>95371</v>
      </c>
      <c r="B6218" s="105" t="s">
        <v>5699</v>
      </c>
      <c r="C6218" s="106" t="s">
        <v>102</v>
      </c>
      <c r="D6218" s="107">
        <v>0.18</v>
      </c>
    </row>
    <row r="6219" spans="1:4" ht="25.5" x14ac:dyDescent="0.25">
      <c r="A6219" s="104">
        <v>95372</v>
      </c>
      <c r="B6219" s="105" t="s">
        <v>5700</v>
      </c>
      <c r="C6219" s="106" t="s">
        <v>102</v>
      </c>
      <c r="D6219" s="107">
        <v>0.13</v>
      </c>
    </row>
    <row r="6220" spans="1:4" ht="25.5" x14ac:dyDescent="0.25">
      <c r="A6220" s="104">
        <v>95373</v>
      </c>
      <c r="B6220" s="105" t="s">
        <v>5701</v>
      </c>
      <c r="C6220" s="106" t="s">
        <v>102</v>
      </c>
      <c r="D6220" s="107">
        <v>0.15</v>
      </c>
    </row>
    <row r="6221" spans="1:4" ht="25.5" x14ac:dyDescent="0.25">
      <c r="A6221" s="104">
        <v>95374</v>
      </c>
      <c r="B6221" s="105" t="s">
        <v>5702</v>
      </c>
      <c r="C6221" s="106" t="s">
        <v>102</v>
      </c>
      <c r="D6221" s="107">
        <v>0.14000000000000001</v>
      </c>
    </row>
    <row r="6222" spans="1:4" ht="25.5" x14ac:dyDescent="0.25">
      <c r="A6222" s="104">
        <v>95375</v>
      </c>
      <c r="B6222" s="105" t="s">
        <v>5703</v>
      </c>
      <c r="C6222" s="106" t="s">
        <v>102</v>
      </c>
      <c r="D6222" s="107">
        <v>0.12</v>
      </c>
    </row>
    <row r="6223" spans="1:4" ht="25.5" x14ac:dyDescent="0.25">
      <c r="A6223" s="104">
        <v>95376</v>
      </c>
      <c r="B6223" s="105" t="s">
        <v>5704</v>
      </c>
      <c r="C6223" s="106" t="s">
        <v>102</v>
      </c>
      <c r="D6223" s="107">
        <v>0.02</v>
      </c>
    </row>
    <row r="6224" spans="1:4" ht="25.5" x14ac:dyDescent="0.25">
      <c r="A6224" s="104">
        <v>95377</v>
      </c>
      <c r="B6224" s="105" t="s">
        <v>5705</v>
      </c>
      <c r="C6224" s="106" t="s">
        <v>102</v>
      </c>
      <c r="D6224" s="107">
        <v>0.1</v>
      </c>
    </row>
    <row r="6225" spans="1:4" ht="25.5" x14ac:dyDescent="0.25">
      <c r="A6225" s="104">
        <v>95378</v>
      </c>
      <c r="B6225" s="105" t="s">
        <v>5706</v>
      </c>
      <c r="C6225" s="106" t="s">
        <v>102</v>
      </c>
      <c r="D6225" s="107">
        <v>0.13</v>
      </c>
    </row>
    <row r="6226" spans="1:4" ht="25.5" x14ac:dyDescent="0.25">
      <c r="A6226" s="104">
        <v>95379</v>
      </c>
      <c r="B6226" s="105" t="s">
        <v>5707</v>
      </c>
      <c r="C6226" s="106" t="s">
        <v>102</v>
      </c>
      <c r="D6226" s="107">
        <v>0.09</v>
      </c>
    </row>
    <row r="6227" spans="1:4" ht="25.5" x14ac:dyDescent="0.25">
      <c r="A6227" s="104">
        <v>95380</v>
      </c>
      <c r="B6227" s="105" t="s">
        <v>5708</v>
      </c>
      <c r="C6227" s="106" t="s">
        <v>102</v>
      </c>
      <c r="D6227" s="107">
        <v>0.13</v>
      </c>
    </row>
    <row r="6228" spans="1:4" ht="25.5" x14ac:dyDescent="0.25">
      <c r="A6228" s="104">
        <v>95382</v>
      </c>
      <c r="B6228" s="105" t="s">
        <v>5709</v>
      </c>
      <c r="C6228" s="106" t="s">
        <v>102</v>
      </c>
      <c r="D6228" s="107">
        <v>0.12</v>
      </c>
    </row>
    <row r="6229" spans="1:4" ht="25.5" x14ac:dyDescent="0.25">
      <c r="A6229" s="104">
        <v>95383</v>
      </c>
      <c r="B6229" s="105" t="s">
        <v>5710</v>
      </c>
      <c r="C6229" s="106" t="s">
        <v>102</v>
      </c>
      <c r="D6229" s="107">
        <v>0.1</v>
      </c>
    </row>
    <row r="6230" spans="1:4" ht="25.5" x14ac:dyDescent="0.25">
      <c r="A6230" s="104">
        <v>95384</v>
      </c>
      <c r="B6230" s="105" t="s">
        <v>5711</v>
      </c>
      <c r="C6230" s="106" t="s">
        <v>102</v>
      </c>
      <c r="D6230" s="107">
        <v>0.12</v>
      </c>
    </row>
    <row r="6231" spans="1:4" ht="25.5" x14ac:dyDescent="0.25">
      <c r="A6231" s="104">
        <v>95385</v>
      </c>
      <c r="B6231" s="105" t="s">
        <v>5712</v>
      </c>
      <c r="C6231" s="106" t="s">
        <v>102</v>
      </c>
      <c r="D6231" s="107">
        <v>0.11</v>
      </c>
    </row>
    <row r="6232" spans="1:4" ht="25.5" x14ac:dyDescent="0.25">
      <c r="A6232" s="104">
        <v>95386</v>
      </c>
      <c r="B6232" s="105" t="s">
        <v>5713</v>
      </c>
      <c r="C6232" s="106" t="s">
        <v>102</v>
      </c>
      <c r="D6232" s="107">
        <v>7.0000000000000007E-2</v>
      </c>
    </row>
    <row r="6233" spans="1:4" ht="25.5" x14ac:dyDescent="0.25">
      <c r="A6233" s="104">
        <v>95387</v>
      </c>
      <c r="B6233" s="105" t="s">
        <v>5714</v>
      </c>
      <c r="C6233" s="106" t="s">
        <v>102</v>
      </c>
      <c r="D6233" s="107">
        <v>0.12</v>
      </c>
    </row>
    <row r="6234" spans="1:4" ht="25.5" x14ac:dyDescent="0.25">
      <c r="A6234" s="104">
        <v>95388</v>
      </c>
      <c r="B6234" s="105" t="s">
        <v>5715</v>
      </c>
      <c r="C6234" s="106" t="s">
        <v>102</v>
      </c>
      <c r="D6234" s="107">
        <v>0.04</v>
      </c>
    </row>
    <row r="6235" spans="1:4" ht="38.25" x14ac:dyDescent="0.25">
      <c r="A6235" s="104">
        <v>95389</v>
      </c>
      <c r="B6235" s="105" t="s">
        <v>5716</v>
      </c>
      <c r="C6235" s="106" t="s">
        <v>102</v>
      </c>
      <c r="D6235" s="107">
        <v>0.05</v>
      </c>
    </row>
    <row r="6236" spans="1:4" ht="25.5" x14ac:dyDescent="0.25">
      <c r="A6236" s="104">
        <v>95390</v>
      </c>
      <c r="B6236" s="105" t="s">
        <v>5717</v>
      </c>
      <c r="C6236" s="106" t="s">
        <v>102</v>
      </c>
      <c r="D6236" s="107">
        <v>0.04</v>
      </c>
    </row>
    <row r="6237" spans="1:4" ht="25.5" x14ac:dyDescent="0.25">
      <c r="A6237" s="104">
        <v>95391</v>
      </c>
      <c r="B6237" s="105" t="s">
        <v>5718</v>
      </c>
      <c r="C6237" s="106" t="s">
        <v>102</v>
      </c>
      <c r="D6237" s="107">
        <v>0.06</v>
      </c>
    </row>
    <row r="6238" spans="1:4" ht="25.5" x14ac:dyDescent="0.25">
      <c r="A6238" s="104">
        <v>95392</v>
      </c>
      <c r="B6238" s="105" t="s">
        <v>5719</v>
      </c>
      <c r="C6238" s="106" t="s">
        <v>102</v>
      </c>
      <c r="D6238" s="107">
        <v>0.04</v>
      </c>
    </row>
    <row r="6239" spans="1:4" ht="25.5" x14ac:dyDescent="0.25">
      <c r="A6239" s="104">
        <v>95393</v>
      </c>
      <c r="B6239" s="105" t="s">
        <v>5720</v>
      </c>
      <c r="C6239" s="106" t="s">
        <v>102</v>
      </c>
      <c r="D6239" s="107">
        <v>0.17</v>
      </c>
    </row>
    <row r="6240" spans="1:4" ht="25.5" x14ac:dyDescent="0.25">
      <c r="A6240" s="104">
        <v>95394</v>
      </c>
      <c r="B6240" s="105" t="s">
        <v>5721</v>
      </c>
      <c r="C6240" s="106" t="s">
        <v>102</v>
      </c>
      <c r="D6240" s="107">
        <v>0.32</v>
      </c>
    </row>
    <row r="6241" spans="1:4" ht="25.5" x14ac:dyDescent="0.25">
      <c r="A6241" s="104">
        <v>95395</v>
      </c>
      <c r="B6241" s="105" t="s">
        <v>5722</v>
      </c>
      <c r="C6241" s="106" t="s">
        <v>102</v>
      </c>
      <c r="D6241" s="107">
        <v>0.46</v>
      </c>
    </row>
    <row r="6242" spans="1:4" ht="25.5" x14ac:dyDescent="0.25">
      <c r="A6242" s="104">
        <v>95396</v>
      </c>
      <c r="B6242" s="105" t="s">
        <v>5723</v>
      </c>
      <c r="C6242" s="106" t="s">
        <v>102</v>
      </c>
      <c r="D6242" s="107">
        <v>0.61</v>
      </c>
    </row>
    <row r="6243" spans="1:4" ht="25.5" x14ac:dyDescent="0.25">
      <c r="A6243" s="104">
        <v>95397</v>
      </c>
      <c r="B6243" s="105" t="s">
        <v>5724</v>
      </c>
      <c r="C6243" s="106" t="s">
        <v>102</v>
      </c>
      <c r="D6243" s="107">
        <v>0.05</v>
      </c>
    </row>
    <row r="6244" spans="1:4" ht="25.5" x14ac:dyDescent="0.25">
      <c r="A6244" s="104">
        <v>95398</v>
      </c>
      <c r="B6244" s="105" t="s">
        <v>5725</v>
      </c>
      <c r="C6244" s="106" t="s">
        <v>102</v>
      </c>
      <c r="D6244" s="107">
        <v>0.03</v>
      </c>
    </row>
    <row r="6245" spans="1:4" ht="25.5" x14ac:dyDescent="0.25">
      <c r="A6245" s="104">
        <v>95399</v>
      </c>
      <c r="B6245" s="105" t="s">
        <v>5726</v>
      </c>
      <c r="C6245" s="106" t="s">
        <v>102</v>
      </c>
      <c r="D6245" s="107">
        <v>0.05</v>
      </c>
    </row>
    <row r="6246" spans="1:4" ht="25.5" x14ac:dyDescent="0.25">
      <c r="A6246" s="104">
        <v>95400</v>
      </c>
      <c r="B6246" s="105" t="s">
        <v>5727</v>
      </c>
      <c r="C6246" s="106" t="s">
        <v>102</v>
      </c>
      <c r="D6246" s="107">
        <v>0.05</v>
      </c>
    </row>
    <row r="6247" spans="1:4" ht="25.5" x14ac:dyDescent="0.25">
      <c r="A6247" s="104">
        <v>95401</v>
      </c>
      <c r="B6247" s="105" t="s">
        <v>5728</v>
      </c>
      <c r="C6247" s="106" t="s">
        <v>102</v>
      </c>
      <c r="D6247" s="107">
        <v>0.25</v>
      </c>
    </row>
    <row r="6248" spans="1:4" ht="25.5" x14ac:dyDescent="0.25">
      <c r="A6248" s="104">
        <v>95402</v>
      </c>
      <c r="B6248" s="105" t="s">
        <v>5729</v>
      </c>
      <c r="C6248" s="106" t="s">
        <v>102</v>
      </c>
      <c r="D6248" s="107">
        <v>0.78</v>
      </c>
    </row>
    <row r="6249" spans="1:4" ht="25.5" x14ac:dyDescent="0.25">
      <c r="A6249" s="104">
        <v>95403</v>
      </c>
      <c r="B6249" s="105" t="s">
        <v>5730</v>
      </c>
      <c r="C6249" s="106" t="s">
        <v>102</v>
      </c>
      <c r="D6249" s="107">
        <v>0.89</v>
      </c>
    </row>
    <row r="6250" spans="1:4" ht="25.5" x14ac:dyDescent="0.25">
      <c r="A6250" s="104">
        <v>95404</v>
      </c>
      <c r="B6250" s="105" t="s">
        <v>5731</v>
      </c>
      <c r="C6250" s="106" t="s">
        <v>102</v>
      </c>
      <c r="D6250" s="107">
        <v>1.22</v>
      </c>
    </row>
    <row r="6251" spans="1:4" ht="25.5" x14ac:dyDescent="0.25">
      <c r="A6251" s="104">
        <v>95405</v>
      </c>
      <c r="B6251" s="105" t="s">
        <v>5732</v>
      </c>
      <c r="C6251" s="106" t="s">
        <v>102</v>
      </c>
      <c r="D6251" s="109">
        <v>0.37</v>
      </c>
    </row>
    <row r="6252" spans="1:4" ht="25.5" x14ac:dyDescent="0.25">
      <c r="A6252" s="104">
        <v>95406</v>
      </c>
      <c r="B6252" s="105" t="s">
        <v>5733</v>
      </c>
      <c r="C6252" s="106" t="s">
        <v>102</v>
      </c>
      <c r="D6252" s="109">
        <v>7.0000000000000007E-2</v>
      </c>
    </row>
    <row r="6253" spans="1:4" ht="25.5" x14ac:dyDescent="0.25">
      <c r="A6253" s="104">
        <v>95407</v>
      </c>
      <c r="B6253" s="105" t="s">
        <v>5734</v>
      </c>
      <c r="C6253" s="106" t="s">
        <v>102</v>
      </c>
      <c r="D6253" s="109">
        <v>1.73</v>
      </c>
    </row>
    <row r="6254" spans="1:4" ht="25.5" x14ac:dyDescent="0.25">
      <c r="A6254" s="104">
        <v>95408</v>
      </c>
      <c r="B6254" s="105" t="s">
        <v>5735</v>
      </c>
      <c r="C6254" s="106" t="s">
        <v>5632</v>
      </c>
      <c r="D6254" s="109">
        <v>4.8600000000000003</v>
      </c>
    </row>
    <row r="6255" spans="1:4" ht="25.5" x14ac:dyDescent="0.25">
      <c r="A6255" s="104">
        <v>95409</v>
      </c>
      <c r="B6255" s="105" t="s">
        <v>5736</v>
      </c>
      <c r="C6255" s="106" t="s">
        <v>5632</v>
      </c>
      <c r="D6255" s="109">
        <v>9.1999999999999993</v>
      </c>
    </row>
    <row r="6256" spans="1:4" ht="25.5" x14ac:dyDescent="0.25">
      <c r="A6256" s="104">
        <v>95410</v>
      </c>
      <c r="B6256" s="105" t="s">
        <v>5737</v>
      </c>
      <c r="C6256" s="106" t="s">
        <v>5632</v>
      </c>
      <c r="D6256" s="109">
        <v>6.94</v>
      </c>
    </row>
    <row r="6257" spans="1:4" ht="25.5" x14ac:dyDescent="0.25">
      <c r="A6257" s="104">
        <v>95411</v>
      </c>
      <c r="B6257" s="105" t="s">
        <v>5738</v>
      </c>
      <c r="C6257" s="106" t="s">
        <v>5632</v>
      </c>
      <c r="D6257" s="109">
        <v>7.35</v>
      </c>
    </row>
    <row r="6258" spans="1:4" ht="25.5" x14ac:dyDescent="0.25">
      <c r="A6258" s="104">
        <v>95412</v>
      </c>
      <c r="B6258" s="105" t="s">
        <v>5739</v>
      </c>
      <c r="C6258" s="106" t="s">
        <v>5632</v>
      </c>
      <c r="D6258" s="109">
        <v>7.35</v>
      </c>
    </row>
    <row r="6259" spans="1:4" ht="25.5" x14ac:dyDescent="0.25">
      <c r="A6259" s="104">
        <v>95413</v>
      </c>
      <c r="B6259" s="105" t="s">
        <v>5740</v>
      </c>
      <c r="C6259" s="106" t="s">
        <v>5632</v>
      </c>
      <c r="D6259" s="109">
        <v>6.11</v>
      </c>
    </row>
    <row r="6260" spans="1:4" ht="25.5" x14ac:dyDescent="0.25">
      <c r="A6260" s="104">
        <v>95414</v>
      </c>
      <c r="B6260" s="105" t="s">
        <v>5741</v>
      </c>
      <c r="C6260" s="106" t="s">
        <v>5632</v>
      </c>
      <c r="D6260" s="109">
        <v>24.42</v>
      </c>
    </row>
    <row r="6261" spans="1:4" ht="25.5" x14ac:dyDescent="0.25">
      <c r="A6261" s="104">
        <v>95415</v>
      </c>
      <c r="B6261" s="105" t="s">
        <v>5742</v>
      </c>
      <c r="C6261" s="106" t="s">
        <v>5632</v>
      </c>
      <c r="D6261" s="109">
        <v>106.95</v>
      </c>
    </row>
    <row r="6262" spans="1:4" ht="25.5" x14ac:dyDescent="0.25">
      <c r="A6262" s="104">
        <v>95416</v>
      </c>
      <c r="B6262" s="105" t="s">
        <v>5743</v>
      </c>
      <c r="C6262" s="106" t="s">
        <v>5632</v>
      </c>
      <c r="D6262" s="109">
        <v>4.93</v>
      </c>
    </row>
    <row r="6263" spans="1:4" ht="25.5" x14ac:dyDescent="0.25">
      <c r="A6263" s="104">
        <v>95417</v>
      </c>
      <c r="B6263" s="105" t="s">
        <v>5744</v>
      </c>
      <c r="C6263" s="106" t="s">
        <v>5632</v>
      </c>
      <c r="D6263" s="109">
        <v>121.74</v>
      </c>
    </row>
    <row r="6264" spans="1:4" ht="25.5" x14ac:dyDescent="0.25">
      <c r="A6264" s="104">
        <v>95418</v>
      </c>
      <c r="B6264" s="105" t="s">
        <v>5745</v>
      </c>
      <c r="C6264" s="106" t="s">
        <v>5632</v>
      </c>
      <c r="D6264" s="109">
        <v>166.41</v>
      </c>
    </row>
    <row r="6265" spans="1:4" ht="25.5" x14ac:dyDescent="0.25">
      <c r="A6265" s="104">
        <v>95419</v>
      </c>
      <c r="B6265" s="105" t="s">
        <v>5746</v>
      </c>
      <c r="C6265" s="106" t="s">
        <v>5632</v>
      </c>
      <c r="D6265" s="109">
        <v>44.47</v>
      </c>
    </row>
    <row r="6266" spans="1:4" ht="25.5" x14ac:dyDescent="0.25">
      <c r="A6266" s="104">
        <v>95420</v>
      </c>
      <c r="B6266" s="105" t="s">
        <v>5747</v>
      </c>
      <c r="C6266" s="106" t="s">
        <v>5632</v>
      </c>
      <c r="D6266" s="109">
        <v>63.17</v>
      </c>
    </row>
    <row r="6267" spans="1:4" ht="25.5" x14ac:dyDescent="0.25">
      <c r="A6267" s="104">
        <v>95421</v>
      </c>
      <c r="B6267" s="105" t="s">
        <v>5748</v>
      </c>
      <c r="C6267" s="106" t="s">
        <v>5632</v>
      </c>
      <c r="D6267" s="109">
        <v>83.51</v>
      </c>
    </row>
    <row r="6268" spans="1:4" ht="25.5" x14ac:dyDescent="0.25">
      <c r="A6268" s="104">
        <v>95422</v>
      </c>
      <c r="B6268" s="105" t="s">
        <v>5749</v>
      </c>
      <c r="C6268" s="106" t="s">
        <v>5632</v>
      </c>
      <c r="D6268" s="107">
        <v>34</v>
      </c>
    </row>
    <row r="6269" spans="1:4" ht="25.5" x14ac:dyDescent="0.25">
      <c r="A6269" s="104">
        <v>95423</v>
      </c>
      <c r="B6269" s="105" t="s">
        <v>5750</v>
      </c>
      <c r="C6269" s="106" t="s">
        <v>5632</v>
      </c>
      <c r="D6269" s="107">
        <v>51.6</v>
      </c>
    </row>
    <row r="6270" spans="1:4" ht="25.5" x14ac:dyDescent="0.25">
      <c r="A6270" s="104">
        <v>95424</v>
      </c>
      <c r="B6270" s="105" t="s">
        <v>5751</v>
      </c>
      <c r="C6270" s="106" t="s">
        <v>5632</v>
      </c>
      <c r="D6270" s="107">
        <v>9.64</v>
      </c>
    </row>
    <row r="6271" spans="1:4" ht="25.5" x14ac:dyDescent="0.25">
      <c r="A6271" s="104">
        <v>100288</v>
      </c>
      <c r="B6271" s="105" t="s">
        <v>11847</v>
      </c>
      <c r="C6271" s="106" t="s">
        <v>102</v>
      </c>
      <c r="D6271" s="107">
        <v>0.03</v>
      </c>
    </row>
    <row r="6272" spans="1:4" x14ac:dyDescent="0.25">
      <c r="A6272" s="104">
        <v>100289</v>
      </c>
      <c r="B6272" s="105" t="s">
        <v>11848</v>
      </c>
      <c r="C6272" s="106" t="s">
        <v>102</v>
      </c>
      <c r="D6272" s="107">
        <v>14.66</v>
      </c>
    </row>
    <row r="6273" spans="1:4" ht="25.5" x14ac:dyDescent="0.25">
      <c r="A6273" s="104">
        <v>100290</v>
      </c>
      <c r="B6273" s="105" t="s">
        <v>11849</v>
      </c>
      <c r="C6273" s="106" t="s">
        <v>102</v>
      </c>
      <c r="D6273" s="107">
        <v>0.03</v>
      </c>
    </row>
    <row r="6274" spans="1:4" ht="25.5" x14ac:dyDescent="0.25">
      <c r="A6274" s="104">
        <v>100291</v>
      </c>
      <c r="B6274" s="105" t="s">
        <v>11850</v>
      </c>
      <c r="C6274" s="106" t="s">
        <v>102</v>
      </c>
      <c r="D6274" s="107">
        <v>0.09</v>
      </c>
    </row>
    <row r="6275" spans="1:4" ht="25.5" x14ac:dyDescent="0.25">
      <c r="A6275" s="104">
        <v>100292</v>
      </c>
      <c r="B6275" s="105" t="s">
        <v>11851</v>
      </c>
      <c r="C6275" s="106" t="s">
        <v>102</v>
      </c>
      <c r="D6275" s="107">
        <v>0.39</v>
      </c>
    </row>
    <row r="6276" spans="1:4" ht="25.5" x14ac:dyDescent="0.25">
      <c r="A6276" s="104">
        <v>100293</v>
      </c>
      <c r="B6276" s="105" t="s">
        <v>11852</v>
      </c>
      <c r="C6276" s="106" t="s">
        <v>102</v>
      </c>
      <c r="D6276" s="107">
        <v>0.09</v>
      </c>
    </row>
    <row r="6277" spans="1:4" ht="25.5" x14ac:dyDescent="0.25">
      <c r="A6277" s="104">
        <v>100294</v>
      </c>
      <c r="B6277" s="105" t="s">
        <v>11853</v>
      </c>
      <c r="C6277" s="106" t="s">
        <v>102</v>
      </c>
      <c r="D6277" s="107">
        <v>0.18</v>
      </c>
    </row>
    <row r="6278" spans="1:4" ht="25.5" x14ac:dyDescent="0.25">
      <c r="A6278" s="104">
        <v>100295</v>
      </c>
      <c r="B6278" s="105" t="s">
        <v>11854</v>
      </c>
      <c r="C6278" s="106" t="s">
        <v>102</v>
      </c>
      <c r="D6278" s="107">
        <v>0.27</v>
      </c>
    </row>
    <row r="6279" spans="1:4" ht="25.5" x14ac:dyDescent="0.25">
      <c r="A6279" s="104">
        <v>100296</v>
      </c>
      <c r="B6279" s="105" t="s">
        <v>11855</v>
      </c>
      <c r="C6279" s="106" t="s">
        <v>102</v>
      </c>
      <c r="D6279" s="107">
        <v>0.62</v>
      </c>
    </row>
    <row r="6280" spans="1:4" ht="25.5" x14ac:dyDescent="0.25">
      <c r="A6280" s="104">
        <v>100297</v>
      </c>
      <c r="B6280" s="105" t="s">
        <v>11856</v>
      </c>
      <c r="C6280" s="106" t="s">
        <v>102</v>
      </c>
      <c r="D6280" s="107">
        <v>0.69</v>
      </c>
    </row>
    <row r="6281" spans="1:4" ht="25.5" x14ac:dyDescent="0.25">
      <c r="A6281" s="104">
        <v>100298</v>
      </c>
      <c r="B6281" s="105" t="s">
        <v>11857</v>
      </c>
      <c r="C6281" s="106" t="s">
        <v>102</v>
      </c>
      <c r="D6281" s="107">
        <v>0.34</v>
      </c>
    </row>
    <row r="6282" spans="1:4" ht="25.5" x14ac:dyDescent="0.25">
      <c r="A6282" s="104">
        <v>100299</v>
      </c>
      <c r="B6282" s="105" t="s">
        <v>11858</v>
      </c>
      <c r="C6282" s="106" t="s">
        <v>102</v>
      </c>
      <c r="D6282" s="107">
        <v>0.24</v>
      </c>
    </row>
    <row r="6283" spans="1:4" x14ac:dyDescent="0.25">
      <c r="A6283" s="104">
        <v>100300</v>
      </c>
      <c r="B6283" s="105" t="s">
        <v>11859</v>
      </c>
      <c r="C6283" s="106" t="s">
        <v>102</v>
      </c>
      <c r="D6283" s="107">
        <v>10.89</v>
      </c>
    </row>
    <row r="6284" spans="1:4" x14ac:dyDescent="0.25">
      <c r="A6284" s="104">
        <v>100301</v>
      </c>
      <c r="B6284" s="105" t="s">
        <v>11860</v>
      </c>
      <c r="C6284" s="106" t="s">
        <v>102</v>
      </c>
      <c r="D6284" s="107">
        <v>15.27</v>
      </c>
    </row>
    <row r="6285" spans="1:4" ht="25.5" x14ac:dyDescent="0.25">
      <c r="A6285" s="104">
        <v>100302</v>
      </c>
      <c r="B6285" s="105" t="s">
        <v>11861</v>
      </c>
      <c r="C6285" s="106" t="s">
        <v>102</v>
      </c>
      <c r="D6285" s="107">
        <v>114.84</v>
      </c>
    </row>
    <row r="6286" spans="1:4" x14ac:dyDescent="0.25">
      <c r="A6286" s="104">
        <v>100303</v>
      </c>
      <c r="B6286" s="105" t="s">
        <v>11862</v>
      </c>
      <c r="C6286" s="106" t="s">
        <v>102</v>
      </c>
      <c r="D6286" s="107">
        <v>14.19</v>
      </c>
    </row>
    <row r="6287" spans="1:4" x14ac:dyDescent="0.25">
      <c r="A6287" s="104">
        <v>100304</v>
      </c>
      <c r="B6287" s="105" t="s">
        <v>11863</v>
      </c>
      <c r="C6287" s="106" t="s">
        <v>102</v>
      </c>
      <c r="D6287" s="107">
        <v>55.03</v>
      </c>
    </row>
    <row r="6288" spans="1:4" x14ac:dyDescent="0.25">
      <c r="A6288" s="104">
        <v>100305</v>
      </c>
      <c r="B6288" s="105" t="s">
        <v>11864</v>
      </c>
      <c r="C6288" s="106" t="s">
        <v>102</v>
      </c>
      <c r="D6288" s="107">
        <v>80.13</v>
      </c>
    </row>
    <row r="6289" spans="1:4" x14ac:dyDescent="0.25">
      <c r="A6289" s="104">
        <v>100306</v>
      </c>
      <c r="B6289" s="105" t="s">
        <v>11865</v>
      </c>
      <c r="C6289" s="106" t="s">
        <v>102</v>
      </c>
      <c r="D6289" s="107">
        <v>90.27</v>
      </c>
    </row>
    <row r="6290" spans="1:4" ht="25.5" x14ac:dyDescent="0.25">
      <c r="A6290" s="104">
        <v>100307</v>
      </c>
      <c r="B6290" s="105" t="s">
        <v>11866</v>
      </c>
      <c r="C6290" s="106" t="s">
        <v>102</v>
      </c>
      <c r="D6290" s="107">
        <v>18</v>
      </c>
    </row>
    <row r="6291" spans="1:4" x14ac:dyDescent="0.25">
      <c r="A6291" s="104">
        <v>100308</v>
      </c>
      <c r="B6291" s="105" t="s">
        <v>11867</v>
      </c>
      <c r="C6291" s="106" t="s">
        <v>102</v>
      </c>
      <c r="D6291" s="107">
        <v>19.7</v>
      </c>
    </row>
    <row r="6292" spans="1:4" ht="25.5" x14ac:dyDescent="0.25">
      <c r="A6292" s="104">
        <v>100309</v>
      </c>
      <c r="B6292" s="105" t="s">
        <v>11875</v>
      </c>
      <c r="C6292" s="106" t="s">
        <v>102</v>
      </c>
      <c r="D6292" s="107">
        <v>20.69</v>
      </c>
    </row>
    <row r="6293" spans="1:4" ht="25.5" x14ac:dyDescent="0.25">
      <c r="A6293" s="104">
        <v>100310</v>
      </c>
      <c r="B6293" s="105" t="s">
        <v>11868</v>
      </c>
      <c r="C6293" s="106" t="s">
        <v>5632</v>
      </c>
      <c r="D6293" s="107">
        <v>4.68</v>
      </c>
    </row>
    <row r="6294" spans="1:4" ht="25.5" x14ac:dyDescent="0.25">
      <c r="A6294" s="104">
        <v>100311</v>
      </c>
      <c r="B6294" s="105" t="s">
        <v>11869</v>
      </c>
      <c r="C6294" s="106" t="s">
        <v>5632</v>
      </c>
      <c r="D6294" s="107">
        <v>54.27</v>
      </c>
    </row>
    <row r="6295" spans="1:4" ht="25.5" x14ac:dyDescent="0.25">
      <c r="A6295" s="104">
        <v>100312</v>
      </c>
      <c r="B6295" s="105" t="s">
        <v>11870</v>
      </c>
      <c r="C6295" s="106" t="s">
        <v>5632</v>
      </c>
      <c r="D6295" s="107">
        <v>25.76</v>
      </c>
    </row>
    <row r="6296" spans="1:4" ht="25.5" x14ac:dyDescent="0.25">
      <c r="A6296" s="104">
        <v>100313</v>
      </c>
      <c r="B6296" s="105" t="s">
        <v>11871</v>
      </c>
      <c r="C6296" s="106" t="s">
        <v>5632</v>
      </c>
      <c r="D6296" s="107">
        <v>84.86</v>
      </c>
    </row>
    <row r="6297" spans="1:4" ht="25.5" x14ac:dyDescent="0.25">
      <c r="A6297" s="104">
        <v>100314</v>
      </c>
      <c r="B6297" s="105" t="s">
        <v>11872</v>
      </c>
      <c r="C6297" s="106" t="s">
        <v>5632</v>
      </c>
      <c r="D6297" s="107">
        <v>95.74</v>
      </c>
    </row>
    <row r="6298" spans="1:4" ht="25.5" x14ac:dyDescent="0.25">
      <c r="A6298" s="104">
        <v>100315</v>
      </c>
      <c r="B6298" s="105" t="s">
        <v>11873</v>
      </c>
      <c r="C6298" s="106" t="s">
        <v>5632</v>
      </c>
      <c r="D6298" s="107">
        <v>32.64</v>
      </c>
    </row>
    <row r="6299" spans="1:4" x14ac:dyDescent="0.25">
      <c r="A6299" s="104">
        <v>100316</v>
      </c>
      <c r="B6299" s="105" t="s">
        <v>11859</v>
      </c>
      <c r="C6299" s="106" t="s">
        <v>5632</v>
      </c>
      <c r="D6299" s="107">
        <v>1941.82</v>
      </c>
    </row>
    <row r="6300" spans="1:4" ht="25.5" x14ac:dyDescent="0.25">
      <c r="A6300" s="104">
        <v>100317</v>
      </c>
      <c r="B6300" s="105" t="s">
        <v>11874</v>
      </c>
      <c r="C6300" s="106" t="s">
        <v>5632</v>
      </c>
      <c r="D6300" s="107">
        <v>20344.61</v>
      </c>
    </row>
    <row r="6301" spans="1:4" x14ac:dyDescent="0.25">
      <c r="A6301" s="104">
        <v>100318</v>
      </c>
      <c r="B6301" s="105" t="s">
        <v>11863</v>
      </c>
      <c r="C6301" s="106" t="s">
        <v>5632</v>
      </c>
      <c r="D6301" s="107">
        <v>9758.5499999999993</v>
      </c>
    </row>
    <row r="6302" spans="1:4" x14ac:dyDescent="0.25">
      <c r="A6302" s="104">
        <v>100319</v>
      </c>
      <c r="B6302" s="105" t="s">
        <v>11864</v>
      </c>
      <c r="C6302" s="106" t="s">
        <v>5632</v>
      </c>
      <c r="D6302" s="107">
        <v>14186.35</v>
      </c>
    </row>
    <row r="6303" spans="1:4" x14ac:dyDescent="0.25">
      <c r="A6303" s="104">
        <v>100320</v>
      </c>
      <c r="B6303" s="105" t="s">
        <v>11865</v>
      </c>
      <c r="C6303" s="106" t="s">
        <v>5632</v>
      </c>
      <c r="D6303" s="107">
        <v>15980.82</v>
      </c>
    </row>
    <row r="6304" spans="1:4" ht="25.5" x14ac:dyDescent="0.25">
      <c r="A6304" s="104">
        <v>100321</v>
      </c>
      <c r="B6304" s="105" t="s">
        <v>11875</v>
      </c>
      <c r="C6304" s="106" t="s">
        <v>5632</v>
      </c>
      <c r="D6304" s="107">
        <v>3669.54</v>
      </c>
    </row>
    <row r="6305" spans="1:4" x14ac:dyDescent="0.25">
      <c r="A6305" s="104">
        <v>100533</v>
      </c>
      <c r="B6305" s="105" t="s">
        <v>11876</v>
      </c>
      <c r="C6305" s="106" t="s">
        <v>102</v>
      </c>
      <c r="D6305" s="107">
        <v>12.94</v>
      </c>
    </row>
    <row r="6306" spans="1:4" x14ac:dyDescent="0.25">
      <c r="A6306" s="367">
        <v>100534</v>
      </c>
      <c r="B6306" s="368" t="s">
        <v>11876</v>
      </c>
      <c r="C6306" s="369" t="s">
        <v>5632</v>
      </c>
      <c r="D6306" s="370">
        <v>2310.77</v>
      </c>
    </row>
    <row r="6307" spans="1:4" ht="25.5" x14ac:dyDescent="0.25">
      <c r="A6307" s="106">
        <v>100535</v>
      </c>
      <c r="B6307" s="108" t="s">
        <v>11877</v>
      </c>
      <c r="C6307" s="106" t="s">
        <v>102</v>
      </c>
      <c r="D6307" s="108">
        <v>0.14000000000000001</v>
      </c>
    </row>
    <row r="6308" spans="1:4" ht="25.5" x14ac:dyDescent="0.25">
      <c r="A6308" s="106">
        <v>100536</v>
      </c>
      <c r="B6308" s="108" t="s">
        <v>11878</v>
      </c>
      <c r="C6308" s="106" t="s">
        <v>5632</v>
      </c>
      <c r="D6308" s="108">
        <v>19.850000000000001</v>
      </c>
    </row>
    <row r="6309" spans="1:4" ht="25.5" x14ac:dyDescent="0.25">
      <c r="A6309" s="106">
        <v>101284</v>
      </c>
      <c r="B6309" s="108" t="s">
        <v>13094</v>
      </c>
      <c r="C6309" s="106" t="s">
        <v>102</v>
      </c>
      <c r="D6309" s="108">
        <v>0.95</v>
      </c>
    </row>
    <row r="6310" spans="1:4" ht="25.5" x14ac:dyDescent="0.25">
      <c r="A6310" s="106">
        <v>101285</v>
      </c>
      <c r="B6310" s="108" t="s">
        <v>13095</v>
      </c>
      <c r="C6310" s="106" t="s">
        <v>102</v>
      </c>
      <c r="D6310" s="108">
        <v>0.25</v>
      </c>
    </row>
    <row r="6311" spans="1:4" ht="25.5" x14ac:dyDescent="0.25">
      <c r="A6311" s="106">
        <v>101286</v>
      </c>
      <c r="B6311" s="108" t="s">
        <v>13096</v>
      </c>
      <c r="C6311" s="106" t="s">
        <v>5632</v>
      </c>
      <c r="D6311" s="108">
        <v>9.64</v>
      </c>
    </row>
    <row r="6312" spans="1:4" ht="25.5" x14ac:dyDescent="0.25">
      <c r="A6312" s="106">
        <v>101287</v>
      </c>
      <c r="B6312" s="108" t="s">
        <v>13097</v>
      </c>
      <c r="C6312" s="106" t="s">
        <v>5632</v>
      </c>
      <c r="D6312" s="108">
        <v>32.65</v>
      </c>
    </row>
    <row r="6313" spans="1:4" ht="25.5" x14ac:dyDescent="0.25">
      <c r="A6313" s="106">
        <v>101288</v>
      </c>
      <c r="B6313" s="108" t="s">
        <v>13098</v>
      </c>
      <c r="C6313" s="106" t="s">
        <v>5632</v>
      </c>
      <c r="D6313" s="108">
        <v>7.14</v>
      </c>
    </row>
    <row r="6314" spans="1:4" ht="25.5" x14ac:dyDescent="0.25">
      <c r="A6314" s="106">
        <v>101289</v>
      </c>
      <c r="B6314" s="108" t="s">
        <v>13099</v>
      </c>
      <c r="C6314" s="106" t="s">
        <v>5632</v>
      </c>
      <c r="D6314" s="108">
        <v>9.9700000000000006</v>
      </c>
    </row>
    <row r="6315" spans="1:4" ht="25.5" x14ac:dyDescent="0.25">
      <c r="A6315" s="106">
        <v>101290</v>
      </c>
      <c r="B6315" s="108" t="s">
        <v>13100</v>
      </c>
      <c r="C6315" s="106" t="s">
        <v>5632</v>
      </c>
      <c r="D6315" s="108">
        <v>12.76</v>
      </c>
    </row>
    <row r="6316" spans="1:4" ht="25.5" x14ac:dyDescent="0.25">
      <c r="A6316" s="106">
        <v>101291</v>
      </c>
      <c r="B6316" s="108" t="s">
        <v>13101</v>
      </c>
      <c r="C6316" s="106" t="s">
        <v>5632</v>
      </c>
      <c r="D6316" s="108">
        <v>10.34</v>
      </c>
    </row>
    <row r="6317" spans="1:4" ht="25.5" x14ac:dyDescent="0.25">
      <c r="A6317" s="106">
        <v>101292</v>
      </c>
      <c r="B6317" s="108" t="s">
        <v>13102</v>
      </c>
      <c r="C6317" s="106" t="s">
        <v>5632</v>
      </c>
      <c r="D6317" s="108">
        <v>13.34</v>
      </c>
    </row>
    <row r="6318" spans="1:4" ht="25.5" x14ac:dyDescent="0.25">
      <c r="A6318" s="106">
        <v>101293</v>
      </c>
      <c r="B6318" s="108" t="s">
        <v>13103</v>
      </c>
      <c r="C6318" s="106" t="s">
        <v>5632</v>
      </c>
      <c r="D6318" s="108">
        <v>13.82</v>
      </c>
    </row>
    <row r="6319" spans="1:4" ht="25.5" x14ac:dyDescent="0.25">
      <c r="A6319" s="106">
        <v>101294</v>
      </c>
      <c r="B6319" s="108" t="s">
        <v>13104</v>
      </c>
      <c r="C6319" s="106" t="s">
        <v>5632</v>
      </c>
      <c r="D6319" s="108">
        <v>14.84</v>
      </c>
    </row>
    <row r="6320" spans="1:4" ht="25.5" x14ac:dyDescent="0.25">
      <c r="A6320" s="106">
        <v>101295</v>
      </c>
      <c r="B6320" s="108" t="s">
        <v>13105</v>
      </c>
      <c r="C6320" s="106" t="s">
        <v>5632</v>
      </c>
      <c r="D6320" s="108">
        <v>12.88</v>
      </c>
    </row>
    <row r="6321" spans="1:4" ht="25.5" x14ac:dyDescent="0.25">
      <c r="A6321" s="106">
        <v>101296</v>
      </c>
      <c r="B6321" s="108" t="s">
        <v>13106</v>
      </c>
      <c r="C6321" s="106" t="s">
        <v>5632</v>
      </c>
      <c r="D6321" s="108">
        <v>15.79</v>
      </c>
    </row>
    <row r="6322" spans="1:4" ht="25.5" x14ac:dyDescent="0.25">
      <c r="A6322" s="106">
        <v>101297</v>
      </c>
      <c r="B6322" s="108" t="s">
        <v>13107</v>
      </c>
      <c r="C6322" s="106" t="s">
        <v>5632</v>
      </c>
      <c r="D6322" s="108">
        <v>13.68</v>
      </c>
    </row>
    <row r="6323" spans="1:4" ht="25.5" x14ac:dyDescent="0.25">
      <c r="A6323" s="106">
        <v>101298</v>
      </c>
      <c r="B6323" s="108" t="s">
        <v>13108</v>
      </c>
      <c r="C6323" s="106" t="s">
        <v>5632</v>
      </c>
      <c r="D6323" s="108">
        <v>8.66</v>
      </c>
    </row>
    <row r="6324" spans="1:4" ht="25.5" x14ac:dyDescent="0.25">
      <c r="A6324" s="106">
        <v>101299</v>
      </c>
      <c r="B6324" s="108" t="s">
        <v>13109</v>
      </c>
      <c r="C6324" s="106" t="s">
        <v>5632</v>
      </c>
      <c r="D6324" s="108">
        <v>13.13</v>
      </c>
    </row>
    <row r="6325" spans="1:4" ht="25.5" x14ac:dyDescent="0.25">
      <c r="A6325" s="106">
        <v>101300</v>
      </c>
      <c r="B6325" s="108" t="s">
        <v>13110</v>
      </c>
      <c r="C6325" s="106" t="s">
        <v>5632</v>
      </c>
      <c r="D6325" s="108">
        <v>11.07</v>
      </c>
    </row>
    <row r="6326" spans="1:4" ht="25.5" x14ac:dyDescent="0.25">
      <c r="A6326" s="106">
        <v>101301</v>
      </c>
      <c r="B6326" s="108" t="s">
        <v>13111</v>
      </c>
      <c r="C6326" s="106" t="s">
        <v>5632</v>
      </c>
      <c r="D6326" s="108">
        <v>3.93</v>
      </c>
    </row>
    <row r="6327" spans="1:4" ht="25.5" x14ac:dyDescent="0.25">
      <c r="A6327" s="106">
        <v>101302</v>
      </c>
      <c r="B6327" s="108" t="s">
        <v>13112</v>
      </c>
      <c r="C6327" s="106" t="s">
        <v>5632</v>
      </c>
      <c r="D6327" s="108">
        <v>15.58</v>
      </c>
    </row>
    <row r="6328" spans="1:4" ht="25.5" x14ac:dyDescent="0.25">
      <c r="A6328" s="106">
        <v>101303</v>
      </c>
      <c r="B6328" s="108" t="s">
        <v>13113</v>
      </c>
      <c r="C6328" s="106" t="s">
        <v>5632</v>
      </c>
      <c r="D6328" s="108">
        <v>37.549999999999997</v>
      </c>
    </row>
    <row r="6329" spans="1:4" ht="25.5" x14ac:dyDescent="0.25">
      <c r="A6329" s="106">
        <v>101304</v>
      </c>
      <c r="B6329" s="108" t="s">
        <v>13114</v>
      </c>
      <c r="C6329" s="106" t="s">
        <v>5632</v>
      </c>
      <c r="D6329" s="108">
        <v>17.670000000000002</v>
      </c>
    </row>
    <row r="6330" spans="1:4" ht="25.5" x14ac:dyDescent="0.25">
      <c r="A6330" s="106">
        <v>101305</v>
      </c>
      <c r="B6330" s="108" t="s">
        <v>13115</v>
      </c>
      <c r="C6330" s="106" t="s">
        <v>5632</v>
      </c>
      <c r="D6330" s="108">
        <v>14.8</v>
      </c>
    </row>
    <row r="6331" spans="1:4" ht="25.5" x14ac:dyDescent="0.25">
      <c r="A6331" s="106">
        <v>101306</v>
      </c>
      <c r="B6331" s="108" t="s">
        <v>13116</v>
      </c>
      <c r="C6331" s="106" t="s">
        <v>5632</v>
      </c>
      <c r="D6331" s="108">
        <v>21.53</v>
      </c>
    </row>
    <row r="6332" spans="1:4" ht="25.5" x14ac:dyDescent="0.25">
      <c r="A6332" s="106">
        <v>101307</v>
      </c>
      <c r="B6332" s="108" t="s">
        <v>13117</v>
      </c>
      <c r="C6332" s="106" t="s">
        <v>5632</v>
      </c>
      <c r="D6332" s="108">
        <v>13.67</v>
      </c>
    </row>
    <row r="6333" spans="1:4" ht="25.5" x14ac:dyDescent="0.25">
      <c r="A6333" s="106">
        <v>101308</v>
      </c>
      <c r="B6333" s="108" t="s">
        <v>13118</v>
      </c>
      <c r="C6333" s="106" t="s">
        <v>5632</v>
      </c>
      <c r="D6333" s="108">
        <v>9.4700000000000006</v>
      </c>
    </row>
    <row r="6334" spans="1:4" ht="25.5" x14ac:dyDescent="0.25">
      <c r="A6334" s="106">
        <v>101309</v>
      </c>
      <c r="B6334" s="108" t="s">
        <v>13119</v>
      </c>
      <c r="C6334" s="106" t="s">
        <v>5632</v>
      </c>
      <c r="D6334" s="108">
        <v>13.92</v>
      </c>
    </row>
    <row r="6335" spans="1:4" ht="25.5" x14ac:dyDescent="0.25">
      <c r="A6335" s="106">
        <v>101310</v>
      </c>
      <c r="B6335" s="108" t="s">
        <v>13120</v>
      </c>
      <c r="C6335" s="106" t="s">
        <v>5632</v>
      </c>
      <c r="D6335" s="108">
        <v>19.3</v>
      </c>
    </row>
    <row r="6336" spans="1:4" ht="25.5" x14ac:dyDescent="0.25">
      <c r="A6336" s="106">
        <v>101311</v>
      </c>
      <c r="B6336" s="108" t="s">
        <v>13121</v>
      </c>
      <c r="C6336" s="106" t="s">
        <v>5632</v>
      </c>
      <c r="D6336" s="108">
        <v>13.82</v>
      </c>
    </row>
    <row r="6337" spans="1:4" ht="25.5" x14ac:dyDescent="0.25">
      <c r="A6337" s="106">
        <v>101312</v>
      </c>
      <c r="B6337" s="108" t="s">
        <v>13122</v>
      </c>
      <c r="C6337" s="106" t="s">
        <v>5632</v>
      </c>
      <c r="D6337" s="108">
        <v>8.2200000000000006</v>
      </c>
    </row>
    <row r="6338" spans="1:4" ht="25.5" x14ac:dyDescent="0.25">
      <c r="A6338" s="106">
        <v>101313</v>
      </c>
      <c r="B6338" s="108" t="s">
        <v>13123</v>
      </c>
      <c r="C6338" s="106" t="s">
        <v>5632</v>
      </c>
      <c r="D6338" s="108">
        <v>46.42</v>
      </c>
    </row>
    <row r="6339" spans="1:4" ht="25.5" x14ac:dyDescent="0.25">
      <c r="A6339" s="106">
        <v>101314</v>
      </c>
      <c r="B6339" s="108" t="s">
        <v>13124</v>
      </c>
      <c r="C6339" s="106" t="s">
        <v>5632</v>
      </c>
      <c r="D6339" s="108">
        <v>46.42</v>
      </c>
    </row>
    <row r="6340" spans="1:4" ht="25.5" x14ac:dyDescent="0.25">
      <c r="A6340" s="106">
        <v>101315</v>
      </c>
      <c r="B6340" s="108" t="s">
        <v>13125</v>
      </c>
      <c r="C6340" s="106" t="s">
        <v>5632</v>
      </c>
      <c r="D6340" s="108">
        <v>38.880000000000003</v>
      </c>
    </row>
    <row r="6341" spans="1:4" ht="25.5" x14ac:dyDescent="0.25">
      <c r="A6341" s="106">
        <v>101316</v>
      </c>
      <c r="B6341" s="108" t="s">
        <v>13126</v>
      </c>
      <c r="C6341" s="106" t="s">
        <v>5632</v>
      </c>
      <c r="D6341" s="108">
        <v>22.27</v>
      </c>
    </row>
    <row r="6342" spans="1:4" ht="25.5" x14ac:dyDescent="0.25">
      <c r="A6342" s="106">
        <v>101317</v>
      </c>
      <c r="B6342" s="108" t="s">
        <v>13127</v>
      </c>
      <c r="C6342" s="106" t="s">
        <v>5632</v>
      </c>
      <c r="D6342" s="108">
        <v>131.21</v>
      </c>
    </row>
    <row r="6343" spans="1:4" ht="25.5" x14ac:dyDescent="0.25">
      <c r="A6343" s="106">
        <v>101318</v>
      </c>
      <c r="B6343" s="108" t="s">
        <v>13128</v>
      </c>
      <c r="C6343" s="106" t="s">
        <v>5632</v>
      </c>
      <c r="D6343" s="108">
        <v>236.74</v>
      </c>
    </row>
    <row r="6344" spans="1:4" ht="25.5" x14ac:dyDescent="0.25">
      <c r="A6344" s="106">
        <v>101319</v>
      </c>
      <c r="B6344" s="108" t="s">
        <v>13129</v>
      </c>
      <c r="C6344" s="106" t="s">
        <v>5632</v>
      </c>
      <c r="D6344" s="108">
        <v>34.96</v>
      </c>
    </row>
    <row r="6345" spans="1:4" ht="25.5" x14ac:dyDescent="0.25">
      <c r="A6345" s="106">
        <v>101320</v>
      </c>
      <c r="B6345" s="108" t="s">
        <v>13130</v>
      </c>
      <c r="C6345" s="106" t="s">
        <v>5632</v>
      </c>
      <c r="D6345" s="108">
        <v>11.23</v>
      </c>
    </row>
    <row r="6346" spans="1:4" ht="25.5" x14ac:dyDescent="0.25">
      <c r="A6346" s="106">
        <v>101321</v>
      </c>
      <c r="B6346" s="108" t="s">
        <v>13131</v>
      </c>
      <c r="C6346" s="106" t="s">
        <v>5632</v>
      </c>
      <c r="D6346" s="108">
        <v>14.5</v>
      </c>
    </row>
    <row r="6347" spans="1:4" ht="25.5" x14ac:dyDescent="0.25">
      <c r="A6347" s="106">
        <v>101322</v>
      </c>
      <c r="B6347" s="108" t="s">
        <v>13132</v>
      </c>
      <c r="C6347" s="106" t="s">
        <v>5632</v>
      </c>
      <c r="D6347" s="108">
        <v>13.82</v>
      </c>
    </row>
    <row r="6348" spans="1:4" ht="25.5" x14ac:dyDescent="0.25">
      <c r="A6348" s="106">
        <v>101323</v>
      </c>
      <c r="B6348" s="108" t="s">
        <v>13133</v>
      </c>
      <c r="C6348" s="106" t="s">
        <v>5632</v>
      </c>
      <c r="D6348" s="108">
        <v>26.9</v>
      </c>
    </row>
    <row r="6349" spans="1:4" ht="25.5" x14ac:dyDescent="0.25">
      <c r="A6349" s="106">
        <v>101324</v>
      </c>
      <c r="B6349" s="108" t="s">
        <v>13134</v>
      </c>
      <c r="C6349" s="106" t="s">
        <v>5632</v>
      </c>
      <c r="D6349" s="108">
        <v>4.59</v>
      </c>
    </row>
    <row r="6350" spans="1:4" ht="25.5" x14ac:dyDescent="0.25">
      <c r="A6350" s="106">
        <v>101325</v>
      </c>
      <c r="B6350" s="108" t="s">
        <v>13135</v>
      </c>
      <c r="C6350" s="106" t="s">
        <v>5632</v>
      </c>
      <c r="D6350" s="108">
        <v>13.13</v>
      </c>
    </row>
    <row r="6351" spans="1:4" ht="25.5" x14ac:dyDescent="0.25">
      <c r="A6351" s="106">
        <v>101326</v>
      </c>
      <c r="B6351" s="108" t="s">
        <v>13136</v>
      </c>
      <c r="C6351" s="106" t="s">
        <v>5632</v>
      </c>
      <c r="D6351" s="108">
        <v>5.92</v>
      </c>
    </row>
    <row r="6352" spans="1:4" ht="25.5" x14ac:dyDescent="0.25">
      <c r="A6352" s="106">
        <v>101327</v>
      </c>
      <c r="B6352" s="108" t="s">
        <v>13137</v>
      </c>
      <c r="C6352" s="106" t="s">
        <v>5632</v>
      </c>
      <c r="D6352" s="108">
        <v>4.05</v>
      </c>
    </row>
    <row r="6353" spans="1:4" ht="25.5" x14ac:dyDescent="0.25">
      <c r="A6353" s="106">
        <v>101328</v>
      </c>
      <c r="B6353" s="108" t="s">
        <v>13138</v>
      </c>
      <c r="C6353" s="106" t="s">
        <v>5632</v>
      </c>
      <c r="D6353" s="108">
        <v>6.49</v>
      </c>
    </row>
    <row r="6354" spans="1:4" ht="25.5" x14ac:dyDescent="0.25">
      <c r="A6354" s="106">
        <v>101329</v>
      </c>
      <c r="B6354" s="108" t="s">
        <v>13139</v>
      </c>
      <c r="C6354" s="106" t="s">
        <v>5632</v>
      </c>
      <c r="D6354" s="108">
        <v>21.06</v>
      </c>
    </row>
    <row r="6355" spans="1:4" ht="25.5" x14ac:dyDescent="0.25">
      <c r="A6355" s="106">
        <v>101330</v>
      </c>
      <c r="B6355" s="108" t="s">
        <v>13140</v>
      </c>
      <c r="C6355" s="106" t="s">
        <v>5632</v>
      </c>
      <c r="D6355" s="108">
        <v>18.059999999999999</v>
      </c>
    </row>
    <row r="6356" spans="1:4" ht="25.5" x14ac:dyDescent="0.25">
      <c r="A6356" s="106">
        <v>101331</v>
      </c>
      <c r="B6356" s="108" t="s">
        <v>13141</v>
      </c>
      <c r="C6356" s="106" t="s">
        <v>5632</v>
      </c>
      <c r="D6356" s="108">
        <v>18.07</v>
      </c>
    </row>
    <row r="6357" spans="1:4" ht="25.5" x14ac:dyDescent="0.25">
      <c r="A6357" s="106">
        <v>101332</v>
      </c>
      <c r="B6357" s="108" t="s">
        <v>13142</v>
      </c>
      <c r="C6357" s="106" t="s">
        <v>5632</v>
      </c>
      <c r="D6357" s="108">
        <v>4.51</v>
      </c>
    </row>
    <row r="6358" spans="1:4" ht="25.5" x14ac:dyDescent="0.25">
      <c r="A6358" s="106">
        <v>101333</v>
      </c>
      <c r="B6358" s="108" t="s">
        <v>13143</v>
      </c>
      <c r="C6358" s="106" t="s">
        <v>5632</v>
      </c>
      <c r="D6358" s="108">
        <v>10.92</v>
      </c>
    </row>
    <row r="6359" spans="1:4" ht="25.5" x14ac:dyDescent="0.25">
      <c r="A6359" s="106">
        <v>101334</v>
      </c>
      <c r="B6359" s="108" t="s">
        <v>13144</v>
      </c>
      <c r="C6359" s="106" t="s">
        <v>5632</v>
      </c>
      <c r="D6359" s="108">
        <v>37.94</v>
      </c>
    </row>
    <row r="6360" spans="1:4" ht="25.5" x14ac:dyDescent="0.25">
      <c r="A6360" s="106">
        <v>101335</v>
      </c>
      <c r="B6360" s="108" t="s">
        <v>13145</v>
      </c>
      <c r="C6360" s="106" t="s">
        <v>5632</v>
      </c>
      <c r="D6360" s="108">
        <v>5.31</v>
      </c>
    </row>
    <row r="6361" spans="1:4" ht="25.5" x14ac:dyDescent="0.25">
      <c r="A6361" s="106">
        <v>101336</v>
      </c>
      <c r="B6361" s="108" t="s">
        <v>13146</v>
      </c>
      <c r="C6361" s="106" t="s">
        <v>5632</v>
      </c>
      <c r="D6361" s="108">
        <v>18.36</v>
      </c>
    </row>
    <row r="6362" spans="1:4" ht="25.5" x14ac:dyDescent="0.25">
      <c r="A6362" s="106">
        <v>101337</v>
      </c>
      <c r="B6362" s="108" t="s">
        <v>13147</v>
      </c>
      <c r="C6362" s="106" t="s">
        <v>5632</v>
      </c>
      <c r="D6362" s="108">
        <v>4.96</v>
      </c>
    </row>
    <row r="6363" spans="1:4" ht="25.5" x14ac:dyDescent="0.25">
      <c r="A6363" s="106">
        <v>101338</v>
      </c>
      <c r="B6363" s="108" t="s">
        <v>13148</v>
      </c>
      <c r="C6363" s="106" t="s">
        <v>5632</v>
      </c>
      <c r="D6363" s="108">
        <v>8.33</v>
      </c>
    </row>
    <row r="6364" spans="1:4" ht="25.5" x14ac:dyDescent="0.25">
      <c r="A6364" s="106">
        <v>101339</v>
      </c>
      <c r="B6364" s="108" t="s">
        <v>13149</v>
      </c>
      <c r="C6364" s="106" t="s">
        <v>5632</v>
      </c>
      <c r="D6364" s="108">
        <v>7.15</v>
      </c>
    </row>
    <row r="6365" spans="1:4" ht="38.25" x14ac:dyDescent="0.25">
      <c r="A6365" s="106">
        <v>101340</v>
      </c>
      <c r="B6365" s="108" t="s">
        <v>13150</v>
      </c>
      <c r="C6365" s="106" t="s">
        <v>5632</v>
      </c>
      <c r="D6365" s="108">
        <v>6.9</v>
      </c>
    </row>
    <row r="6366" spans="1:4" ht="25.5" x14ac:dyDescent="0.25">
      <c r="A6366" s="106">
        <v>101341</v>
      </c>
      <c r="B6366" s="108" t="s">
        <v>13151</v>
      </c>
      <c r="C6366" s="106" t="s">
        <v>5632</v>
      </c>
      <c r="D6366" s="108">
        <v>7.52</v>
      </c>
    </row>
    <row r="6367" spans="1:4" ht="25.5" x14ac:dyDescent="0.25">
      <c r="A6367" s="106">
        <v>101342</v>
      </c>
      <c r="B6367" s="108" t="s">
        <v>13152</v>
      </c>
      <c r="C6367" s="106" t="s">
        <v>5632</v>
      </c>
      <c r="D6367" s="108">
        <v>8.8000000000000007</v>
      </c>
    </row>
    <row r="6368" spans="1:4" ht="25.5" x14ac:dyDescent="0.25">
      <c r="A6368" s="106">
        <v>101343</v>
      </c>
      <c r="B6368" s="108" t="s">
        <v>13153</v>
      </c>
      <c r="C6368" s="106" t="s">
        <v>5632</v>
      </c>
      <c r="D6368" s="108">
        <v>13.36</v>
      </c>
    </row>
    <row r="6369" spans="1:4" ht="25.5" x14ac:dyDescent="0.25">
      <c r="A6369" s="106">
        <v>101344</v>
      </c>
      <c r="B6369" s="108" t="s">
        <v>13154</v>
      </c>
      <c r="C6369" s="106" t="s">
        <v>5632</v>
      </c>
      <c r="D6369" s="108">
        <v>13.71</v>
      </c>
    </row>
    <row r="6370" spans="1:4" ht="25.5" x14ac:dyDescent="0.25">
      <c r="A6370" s="106">
        <v>101345</v>
      </c>
      <c r="B6370" s="108" t="s">
        <v>13155</v>
      </c>
      <c r="C6370" s="106" t="s">
        <v>5632</v>
      </c>
      <c r="D6370" s="108">
        <v>13.78</v>
      </c>
    </row>
    <row r="6371" spans="1:4" ht="25.5" x14ac:dyDescent="0.25">
      <c r="A6371" s="106">
        <v>101346</v>
      </c>
      <c r="B6371" s="108" t="s">
        <v>13156</v>
      </c>
      <c r="C6371" s="106" t="s">
        <v>5632</v>
      </c>
      <c r="D6371" s="108">
        <v>11.96</v>
      </c>
    </row>
    <row r="6372" spans="1:4" ht="25.5" x14ac:dyDescent="0.25">
      <c r="A6372" s="106">
        <v>101347</v>
      </c>
      <c r="B6372" s="108" t="s">
        <v>13157</v>
      </c>
      <c r="C6372" s="106" t="s">
        <v>5632</v>
      </c>
      <c r="D6372" s="108">
        <v>10.19</v>
      </c>
    </row>
    <row r="6373" spans="1:4" ht="25.5" x14ac:dyDescent="0.25">
      <c r="A6373" s="106">
        <v>101348</v>
      </c>
      <c r="B6373" s="108" t="s">
        <v>13158</v>
      </c>
      <c r="C6373" s="106" t="s">
        <v>5632</v>
      </c>
      <c r="D6373" s="108">
        <v>5.79</v>
      </c>
    </row>
    <row r="6374" spans="1:4" ht="25.5" x14ac:dyDescent="0.25">
      <c r="A6374" s="106">
        <v>101349</v>
      </c>
      <c r="B6374" s="108" t="s">
        <v>13159</v>
      </c>
      <c r="C6374" s="106" t="s">
        <v>5632</v>
      </c>
      <c r="D6374" s="108">
        <v>8.9499999999999993</v>
      </c>
    </row>
    <row r="6375" spans="1:4" ht="25.5" x14ac:dyDescent="0.25">
      <c r="A6375" s="106">
        <v>101350</v>
      </c>
      <c r="B6375" s="108" t="s">
        <v>13160</v>
      </c>
      <c r="C6375" s="106" t="s">
        <v>5632</v>
      </c>
      <c r="D6375" s="108">
        <v>10.98</v>
      </c>
    </row>
    <row r="6376" spans="1:4" ht="25.5" x14ac:dyDescent="0.25">
      <c r="A6376" s="106">
        <v>101351</v>
      </c>
      <c r="B6376" s="108" t="s">
        <v>13161</v>
      </c>
      <c r="C6376" s="106" t="s">
        <v>5632</v>
      </c>
      <c r="D6376" s="108">
        <v>8.02</v>
      </c>
    </row>
    <row r="6377" spans="1:4" ht="38.25" x14ac:dyDescent="0.25">
      <c r="A6377" s="106">
        <v>101352</v>
      </c>
      <c r="B6377" s="108" t="s">
        <v>13162</v>
      </c>
      <c r="C6377" s="106" t="s">
        <v>5632</v>
      </c>
      <c r="D6377" s="108">
        <v>9.24</v>
      </c>
    </row>
    <row r="6378" spans="1:4" ht="25.5" x14ac:dyDescent="0.25">
      <c r="A6378" s="106">
        <v>101353</v>
      </c>
      <c r="B6378" s="108" t="s">
        <v>13163</v>
      </c>
      <c r="C6378" s="106" t="s">
        <v>5632</v>
      </c>
      <c r="D6378" s="108">
        <v>7.35</v>
      </c>
    </row>
    <row r="6379" spans="1:4" ht="25.5" x14ac:dyDescent="0.25">
      <c r="A6379" s="106">
        <v>101354</v>
      </c>
      <c r="B6379" s="108" t="s">
        <v>13164</v>
      </c>
      <c r="C6379" s="106" t="s">
        <v>5632</v>
      </c>
      <c r="D6379" s="108">
        <v>10.27</v>
      </c>
    </row>
    <row r="6380" spans="1:4" ht="38.25" x14ac:dyDescent="0.25">
      <c r="A6380" s="106">
        <v>101355</v>
      </c>
      <c r="B6380" s="108" t="s">
        <v>13165</v>
      </c>
      <c r="C6380" s="106" t="s">
        <v>5632</v>
      </c>
      <c r="D6380" s="108">
        <v>7.93</v>
      </c>
    </row>
    <row r="6381" spans="1:4" ht="25.5" x14ac:dyDescent="0.25">
      <c r="A6381" s="106">
        <v>101356</v>
      </c>
      <c r="B6381" s="108" t="s">
        <v>13166</v>
      </c>
      <c r="C6381" s="106" t="s">
        <v>5632</v>
      </c>
      <c r="D6381" s="108">
        <v>20.61</v>
      </c>
    </row>
    <row r="6382" spans="1:4" ht="25.5" x14ac:dyDescent="0.25">
      <c r="A6382" s="106">
        <v>101357</v>
      </c>
      <c r="B6382" s="108" t="s">
        <v>13167</v>
      </c>
      <c r="C6382" s="106" t="s">
        <v>5632</v>
      </c>
      <c r="D6382" s="108">
        <v>25.38</v>
      </c>
    </row>
    <row r="6383" spans="1:4" ht="25.5" x14ac:dyDescent="0.25">
      <c r="A6383" s="106">
        <v>101358</v>
      </c>
      <c r="B6383" s="108" t="s">
        <v>13168</v>
      </c>
      <c r="C6383" s="106" t="s">
        <v>5632</v>
      </c>
      <c r="D6383" s="108">
        <v>17.670000000000002</v>
      </c>
    </row>
    <row r="6384" spans="1:4" ht="25.5" x14ac:dyDescent="0.25">
      <c r="A6384" s="106">
        <v>101359</v>
      </c>
      <c r="B6384" s="108" t="s">
        <v>13169</v>
      </c>
      <c r="C6384" s="106" t="s">
        <v>5632</v>
      </c>
      <c r="D6384" s="108">
        <v>20.37</v>
      </c>
    </row>
    <row r="6385" spans="1:4" ht="25.5" x14ac:dyDescent="0.25">
      <c r="A6385" s="106">
        <v>101360</v>
      </c>
      <c r="B6385" s="108" t="s">
        <v>13170</v>
      </c>
      <c r="C6385" s="106" t="s">
        <v>5632</v>
      </c>
      <c r="D6385" s="108">
        <v>19.010000000000002</v>
      </c>
    </row>
    <row r="6386" spans="1:4" ht="25.5" x14ac:dyDescent="0.25">
      <c r="A6386" s="106">
        <v>101361</v>
      </c>
      <c r="B6386" s="108" t="s">
        <v>13171</v>
      </c>
      <c r="C6386" s="106" t="s">
        <v>5632</v>
      </c>
      <c r="D6386" s="108">
        <v>17.649999999999999</v>
      </c>
    </row>
    <row r="6387" spans="1:4" ht="25.5" x14ac:dyDescent="0.25">
      <c r="A6387" s="106">
        <v>101362</v>
      </c>
      <c r="B6387" s="108" t="s">
        <v>13172</v>
      </c>
      <c r="C6387" s="106" t="s">
        <v>5632</v>
      </c>
      <c r="D6387" s="108">
        <v>3.83</v>
      </c>
    </row>
    <row r="6388" spans="1:4" ht="25.5" x14ac:dyDescent="0.25">
      <c r="A6388" s="106">
        <v>101363</v>
      </c>
      <c r="B6388" s="108" t="s">
        <v>13173</v>
      </c>
      <c r="C6388" s="106" t="s">
        <v>5632</v>
      </c>
      <c r="D6388" s="108">
        <v>13.82</v>
      </c>
    </row>
    <row r="6389" spans="1:4" ht="25.5" x14ac:dyDescent="0.25">
      <c r="A6389" s="106">
        <v>101364</v>
      </c>
      <c r="B6389" s="108" t="s">
        <v>13174</v>
      </c>
      <c r="C6389" s="106" t="s">
        <v>5632</v>
      </c>
      <c r="D6389" s="108">
        <v>18.88</v>
      </c>
    </row>
    <row r="6390" spans="1:4" ht="25.5" x14ac:dyDescent="0.25">
      <c r="A6390" s="106">
        <v>101365</v>
      </c>
      <c r="B6390" s="108" t="s">
        <v>13175</v>
      </c>
      <c r="C6390" s="106" t="s">
        <v>5632</v>
      </c>
      <c r="D6390" s="108">
        <v>13.36</v>
      </c>
    </row>
    <row r="6391" spans="1:4" ht="25.5" x14ac:dyDescent="0.25">
      <c r="A6391" s="106">
        <v>101366</v>
      </c>
      <c r="B6391" s="108" t="s">
        <v>13176</v>
      </c>
      <c r="C6391" s="106" t="s">
        <v>5632</v>
      </c>
      <c r="D6391" s="108">
        <v>17.920000000000002</v>
      </c>
    </row>
    <row r="6392" spans="1:4" ht="25.5" x14ac:dyDescent="0.25">
      <c r="A6392" s="106">
        <v>101367</v>
      </c>
      <c r="B6392" s="108" t="s">
        <v>13177</v>
      </c>
      <c r="C6392" s="106" t="s">
        <v>5632</v>
      </c>
      <c r="D6392" s="108">
        <v>16.96</v>
      </c>
    </row>
    <row r="6393" spans="1:4" ht="25.5" x14ac:dyDescent="0.25">
      <c r="A6393" s="106">
        <v>101368</v>
      </c>
      <c r="B6393" s="108" t="s">
        <v>13178</v>
      </c>
      <c r="C6393" s="106" t="s">
        <v>5632</v>
      </c>
      <c r="D6393" s="108">
        <v>14.35</v>
      </c>
    </row>
    <row r="6394" spans="1:4" ht="25.5" x14ac:dyDescent="0.25">
      <c r="A6394" s="106">
        <v>101369</v>
      </c>
      <c r="B6394" s="108" t="s">
        <v>13179</v>
      </c>
      <c r="C6394" s="106" t="s">
        <v>5632</v>
      </c>
      <c r="D6394" s="108">
        <v>17.72</v>
      </c>
    </row>
    <row r="6395" spans="1:4" ht="25.5" x14ac:dyDescent="0.25">
      <c r="A6395" s="106">
        <v>101370</v>
      </c>
      <c r="B6395" s="108" t="s">
        <v>13180</v>
      </c>
      <c r="C6395" s="106" t="s">
        <v>5632</v>
      </c>
      <c r="D6395" s="108">
        <v>15.09</v>
      </c>
    </row>
    <row r="6396" spans="1:4" ht="25.5" x14ac:dyDescent="0.25">
      <c r="A6396" s="106">
        <v>101371</v>
      </c>
      <c r="B6396" s="108" t="s">
        <v>13181</v>
      </c>
      <c r="C6396" s="106" t="s">
        <v>5632</v>
      </c>
      <c r="D6396" s="108">
        <v>16.93</v>
      </c>
    </row>
    <row r="6397" spans="1:4" ht="25.5" x14ac:dyDescent="0.25">
      <c r="A6397" s="106">
        <v>101372</v>
      </c>
      <c r="B6397" s="108" t="s">
        <v>13182</v>
      </c>
      <c r="C6397" s="106" t="s">
        <v>5632</v>
      </c>
      <c r="D6397" s="108">
        <v>4.74</v>
      </c>
    </row>
    <row r="6398" spans="1:4" x14ac:dyDescent="0.25">
      <c r="A6398" s="106">
        <v>101373</v>
      </c>
      <c r="B6398" s="108" t="s">
        <v>13183</v>
      </c>
      <c r="C6398" s="106" t="s">
        <v>102</v>
      </c>
      <c r="D6398" s="108">
        <v>123.35</v>
      </c>
    </row>
    <row r="6399" spans="1:4" x14ac:dyDescent="0.25">
      <c r="A6399" s="106">
        <v>101374</v>
      </c>
      <c r="B6399" s="108" t="s">
        <v>661</v>
      </c>
      <c r="C6399" s="106" t="s">
        <v>5632</v>
      </c>
      <c r="D6399" s="108">
        <v>2495.1799999999998</v>
      </c>
    </row>
    <row r="6400" spans="1:4" x14ac:dyDescent="0.25">
      <c r="A6400" s="106">
        <v>101375</v>
      </c>
      <c r="B6400" s="108" t="s">
        <v>13184</v>
      </c>
      <c r="C6400" s="106" t="s">
        <v>5632</v>
      </c>
      <c r="D6400" s="108">
        <v>2588.7800000000002</v>
      </c>
    </row>
    <row r="6401" spans="1:4" ht="25.5" x14ac:dyDescent="0.25">
      <c r="A6401" s="106">
        <v>101376</v>
      </c>
      <c r="B6401" s="108" t="s">
        <v>13185</v>
      </c>
      <c r="C6401" s="106" t="s">
        <v>5632</v>
      </c>
      <c r="D6401" s="108">
        <v>1931.55</v>
      </c>
    </row>
    <row r="6402" spans="1:4" ht="25.5" x14ac:dyDescent="0.25">
      <c r="A6402" s="106">
        <v>101377</v>
      </c>
      <c r="B6402" s="108" t="s">
        <v>5564</v>
      </c>
      <c r="C6402" s="106" t="s">
        <v>5632</v>
      </c>
      <c r="D6402" s="108">
        <v>2550.48</v>
      </c>
    </row>
    <row r="6403" spans="1:4" x14ac:dyDescent="0.25">
      <c r="A6403" s="106">
        <v>101378</v>
      </c>
      <c r="B6403" s="108" t="s">
        <v>11860</v>
      </c>
      <c r="C6403" s="106" t="s">
        <v>5632</v>
      </c>
      <c r="D6403" s="108">
        <v>2772.44</v>
      </c>
    </row>
    <row r="6404" spans="1:4" x14ac:dyDescent="0.25">
      <c r="A6404" s="106">
        <v>101379</v>
      </c>
      <c r="B6404" s="108" t="s">
        <v>13186</v>
      </c>
      <c r="C6404" s="106" t="s">
        <v>5632</v>
      </c>
      <c r="D6404" s="108">
        <v>2610.66</v>
      </c>
    </row>
    <row r="6405" spans="1:4" x14ac:dyDescent="0.25">
      <c r="A6405" s="106">
        <v>101380</v>
      </c>
      <c r="B6405" s="108" t="s">
        <v>422</v>
      </c>
      <c r="C6405" s="106" t="s">
        <v>5632</v>
      </c>
      <c r="D6405" s="108">
        <v>3093.31</v>
      </c>
    </row>
    <row r="6406" spans="1:4" x14ac:dyDescent="0.25">
      <c r="A6406" s="106">
        <v>101381</v>
      </c>
      <c r="B6406" s="108" t="s">
        <v>662</v>
      </c>
      <c r="C6406" s="106" t="s">
        <v>5632</v>
      </c>
      <c r="D6406" s="108">
        <v>3184.79</v>
      </c>
    </row>
    <row r="6407" spans="1:4" x14ac:dyDescent="0.25">
      <c r="A6407" s="106">
        <v>101382</v>
      </c>
      <c r="B6407" s="108" t="s">
        <v>13187</v>
      </c>
      <c r="C6407" s="106" t="s">
        <v>5632</v>
      </c>
      <c r="D6407" s="108">
        <v>2671.28</v>
      </c>
    </row>
    <row r="6408" spans="1:4" x14ac:dyDescent="0.25">
      <c r="A6408" s="106">
        <v>101383</v>
      </c>
      <c r="B6408" s="108" t="s">
        <v>11862</v>
      </c>
      <c r="C6408" s="106" t="s">
        <v>5632</v>
      </c>
      <c r="D6408" s="108">
        <v>2569.54</v>
      </c>
    </row>
    <row r="6409" spans="1:4" ht="25.5" x14ac:dyDescent="0.25">
      <c r="A6409" s="106">
        <v>101384</v>
      </c>
      <c r="B6409" s="108" t="s">
        <v>406</v>
      </c>
      <c r="C6409" s="106" t="s">
        <v>5632</v>
      </c>
      <c r="D6409" s="108">
        <v>2508.34</v>
      </c>
    </row>
    <row r="6410" spans="1:4" ht="25.5" x14ac:dyDescent="0.25">
      <c r="A6410" s="106">
        <v>101385</v>
      </c>
      <c r="B6410" s="108" t="s">
        <v>13188</v>
      </c>
      <c r="C6410" s="106" t="s">
        <v>5632</v>
      </c>
      <c r="D6410" s="108">
        <v>3323.91</v>
      </c>
    </row>
    <row r="6411" spans="1:4" x14ac:dyDescent="0.25">
      <c r="A6411" s="106">
        <v>101386</v>
      </c>
      <c r="B6411" s="108" t="s">
        <v>5566</v>
      </c>
      <c r="C6411" s="106" t="s">
        <v>5632</v>
      </c>
      <c r="D6411" s="108">
        <v>2182.6</v>
      </c>
    </row>
    <row r="6412" spans="1:4" x14ac:dyDescent="0.25">
      <c r="A6412" s="106">
        <v>101387</v>
      </c>
      <c r="B6412" s="108" t="s">
        <v>13189</v>
      </c>
      <c r="C6412" s="106" t="s">
        <v>5632</v>
      </c>
      <c r="D6412" s="108">
        <v>2601.69</v>
      </c>
    </row>
    <row r="6413" spans="1:4" x14ac:dyDescent="0.25">
      <c r="A6413" s="106">
        <v>101388</v>
      </c>
      <c r="B6413" s="108" t="s">
        <v>5567</v>
      </c>
      <c r="C6413" s="106" t="s">
        <v>5632</v>
      </c>
      <c r="D6413" s="108">
        <v>2717.98</v>
      </c>
    </row>
    <row r="6414" spans="1:4" x14ac:dyDescent="0.25">
      <c r="A6414" s="106">
        <v>101389</v>
      </c>
      <c r="B6414" s="108" t="s">
        <v>5568</v>
      </c>
      <c r="C6414" s="106" t="s">
        <v>5632</v>
      </c>
      <c r="D6414" s="108">
        <v>1090.8800000000001</v>
      </c>
    </row>
    <row r="6415" spans="1:4" ht="25.5" x14ac:dyDescent="0.25">
      <c r="A6415" s="106">
        <v>101390</v>
      </c>
      <c r="B6415" s="108" t="s">
        <v>13190</v>
      </c>
      <c r="C6415" s="106" t="s">
        <v>5632</v>
      </c>
      <c r="D6415" s="108">
        <v>3746.96</v>
      </c>
    </row>
    <row r="6416" spans="1:4" x14ac:dyDescent="0.25">
      <c r="A6416" s="106">
        <v>101391</v>
      </c>
      <c r="B6416" s="108" t="s">
        <v>13191</v>
      </c>
      <c r="C6416" s="106" t="s">
        <v>5632</v>
      </c>
      <c r="D6416" s="108">
        <v>3188.64</v>
      </c>
    </row>
    <row r="6417" spans="1:4" ht="25.5" x14ac:dyDescent="0.25">
      <c r="A6417" s="106">
        <v>101392</v>
      </c>
      <c r="B6417" s="108" t="s">
        <v>13192</v>
      </c>
      <c r="C6417" s="106" t="s">
        <v>5632</v>
      </c>
      <c r="D6417" s="108">
        <v>2326.77</v>
      </c>
    </row>
    <row r="6418" spans="1:4" x14ac:dyDescent="0.25">
      <c r="A6418" s="106">
        <v>101393</v>
      </c>
      <c r="B6418" s="108" t="s">
        <v>13193</v>
      </c>
      <c r="C6418" s="106" t="s">
        <v>5632</v>
      </c>
      <c r="D6418" s="108">
        <v>3687.16</v>
      </c>
    </row>
    <row r="6419" spans="1:4" x14ac:dyDescent="0.25">
      <c r="A6419" s="106">
        <v>101394</v>
      </c>
      <c r="B6419" s="108" t="s">
        <v>458</v>
      </c>
      <c r="C6419" s="106" t="s">
        <v>5632</v>
      </c>
      <c r="D6419" s="108">
        <v>3159.5</v>
      </c>
    </row>
    <row r="6420" spans="1:4" x14ac:dyDescent="0.25">
      <c r="A6420" s="106">
        <v>101395</v>
      </c>
      <c r="B6420" s="108" t="s">
        <v>13194</v>
      </c>
      <c r="C6420" s="106" t="s">
        <v>5632</v>
      </c>
      <c r="D6420" s="108">
        <v>2695.68</v>
      </c>
    </row>
    <row r="6421" spans="1:4" x14ac:dyDescent="0.25">
      <c r="A6421" s="106">
        <v>101396</v>
      </c>
      <c r="B6421" s="108" t="s">
        <v>13195</v>
      </c>
      <c r="C6421" s="106" t="s">
        <v>5632</v>
      </c>
      <c r="D6421" s="108">
        <v>3390.19</v>
      </c>
    </row>
    <row r="6422" spans="1:4" x14ac:dyDescent="0.25">
      <c r="A6422" s="106">
        <v>101397</v>
      </c>
      <c r="B6422" s="108" t="s">
        <v>399</v>
      </c>
      <c r="C6422" s="106" t="s">
        <v>5632</v>
      </c>
      <c r="D6422" s="108">
        <v>3176.39</v>
      </c>
    </row>
    <row r="6423" spans="1:4" ht="25.5" x14ac:dyDescent="0.25">
      <c r="A6423" s="106">
        <v>101398</v>
      </c>
      <c r="B6423" s="108" t="s">
        <v>13196</v>
      </c>
      <c r="C6423" s="106" t="s">
        <v>5632</v>
      </c>
      <c r="D6423" s="108">
        <v>2110.08</v>
      </c>
    </row>
    <row r="6424" spans="1:4" x14ac:dyDescent="0.25">
      <c r="A6424" s="106">
        <v>101399</v>
      </c>
      <c r="B6424" s="108" t="s">
        <v>506</v>
      </c>
      <c r="C6424" s="106" t="s">
        <v>5632</v>
      </c>
      <c r="D6424" s="108">
        <v>3297.88</v>
      </c>
    </row>
    <row r="6425" spans="1:4" ht="25.5" x14ac:dyDescent="0.25">
      <c r="A6425" s="106">
        <v>101400</v>
      </c>
      <c r="B6425" s="108" t="s">
        <v>13197</v>
      </c>
      <c r="C6425" s="106" t="s">
        <v>5632</v>
      </c>
      <c r="D6425" s="108">
        <v>3297.88</v>
      </c>
    </row>
    <row r="6426" spans="1:4" x14ac:dyDescent="0.25">
      <c r="A6426" s="106">
        <v>101401</v>
      </c>
      <c r="B6426" s="108" t="s">
        <v>5575</v>
      </c>
      <c r="C6426" s="106" t="s">
        <v>5632</v>
      </c>
      <c r="D6426" s="108">
        <v>3316.4</v>
      </c>
    </row>
    <row r="6427" spans="1:4" ht="25.5" x14ac:dyDescent="0.25">
      <c r="A6427" s="106">
        <v>101402</v>
      </c>
      <c r="B6427" s="108" t="s">
        <v>405</v>
      </c>
      <c r="C6427" s="106" t="s">
        <v>5632</v>
      </c>
      <c r="D6427" s="108">
        <v>3197.17</v>
      </c>
    </row>
    <row r="6428" spans="1:4" x14ac:dyDescent="0.25">
      <c r="A6428" s="106">
        <v>101403</v>
      </c>
      <c r="B6428" s="108" t="s">
        <v>13183</v>
      </c>
      <c r="C6428" s="106" t="s">
        <v>5632</v>
      </c>
      <c r="D6428" s="108">
        <v>21830.32</v>
      </c>
    </row>
    <row r="6429" spans="1:4" x14ac:dyDescent="0.25">
      <c r="A6429" s="106">
        <v>101404</v>
      </c>
      <c r="B6429" s="108" t="s">
        <v>5630</v>
      </c>
      <c r="C6429" s="106" t="s">
        <v>5632</v>
      </c>
      <c r="D6429" s="108">
        <v>13505.18</v>
      </c>
    </row>
    <row r="6430" spans="1:4" x14ac:dyDescent="0.25">
      <c r="A6430" s="106">
        <v>101405</v>
      </c>
      <c r="B6430" s="108" t="s">
        <v>5631</v>
      </c>
      <c r="C6430" s="106" t="s">
        <v>5632</v>
      </c>
      <c r="D6430" s="108">
        <v>13174.58</v>
      </c>
    </row>
    <row r="6431" spans="1:4" x14ac:dyDescent="0.25">
      <c r="A6431" s="106">
        <v>101406</v>
      </c>
      <c r="B6431" s="108" t="s">
        <v>5576</v>
      </c>
      <c r="C6431" s="106" t="s">
        <v>5632</v>
      </c>
      <c r="D6431" s="108">
        <v>3297.01</v>
      </c>
    </row>
    <row r="6432" spans="1:4" x14ac:dyDescent="0.25">
      <c r="A6432" s="106">
        <v>101407</v>
      </c>
      <c r="B6432" s="108" t="s">
        <v>444</v>
      </c>
      <c r="C6432" s="106" t="s">
        <v>5632</v>
      </c>
      <c r="D6432" s="108">
        <v>3184.79</v>
      </c>
    </row>
    <row r="6433" spans="1:4" x14ac:dyDescent="0.25">
      <c r="A6433" s="106">
        <v>101408</v>
      </c>
      <c r="B6433" s="108" t="s">
        <v>5577</v>
      </c>
      <c r="C6433" s="106" t="s">
        <v>5632</v>
      </c>
      <c r="D6433" s="108">
        <v>3333.34</v>
      </c>
    </row>
    <row r="6434" spans="1:4" x14ac:dyDescent="0.25">
      <c r="A6434" s="106">
        <v>101409</v>
      </c>
      <c r="B6434" s="108" t="s">
        <v>13198</v>
      </c>
      <c r="C6434" s="106" t="s">
        <v>5632</v>
      </c>
      <c r="D6434" s="108">
        <v>2449.9699999999998</v>
      </c>
    </row>
    <row r="6435" spans="1:4" x14ac:dyDescent="0.25">
      <c r="A6435" s="106">
        <v>101410</v>
      </c>
      <c r="B6435" s="108" t="s">
        <v>470</v>
      </c>
      <c r="C6435" s="106" t="s">
        <v>5632</v>
      </c>
      <c r="D6435" s="108">
        <v>3104.14</v>
      </c>
    </row>
    <row r="6436" spans="1:4" ht="25.5" x14ac:dyDescent="0.25">
      <c r="A6436" s="106">
        <v>101411</v>
      </c>
      <c r="B6436" s="108" t="s">
        <v>13199</v>
      </c>
      <c r="C6436" s="106" t="s">
        <v>5632</v>
      </c>
      <c r="D6436" s="108">
        <v>1706.14</v>
      </c>
    </row>
    <row r="6437" spans="1:4" x14ac:dyDescent="0.25">
      <c r="A6437" s="106">
        <v>101412</v>
      </c>
      <c r="B6437" s="108" t="s">
        <v>13200</v>
      </c>
      <c r="C6437" s="106" t="s">
        <v>5632</v>
      </c>
      <c r="D6437" s="108">
        <v>3280.18</v>
      </c>
    </row>
    <row r="6438" spans="1:4" x14ac:dyDescent="0.25">
      <c r="A6438" s="106">
        <v>101413</v>
      </c>
      <c r="B6438" s="108" t="s">
        <v>704</v>
      </c>
      <c r="C6438" s="106" t="s">
        <v>5632</v>
      </c>
      <c r="D6438" s="108">
        <v>3230.81</v>
      </c>
    </row>
    <row r="6439" spans="1:4" x14ac:dyDescent="0.25">
      <c r="A6439" s="106">
        <v>101414</v>
      </c>
      <c r="B6439" s="108" t="s">
        <v>13201</v>
      </c>
      <c r="C6439" s="106" t="s">
        <v>5632</v>
      </c>
      <c r="D6439" s="108">
        <v>3239.9</v>
      </c>
    </row>
    <row r="6440" spans="1:4" ht="25.5" x14ac:dyDescent="0.25">
      <c r="A6440" s="106">
        <v>101415</v>
      </c>
      <c r="B6440" s="108" t="s">
        <v>13202</v>
      </c>
      <c r="C6440" s="106" t="s">
        <v>5632</v>
      </c>
      <c r="D6440" s="108">
        <v>3247.61</v>
      </c>
    </row>
    <row r="6441" spans="1:4" x14ac:dyDescent="0.25">
      <c r="A6441" s="106">
        <v>101416</v>
      </c>
      <c r="B6441" s="108" t="s">
        <v>11867</v>
      </c>
      <c r="C6441" s="106" t="s">
        <v>5632</v>
      </c>
      <c r="D6441" s="108">
        <v>3525.96</v>
      </c>
    </row>
    <row r="6442" spans="1:4" ht="25.5" x14ac:dyDescent="0.25">
      <c r="A6442" s="106">
        <v>101417</v>
      </c>
      <c r="B6442" s="108" t="s">
        <v>13203</v>
      </c>
      <c r="C6442" s="106" t="s">
        <v>5632</v>
      </c>
      <c r="D6442" s="108">
        <v>3234.41</v>
      </c>
    </row>
    <row r="6443" spans="1:4" ht="25.5" x14ac:dyDescent="0.25">
      <c r="A6443" s="106">
        <v>101418</v>
      </c>
      <c r="B6443" s="108" t="s">
        <v>13204</v>
      </c>
      <c r="C6443" s="106" t="s">
        <v>5632</v>
      </c>
      <c r="D6443" s="108">
        <v>2315.42</v>
      </c>
    </row>
    <row r="6444" spans="1:4" x14ac:dyDescent="0.25">
      <c r="A6444" s="106">
        <v>101419</v>
      </c>
      <c r="B6444" s="108" t="s">
        <v>13205</v>
      </c>
      <c r="C6444" s="106" t="s">
        <v>5632</v>
      </c>
      <c r="D6444" s="108">
        <v>3470.73</v>
      </c>
    </row>
    <row r="6445" spans="1:4" ht="25.5" x14ac:dyDescent="0.25">
      <c r="A6445" s="106">
        <v>101420</v>
      </c>
      <c r="B6445" s="108" t="s">
        <v>13206</v>
      </c>
      <c r="C6445" s="106" t="s">
        <v>5632</v>
      </c>
      <c r="D6445" s="108">
        <v>2458.15</v>
      </c>
    </row>
    <row r="6446" spans="1:4" ht="25.5" x14ac:dyDescent="0.25">
      <c r="A6446" s="106">
        <v>101421</v>
      </c>
      <c r="B6446" s="108" t="s">
        <v>13207</v>
      </c>
      <c r="C6446" s="106" t="s">
        <v>5632</v>
      </c>
      <c r="D6446" s="108">
        <v>3167.03</v>
      </c>
    </row>
    <row r="6447" spans="1:4" ht="25.5" x14ac:dyDescent="0.25">
      <c r="A6447" s="106">
        <v>101422</v>
      </c>
      <c r="B6447" s="108" t="s">
        <v>13208</v>
      </c>
      <c r="C6447" s="106" t="s">
        <v>5632</v>
      </c>
      <c r="D6447" s="108">
        <v>2428.1999999999998</v>
      </c>
    </row>
    <row r="6448" spans="1:4" ht="25.5" x14ac:dyDescent="0.25">
      <c r="A6448" s="106">
        <v>101423</v>
      </c>
      <c r="B6448" s="108" t="s">
        <v>13209</v>
      </c>
      <c r="C6448" s="106" t="s">
        <v>5632</v>
      </c>
      <c r="D6448" s="108">
        <v>2725.2</v>
      </c>
    </row>
    <row r="6449" spans="1:4" ht="25.5" x14ac:dyDescent="0.25">
      <c r="A6449" s="106">
        <v>101424</v>
      </c>
      <c r="B6449" s="108" t="s">
        <v>13210</v>
      </c>
      <c r="C6449" s="106" t="s">
        <v>5632</v>
      </c>
      <c r="D6449" s="108">
        <v>2882.15</v>
      </c>
    </row>
    <row r="6450" spans="1:4" x14ac:dyDescent="0.25">
      <c r="A6450" s="106">
        <v>101425</v>
      </c>
      <c r="B6450" s="108" t="s">
        <v>13211</v>
      </c>
      <c r="C6450" s="106" t="s">
        <v>5632</v>
      </c>
      <c r="D6450" s="108">
        <v>1324.42</v>
      </c>
    </row>
    <row r="6451" spans="1:4" x14ac:dyDescent="0.25">
      <c r="A6451" s="106">
        <v>101426</v>
      </c>
      <c r="B6451" s="108" t="s">
        <v>13212</v>
      </c>
      <c r="C6451" s="106" t="s">
        <v>5632</v>
      </c>
      <c r="D6451" s="108">
        <v>2656.72</v>
      </c>
    </row>
    <row r="6452" spans="1:4" ht="25.5" x14ac:dyDescent="0.25">
      <c r="A6452" s="106">
        <v>101427</v>
      </c>
      <c r="B6452" s="108" t="s">
        <v>5589</v>
      </c>
      <c r="C6452" s="106" t="s">
        <v>5632</v>
      </c>
      <c r="D6452" s="108">
        <v>2385.69</v>
      </c>
    </row>
    <row r="6453" spans="1:4" ht="25.5" x14ac:dyDescent="0.25">
      <c r="A6453" s="106">
        <v>101428</v>
      </c>
      <c r="B6453" s="108" t="s">
        <v>13213</v>
      </c>
      <c r="C6453" s="106" t="s">
        <v>5632</v>
      </c>
      <c r="D6453" s="108">
        <v>2328.61</v>
      </c>
    </row>
    <row r="6454" spans="1:4" ht="25.5" x14ac:dyDescent="0.25">
      <c r="A6454" s="106">
        <v>101429</v>
      </c>
      <c r="B6454" s="108" t="s">
        <v>13214</v>
      </c>
      <c r="C6454" s="106" t="s">
        <v>5632</v>
      </c>
      <c r="D6454" s="108">
        <v>2470.1799999999998</v>
      </c>
    </row>
    <row r="6455" spans="1:4" ht="25.5" x14ac:dyDescent="0.25">
      <c r="A6455" s="106">
        <v>101430</v>
      </c>
      <c r="B6455" s="108" t="s">
        <v>13215</v>
      </c>
      <c r="C6455" s="106" t="s">
        <v>5632</v>
      </c>
      <c r="D6455" s="108">
        <v>2762.42</v>
      </c>
    </row>
    <row r="6456" spans="1:4" x14ac:dyDescent="0.25">
      <c r="A6456" s="106">
        <v>101431</v>
      </c>
      <c r="B6456" s="108" t="s">
        <v>5592</v>
      </c>
      <c r="C6456" s="106" t="s">
        <v>5632</v>
      </c>
      <c r="D6456" s="108">
        <v>2957.95</v>
      </c>
    </row>
    <row r="6457" spans="1:4" ht="25.5" x14ac:dyDescent="0.25">
      <c r="A6457" s="106">
        <v>101432</v>
      </c>
      <c r="B6457" s="108" t="s">
        <v>13216</v>
      </c>
      <c r="C6457" s="106" t="s">
        <v>5632</v>
      </c>
      <c r="D6457" s="108">
        <v>2343.17</v>
      </c>
    </row>
    <row r="6458" spans="1:4" x14ac:dyDescent="0.25">
      <c r="A6458" s="106">
        <v>101433</v>
      </c>
      <c r="B6458" s="108" t="s">
        <v>5594</v>
      </c>
      <c r="C6458" s="106" t="s">
        <v>5632</v>
      </c>
      <c r="D6458" s="108">
        <v>2351.9</v>
      </c>
    </row>
    <row r="6459" spans="1:4" ht="25.5" x14ac:dyDescent="0.25">
      <c r="A6459" s="106">
        <v>101434</v>
      </c>
      <c r="B6459" s="108" t="s">
        <v>13217</v>
      </c>
      <c r="C6459" s="106" t="s">
        <v>5632</v>
      </c>
      <c r="D6459" s="108">
        <v>2726.94</v>
      </c>
    </row>
    <row r="6460" spans="1:4" ht="25.5" x14ac:dyDescent="0.25">
      <c r="A6460" s="106">
        <v>101435</v>
      </c>
      <c r="B6460" s="108" t="s">
        <v>13218</v>
      </c>
      <c r="C6460" s="106" t="s">
        <v>5632</v>
      </c>
      <c r="D6460" s="108">
        <v>2433.88</v>
      </c>
    </row>
    <row r="6461" spans="1:4" ht="25.5" x14ac:dyDescent="0.25">
      <c r="A6461" s="106">
        <v>101436</v>
      </c>
      <c r="B6461" s="108" t="s">
        <v>5596</v>
      </c>
      <c r="C6461" s="106" t="s">
        <v>5632</v>
      </c>
      <c r="D6461" s="108">
        <v>2075.89</v>
      </c>
    </row>
    <row r="6462" spans="1:4" x14ac:dyDescent="0.25">
      <c r="A6462" s="106">
        <v>101437</v>
      </c>
      <c r="B6462" s="108" t="s">
        <v>13219</v>
      </c>
      <c r="C6462" s="106" t="s">
        <v>5632</v>
      </c>
      <c r="D6462" s="108">
        <v>2796.68</v>
      </c>
    </row>
    <row r="6463" spans="1:4" x14ac:dyDescent="0.25">
      <c r="A6463" s="106">
        <v>101438</v>
      </c>
      <c r="B6463" s="108" t="s">
        <v>5598</v>
      </c>
      <c r="C6463" s="106" t="s">
        <v>5632</v>
      </c>
      <c r="D6463" s="108">
        <v>3260.18</v>
      </c>
    </row>
    <row r="6464" spans="1:4" x14ac:dyDescent="0.25">
      <c r="A6464" s="106">
        <v>101439</v>
      </c>
      <c r="B6464" s="108" t="s">
        <v>5599</v>
      </c>
      <c r="C6464" s="106" t="s">
        <v>5632</v>
      </c>
      <c r="D6464" s="108">
        <v>2583.94</v>
      </c>
    </row>
    <row r="6465" spans="1:4" ht="25.5" x14ac:dyDescent="0.25">
      <c r="A6465" s="106">
        <v>101440</v>
      </c>
      <c r="B6465" s="108" t="s">
        <v>13220</v>
      </c>
      <c r="C6465" s="106" t="s">
        <v>5632</v>
      </c>
      <c r="D6465" s="108">
        <v>2862.89</v>
      </c>
    </row>
    <row r="6466" spans="1:4" ht="25.5" x14ac:dyDescent="0.25">
      <c r="A6466" s="106">
        <v>101441</v>
      </c>
      <c r="B6466" s="108" t="s">
        <v>5601</v>
      </c>
      <c r="C6466" s="106" t="s">
        <v>5632</v>
      </c>
      <c r="D6466" s="108">
        <v>2431.04</v>
      </c>
    </row>
    <row r="6467" spans="1:4" ht="25.5" x14ac:dyDescent="0.25">
      <c r="A6467" s="106">
        <v>101442</v>
      </c>
      <c r="B6467" s="108" t="s">
        <v>13221</v>
      </c>
      <c r="C6467" s="106" t="s">
        <v>5632</v>
      </c>
      <c r="D6467" s="108">
        <v>2447.11</v>
      </c>
    </row>
    <row r="6468" spans="1:4" ht="25.5" x14ac:dyDescent="0.25">
      <c r="A6468" s="106">
        <v>101443</v>
      </c>
      <c r="B6468" s="108" t="s">
        <v>5602</v>
      </c>
      <c r="C6468" s="106" t="s">
        <v>5632</v>
      </c>
      <c r="D6468" s="108">
        <v>2564.91</v>
      </c>
    </row>
    <row r="6469" spans="1:4" x14ac:dyDescent="0.25">
      <c r="A6469" s="106">
        <v>101444</v>
      </c>
      <c r="B6469" s="108" t="s">
        <v>5605</v>
      </c>
      <c r="C6469" s="106" t="s">
        <v>5632</v>
      </c>
      <c r="D6469" s="108">
        <v>3568.46</v>
      </c>
    </row>
    <row r="6470" spans="1:4" x14ac:dyDescent="0.25">
      <c r="A6470" s="106">
        <v>101445</v>
      </c>
      <c r="B6470" s="108" t="s">
        <v>104</v>
      </c>
      <c r="C6470" s="106" t="s">
        <v>5632</v>
      </c>
      <c r="D6470" s="108">
        <v>3196.35</v>
      </c>
    </row>
    <row r="6471" spans="1:4" x14ac:dyDescent="0.25">
      <c r="A6471" s="106">
        <v>101446</v>
      </c>
      <c r="B6471" s="108" t="s">
        <v>454</v>
      </c>
      <c r="C6471" s="106" t="s">
        <v>5632</v>
      </c>
      <c r="D6471" s="108">
        <v>3407.81</v>
      </c>
    </row>
    <row r="6472" spans="1:4" x14ac:dyDescent="0.25">
      <c r="A6472" s="106">
        <v>101447</v>
      </c>
      <c r="B6472" s="108" t="s">
        <v>5606</v>
      </c>
      <c r="C6472" s="106" t="s">
        <v>5632</v>
      </c>
      <c r="D6472" s="108">
        <v>3756.76</v>
      </c>
    </row>
    <row r="6473" spans="1:4" x14ac:dyDescent="0.25">
      <c r="A6473" s="106">
        <v>101448</v>
      </c>
      <c r="B6473" s="108" t="s">
        <v>5607</v>
      </c>
      <c r="C6473" s="106" t="s">
        <v>5632</v>
      </c>
      <c r="D6473" s="108">
        <v>3580.51</v>
      </c>
    </row>
    <row r="6474" spans="1:4" x14ac:dyDescent="0.25">
      <c r="A6474" s="106">
        <v>101449</v>
      </c>
      <c r="B6474" s="108" t="s">
        <v>13222</v>
      </c>
      <c r="C6474" s="106" t="s">
        <v>5632</v>
      </c>
      <c r="D6474" s="108">
        <v>2347.11</v>
      </c>
    </row>
    <row r="6475" spans="1:4" x14ac:dyDescent="0.25">
      <c r="A6475" s="106">
        <v>101450</v>
      </c>
      <c r="B6475" s="108" t="s">
        <v>5609</v>
      </c>
      <c r="C6475" s="106" t="s">
        <v>5632</v>
      </c>
      <c r="D6475" s="108">
        <v>2177.77</v>
      </c>
    </row>
    <row r="6476" spans="1:4" x14ac:dyDescent="0.25">
      <c r="A6476" s="106">
        <v>101451</v>
      </c>
      <c r="B6476" s="108" t="s">
        <v>442</v>
      </c>
      <c r="C6476" s="106" t="s">
        <v>5632</v>
      </c>
      <c r="D6476" s="108">
        <v>3184.79</v>
      </c>
    </row>
    <row r="6477" spans="1:4" x14ac:dyDescent="0.25">
      <c r="A6477" s="106">
        <v>101452</v>
      </c>
      <c r="B6477" s="108" t="s">
        <v>13223</v>
      </c>
      <c r="C6477" s="106" t="s">
        <v>5632</v>
      </c>
      <c r="D6477" s="108">
        <v>2596.66</v>
      </c>
    </row>
    <row r="6478" spans="1:4" x14ac:dyDescent="0.25">
      <c r="A6478" s="106">
        <v>101453</v>
      </c>
      <c r="B6478" s="108" t="s">
        <v>5610</v>
      </c>
      <c r="C6478" s="106" t="s">
        <v>5632</v>
      </c>
      <c r="D6478" s="108">
        <v>3246.19</v>
      </c>
    </row>
    <row r="6479" spans="1:4" x14ac:dyDescent="0.25">
      <c r="A6479" s="106">
        <v>101454</v>
      </c>
      <c r="B6479" s="108" t="s">
        <v>13224</v>
      </c>
      <c r="C6479" s="106" t="s">
        <v>5632</v>
      </c>
      <c r="D6479" s="108">
        <v>3997.14</v>
      </c>
    </row>
    <row r="6480" spans="1:4" x14ac:dyDescent="0.25">
      <c r="A6480" s="106">
        <v>101455</v>
      </c>
      <c r="B6480" s="108" t="s">
        <v>5612</v>
      </c>
      <c r="C6480" s="106" t="s">
        <v>5632</v>
      </c>
      <c r="D6480" s="108">
        <v>3694.33</v>
      </c>
    </row>
    <row r="6481" spans="1:4" ht="25.5" x14ac:dyDescent="0.25">
      <c r="A6481" s="106">
        <v>101456</v>
      </c>
      <c r="B6481" s="108" t="s">
        <v>13225</v>
      </c>
      <c r="C6481" s="106" t="s">
        <v>5632</v>
      </c>
      <c r="D6481" s="108">
        <v>3477.88</v>
      </c>
    </row>
    <row r="6482" spans="1:4" x14ac:dyDescent="0.25">
      <c r="A6482" s="106">
        <v>101457</v>
      </c>
      <c r="B6482" s="108" t="s">
        <v>13226</v>
      </c>
      <c r="C6482" s="106" t="s">
        <v>5632</v>
      </c>
      <c r="D6482" s="108">
        <v>3677.31</v>
      </c>
    </row>
    <row r="6483" spans="1:4" x14ac:dyDescent="0.25">
      <c r="A6483" s="106">
        <v>101458</v>
      </c>
      <c r="B6483" s="108" t="s">
        <v>13227</v>
      </c>
      <c r="C6483" s="106" t="s">
        <v>5632</v>
      </c>
      <c r="D6483" s="108">
        <v>3385.98</v>
      </c>
    </row>
    <row r="6484" spans="1:4" x14ac:dyDescent="0.25">
      <c r="A6484" s="106">
        <v>101459</v>
      </c>
      <c r="B6484" s="108" t="s">
        <v>5616</v>
      </c>
      <c r="C6484" s="106" t="s">
        <v>5632</v>
      </c>
      <c r="D6484" s="108">
        <v>3093.2</v>
      </c>
    </row>
    <row r="6485" spans="1:4" x14ac:dyDescent="0.25">
      <c r="A6485" s="129">
        <v>101460</v>
      </c>
      <c r="B6485" s="130" t="s">
        <v>11848</v>
      </c>
      <c r="C6485" s="129" t="s">
        <v>5632</v>
      </c>
      <c r="D6485" s="130">
        <v>2654.25</v>
      </c>
    </row>
  </sheetData>
  <pageMargins left="0.78740157499999996" right="0.78740157499999996" top="0.984251969" bottom="0.984251969" header="0.5" footer="0.5"/>
  <pageSetup scale="95"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D8810D842D74488F398187389A4582" ma:contentTypeVersion="12" ma:contentTypeDescription="Crie um novo documento." ma:contentTypeScope="" ma:versionID="d2d40c17d9da66d04abd2cd2c570fd81">
  <xsd:schema xmlns:xsd="http://www.w3.org/2001/XMLSchema" xmlns:xs="http://www.w3.org/2001/XMLSchema" xmlns:p="http://schemas.microsoft.com/office/2006/metadata/properties" xmlns:ns2="bcadf2c1-2b95-4a86-81a6-bbe51185c35d" xmlns:ns3="6fbd7019-68ca-45d2-a86f-79790d677e4e" targetNamespace="http://schemas.microsoft.com/office/2006/metadata/properties" ma:root="true" ma:fieldsID="aaa4418163d4348ec3293d1d25176287" ns2:_="" ns3:_="">
    <xsd:import namespace="bcadf2c1-2b95-4a86-81a6-bbe51185c35d"/>
    <xsd:import namespace="6fbd7019-68ca-45d2-a86f-79790d677e4e"/>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adf2c1-2b95-4a86-81a6-bbe51185c3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0" nillable="true" ma:displayName="MediaServiceEventHashCode" ma:hidden="true" ma:internalName="MediaServiceEventHashCode"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fbd7019-68ca-45d2-a86f-79790d677e4e" elementFormDefault="qualified">
    <xsd:import namespace="http://schemas.microsoft.com/office/2006/documentManagement/types"/>
    <xsd:import namespace="http://schemas.microsoft.com/office/infopath/2007/PartnerControls"/>
    <xsd:element name="SharedWithUsers" ma:index="16"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71476A8-66D8-47DB-A30B-360205C79A21}"/>
</file>

<file path=customXml/itemProps2.xml><?xml version="1.0" encoding="utf-8"?>
<ds:datastoreItem xmlns:ds="http://schemas.openxmlformats.org/officeDocument/2006/customXml" ds:itemID="{26CE226A-0A63-4490-B176-67E98935BC9A}"/>
</file>

<file path=customXml/itemProps3.xml><?xml version="1.0" encoding="utf-8"?>
<ds:datastoreItem xmlns:ds="http://schemas.openxmlformats.org/officeDocument/2006/customXml" ds:itemID="{ACCB68AC-2510-4074-9F18-43E1E377C8A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11</vt:i4>
      </vt:variant>
    </vt:vector>
  </HeadingPairs>
  <TitlesOfParts>
    <vt:vector size="11" baseType="lpstr">
      <vt:lpstr>CAPA</vt:lpstr>
      <vt:lpstr>PLANILHA RESUMO</vt:lpstr>
      <vt:lpstr>PLANILHA SINTÉTICA</vt:lpstr>
      <vt:lpstr>CRONOGRAMA FÍSICO-FINANCEIRO</vt:lpstr>
      <vt:lpstr>COMPOSIÇÃO DE PREÇO UNITÁRIO</vt:lpstr>
      <vt:lpstr>BDI - Aliquota ISSQN - 5,0%</vt:lpstr>
      <vt:lpstr>BDI DIF - Aliquota ISSQN - 5,0%</vt:lpstr>
      <vt:lpstr>COMPOSIÇÃO MOB-DESMOB</vt:lpstr>
      <vt:lpstr>SINAPI_COMPOSIÇÕES 062020</vt:lpstr>
      <vt:lpstr>SINAPI_INSUMOS 062020</vt:lpstr>
      <vt:lpstr>ENCARGOS SOCIAIS</vt:lpstr>
    </vt:vector>
  </TitlesOfParts>
  <Company>Procuradoria Geral de Justiça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wsa</dc:creator>
  <cp:lastModifiedBy>Douglas Feijó</cp:lastModifiedBy>
  <cp:lastPrinted>2020-07-22T22:08:01Z</cp:lastPrinted>
  <dcterms:created xsi:type="dcterms:W3CDTF">2017-03-17T12:38:30Z</dcterms:created>
  <dcterms:modified xsi:type="dcterms:W3CDTF">2020-07-22T22:11:39Z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0x0101007BD8810D842D74488F398187389A4582</vt:lpwstr>
  </property>
</Properties>
</file>